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8.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harts/chartEx1.xml" ContentType="application/vnd.ms-office.chartex+xml"/>
  <Override PartName="/xl/charts/colors70.xml" ContentType="application/vnd.ms-office.chartcolorstyle+xml"/>
  <Override PartName="/xl/charts/style7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8 (Haitao Yu)/"/>
    </mc:Choice>
  </mc:AlternateContent>
  <xr:revisionPtr revIDLastSave="8689" documentId="1_{7ED89D5E-1287-43C2-91AF-270D819CF7FB}" xr6:coauthVersionLast="47" xr6:coauthVersionMax="47" xr10:uidLastSave="{573B21E9-08EC-444D-B5FF-826F41D5B9F6}"/>
  <bookViews>
    <workbookView xWindow="1140" yWindow="720" windowWidth="9780" windowHeight="10080" tabRatio="777" firstSheet="2" activeTab="2"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Sheet1" sheetId="29" r:id="rId8"/>
    <sheet name="Inputs" sheetId="9" r:id="rId9"/>
    <sheet name="WACC" sheetId="6" r:id="rId10"/>
    <sheet name="Multiples" sheetId="11" r:id="rId11"/>
    <sheet name="Sensitivity" sheetId="27" r:id="rId12"/>
  </sheets>
  <definedNames>
    <definedName name="_xlchart.v1.0" hidden="1">Sensitivity!$B$56:$B$10055</definedName>
    <definedName name="_xlchart.v5.0" hidden="1">Segments!$B$5</definedName>
    <definedName name="_xlchart.v5.1" hidden="1">Segments!$B$6:$B$10</definedName>
    <definedName name="_xlchart.v5.2"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10">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8" hidden="1">{"'Sheet1'!$A$1:$H$145"}</definedName>
    <definedName name="HTML_Control" localSheetId="10" hidden="1">{"'Sheet1'!$A$1:$H$145"}</definedName>
    <definedName name="HTML_Control" localSheetId="3" hidden="1">{"'Sheet1'!$A$1:$H$145"}</definedName>
    <definedName name="HTML_Control" localSheetId="1" hidden="1">{"'Sheet1'!$A$1:$H$145"}</definedName>
    <definedName name="HTML_Control" localSheetId="9"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4" l="1"/>
  <c r="B36" i="4"/>
  <c r="J46" i="4"/>
  <c r="K46" i="4" s="1"/>
  <c r="L46" i="4" s="1"/>
  <c r="M46" i="4" s="1"/>
  <c r="N46" i="4" s="1"/>
  <c r="O46" i="4" s="1"/>
  <c r="P46" i="4" s="1"/>
  <c r="Q46" i="4" s="1"/>
  <c r="R46" i="4" s="1"/>
  <c r="S46" i="4" s="1"/>
  <c r="K47" i="4"/>
  <c r="L47" i="4"/>
  <c r="M47" i="4"/>
  <c r="N47" i="4"/>
  <c r="O47" i="4"/>
  <c r="P47" i="4"/>
  <c r="Q47" i="4"/>
  <c r="R47" i="4"/>
  <c r="S47" i="4"/>
  <c r="J47" i="4"/>
  <c r="K36" i="4"/>
  <c r="L36" i="4" s="1"/>
  <c r="M36" i="4" s="1"/>
  <c r="N36" i="4" s="1"/>
  <c r="O36" i="4" s="1"/>
  <c r="P36" i="4" s="1"/>
  <c r="Q36" i="4" s="1"/>
  <c r="R36" i="4" s="1"/>
  <c r="S36" i="4" s="1"/>
  <c r="J36" i="4"/>
  <c r="K34" i="4"/>
  <c r="L34" i="4" s="1"/>
  <c r="M34" i="4" s="1"/>
  <c r="N34" i="4" s="1"/>
  <c r="O34" i="4" s="1"/>
  <c r="P34" i="4" s="1"/>
  <c r="Q34" i="4" s="1"/>
  <c r="R34" i="4" s="1"/>
  <c r="S34" i="4" s="1"/>
  <c r="K44" i="4"/>
  <c r="L44" i="4" s="1"/>
  <c r="M44" i="4" s="1"/>
  <c r="N44" i="4" s="1"/>
  <c r="O44" i="4" s="1"/>
  <c r="P44" i="4" s="1"/>
  <c r="Q44" i="4" s="1"/>
  <c r="R44" i="4" s="1"/>
  <c r="S44" i="4" s="1"/>
  <c r="J44" i="4"/>
  <c r="K45" i="4"/>
  <c r="L45" i="4"/>
  <c r="M45" i="4"/>
  <c r="N45" i="4"/>
  <c r="O45" i="4"/>
  <c r="P45" i="4"/>
  <c r="Q45" i="4"/>
  <c r="R45" i="4"/>
  <c r="S45" i="4"/>
  <c r="J45" i="4"/>
  <c r="K43" i="4"/>
  <c r="L43" i="4"/>
  <c r="M43" i="4"/>
  <c r="N43" i="4"/>
  <c r="O43" i="4"/>
  <c r="P43" i="4"/>
  <c r="Q43" i="4"/>
  <c r="R43" i="4"/>
  <c r="S43" i="4"/>
  <c r="J43" i="4"/>
  <c r="K41" i="4"/>
  <c r="L41" i="4"/>
  <c r="M41" i="4"/>
  <c r="N41" i="4"/>
  <c r="O41" i="4"/>
  <c r="P41" i="4"/>
  <c r="Q41" i="4"/>
  <c r="R41" i="4"/>
  <c r="S41" i="4"/>
  <c r="J41" i="4"/>
  <c r="K39" i="4"/>
  <c r="L39" i="4"/>
  <c r="M39" i="4"/>
  <c r="N39" i="4"/>
  <c r="O39" i="4"/>
  <c r="P39" i="4"/>
  <c r="Q39" i="4"/>
  <c r="R39" i="4"/>
  <c r="S39" i="4"/>
  <c r="J39" i="4"/>
  <c r="K37" i="4"/>
  <c r="L37" i="4"/>
  <c r="M37" i="4"/>
  <c r="N37" i="4"/>
  <c r="O37" i="4"/>
  <c r="P37" i="4"/>
  <c r="Q37" i="4"/>
  <c r="R37" i="4"/>
  <c r="S37" i="4"/>
  <c r="J37" i="4"/>
  <c r="K35" i="4"/>
  <c r="L35" i="4"/>
  <c r="M35" i="4"/>
  <c r="N35" i="4"/>
  <c r="O35" i="4"/>
  <c r="P35" i="4"/>
  <c r="Q35" i="4"/>
  <c r="R35" i="4"/>
  <c r="S35" i="4"/>
  <c r="J35" i="4"/>
  <c r="J34" i="4"/>
  <c r="D44" i="4"/>
  <c r="D42" i="4"/>
  <c r="D40" i="4"/>
  <c r="D34" i="4"/>
  <c r="E44" i="4"/>
  <c r="F44" i="4"/>
  <c r="F46" i="4" s="1"/>
  <c r="G44" i="4"/>
  <c r="G46" i="4" s="1"/>
  <c r="H44" i="4"/>
  <c r="H46" i="4" s="1"/>
  <c r="I44" i="4"/>
  <c r="E46" i="4"/>
  <c r="I46" i="4"/>
  <c r="F35" i="4"/>
  <c r="G35" i="4"/>
  <c r="H35" i="4"/>
  <c r="I35" i="4"/>
  <c r="F43" i="4"/>
  <c r="G43" i="4"/>
  <c r="H43" i="4"/>
  <c r="F41" i="4"/>
  <c r="G41" i="4"/>
  <c r="H41" i="4"/>
  <c r="I43" i="4"/>
  <c r="I41" i="4"/>
  <c r="F39" i="4"/>
  <c r="G39" i="4"/>
  <c r="H39" i="4"/>
  <c r="I39" i="4"/>
  <c r="E38" i="4"/>
  <c r="F38" i="4"/>
  <c r="G38" i="4"/>
  <c r="H38" i="4"/>
  <c r="E36" i="4"/>
  <c r="F36" i="4"/>
  <c r="G36" i="4"/>
  <c r="H36" i="4"/>
  <c r="E42" i="4"/>
  <c r="F42" i="4"/>
  <c r="G42" i="4"/>
  <c r="H42" i="4"/>
  <c r="E40" i="4"/>
  <c r="F40" i="4"/>
  <c r="G40" i="4"/>
  <c r="H40" i="4"/>
  <c r="E34" i="4"/>
  <c r="F34" i="4"/>
  <c r="G34" i="4"/>
  <c r="H34" i="4"/>
  <c r="I38" i="4"/>
  <c r="I36" i="4"/>
  <c r="D36" i="4" s="1"/>
  <c r="D38" i="4"/>
  <c r="D46" i="4"/>
  <c r="I42" i="4"/>
  <c r="I40" i="4"/>
  <c r="B44" i="4"/>
  <c r="B42" i="4"/>
  <c r="B40" i="4"/>
  <c r="I34" i="4"/>
  <c r="B34" i="4"/>
  <c r="J42" i="4"/>
  <c r="K42" i="4" s="1"/>
  <c r="L42" i="4" s="1"/>
  <c r="M42" i="4" s="1"/>
  <c r="N42" i="4" s="1"/>
  <c r="O42" i="4" s="1"/>
  <c r="P42" i="4" s="1"/>
  <c r="Q42" i="4" s="1"/>
  <c r="R42" i="4" s="1"/>
  <c r="S42" i="4" s="1"/>
  <c r="F37" i="4"/>
  <c r="G37" i="4"/>
  <c r="H37" i="4"/>
  <c r="I37" i="4"/>
  <c r="J38" i="4"/>
  <c r="K38" i="4" s="1"/>
  <c r="V12" i="29"/>
  <c r="H137" i="8"/>
  <c r="R241" i="9"/>
  <c r="H242" i="9"/>
  <c r="I242" i="9"/>
  <c r="J242" i="9"/>
  <c r="K242" i="9"/>
  <c r="L242" i="9"/>
  <c r="M242" i="9"/>
  <c r="N242" i="9"/>
  <c r="O242" i="9"/>
  <c r="R242" i="9" s="1"/>
  <c r="P242" i="9"/>
  <c r="Q242" i="9"/>
  <c r="G242" i="9"/>
  <c r="U15" i="19"/>
  <c r="L8" i="4"/>
  <c r="L9" i="4"/>
  <c r="L10" i="4"/>
  <c r="L11" i="4"/>
  <c r="L12" i="4"/>
  <c r="K8" i="4"/>
  <c r="K9" i="4"/>
  <c r="K10" i="4"/>
  <c r="K11" i="4"/>
  <c r="K12" i="4"/>
  <c r="L6" i="4"/>
  <c r="K6" i="4"/>
  <c r="H122" i="9"/>
  <c r="I122" i="9"/>
  <c r="J122" i="9"/>
  <c r="K122" i="9"/>
  <c r="L122" i="9"/>
  <c r="M122" i="9"/>
  <c r="N122" i="9"/>
  <c r="O122" i="9"/>
  <c r="P122" i="9"/>
  <c r="Q122" i="9"/>
  <c r="G122" i="9"/>
  <c r="Q205" i="8"/>
  <c r="Q202" i="8"/>
  <c r="G6" i="27"/>
  <c r="H6" i="27"/>
  <c r="E6" i="27"/>
  <c r="D6" i="27"/>
  <c r="G20" i="6"/>
  <c r="G18" i="6"/>
  <c r="F80" i="8"/>
  <c r="G80" i="8"/>
  <c r="E80" i="8"/>
  <c r="I9" i="6"/>
  <c r="I73" i="8"/>
  <c r="J73" i="8"/>
  <c r="K73" i="8"/>
  <c r="L73" i="8"/>
  <c r="M73" i="8"/>
  <c r="N73" i="8"/>
  <c r="O73" i="8"/>
  <c r="P73" i="8"/>
  <c r="Q73" i="8"/>
  <c r="H73" i="8"/>
  <c r="H234" i="9"/>
  <c r="H232" i="9"/>
  <c r="I232" i="9"/>
  <c r="J232" i="9"/>
  <c r="K232" i="9"/>
  <c r="L232" i="9"/>
  <c r="M232" i="9"/>
  <c r="N232" i="9"/>
  <c r="O232" i="9"/>
  <c r="P232" i="9"/>
  <c r="Q232" i="9"/>
  <c r="G232" i="9"/>
  <c r="Q206" i="9"/>
  <c r="L224" i="9"/>
  <c r="M224" i="9" s="1"/>
  <c r="K224" i="9"/>
  <c r="J224" i="9"/>
  <c r="I224" i="9"/>
  <c r="H224" i="9"/>
  <c r="I217" i="9"/>
  <c r="J217" i="9"/>
  <c r="K217" i="9"/>
  <c r="L217" i="9"/>
  <c r="M217" i="9"/>
  <c r="N217" i="9"/>
  <c r="O217" i="9"/>
  <c r="P217" i="9"/>
  <c r="Q217" i="9"/>
  <c r="H217" i="9"/>
  <c r="H159" i="8"/>
  <c r="I212" i="9"/>
  <c r="J212" i="9"/>
  <c r="K212" i="9"/>
  <c r="L212" i="9"/>
  <c r="M212" i="9"/>
  <c r="N212" i="9"/>
  <c r="O212" i="9"/>
  <c r="P212" i="9"/>
  <c r="Q212" i="9"/>
  <c r="H212" i="9"/>
  <c r="G157" i="8"/>
  <c r="I203" i="9"/>
  <c r="J203" i="9"/>
  <c r="K203" i="9"/>
  <c r="L203" i="9"/>
  <c r="M203" i="9"/>
  <c r="N203" i="9"/>
  <c r="O203" i="9"/>
  <c r="P203" i="9"/>
  <c r="Q203" i="9"/>
  <c r="H203" i="9"/>
  <c r="H85" i="17" a="1"/>
  <c r="H85" i="17" s="1"/>
  <c r="K85" i="17" a="1"/>
  <c r="K85" i="17" s="1"/>
  <c r="J85" i="17" a="1"/>
  <c r="J85" i="17" s="1"/>
  <c r="I85" i="17" a="1"/>
  <c r="I85" i="17" s="1"/>
  <c r="G85" i="17" a="1"/>
  <c r="G85" i="17" s="1"/>
  <c r="F85" i="17" a="1"/>
  <c r="F85" i="17" s="1"/>
  <c r="E85" i="17" a="1"/>
  <c r="E85" i="17" s="1"/>
  <c r="K67" i="17"/>
  <c r="J67" i="17"/>
  <c r="N196" i="9"/>
  <c r="O195" i="9"/>
  <c r="P196" i="9"/>
  <c r="P195" i="9"/>
  <c r="Q197" i="9"/>
  <c r="Q196" i="9"/>
  <c r="Q195" i="9"/>
  <c r="H194" i="9"/>
  <c r="H198" i="9" s="1"/>
  <c r="I194" i="9"/>
  <c r="I198" i="9" s="1"/>
  <c r="J194" i="9"/>
  <c r="J198" i="9" s="1"/>
  <c r="K194" i="9"/>
  <c r="K198" i="9" s="1"/>
  <c r="L194" i="9"/>
  <c r="L198" i="9" s="1"/>
  <c r="M194" i="9"/>
  <c r="M198" i="9" s="1"/>
  <c r="N194" i="9"/>
  <c r="O194" i="9"/>
  <c r="P194" i="9"/>
  <c r="Q194" i="9"/>
  <c r="K57" i="17"/>
  <c r="E57" i="17"/>
  <c r="F57" i="17"/>
  <c r="J57" i="17"/>
  <c r="F42" i="17"/>
  <c r="G42" i="17"/>
  <c r="I176" i="9"/>
  <c r="J176" i="9"/>
  <c r="K176" i="9"/>
  <c r="L176" i="9"/>
  <c r="M176" i="9"/>
  <c r="N176" i="9"/>
  <c r="O176" i="9"/>
  <c r="P176" i="9"/>
  <c r="Q176" i="9"/>
  <c r="H176" i="9"/>
  <c r="F107" i="8"/>
  <c r="G107" i="8"/>
  <c r="G106" i="8" s="1"/>
  <c r="E107" i="8"/>
  <c r="R173" i="9"/>
  <c r="I173" i="9"/>
  <c r="I174" i="9" s="1"/>
  <c r="I182" i="9" s="1"/>
  <c r="J173" i="9"/>
  <c r="J174" i="9" s="1"/>
  <c r="J182" i="9" s="1"/>
  <c r="K173" i="9"/>
  <c r="K174" i="9" s="1"/>
  <c r="K182" i="9" s="1"/>
  <c r="L173" i="9"/>
  <c r="L174" i="9" s="1"/>
  <c r="L182" i="9" s="1"/>
  <c r="M173" i="9"/>
  <c r="M174" i="9" s="1"/>
  <c r="M182" i="9" s="1"/>
  <c r="N173" i="9"/>
  <c r="N174" i="9" s="1"/>
  <c r="N182" i="9" s="1"/>
  <c r="O173" i="9"/>
  <c r="O174" i="9" s="1"/>
  <c r="O182" i="9" s="1"/>
  <c r="P173" i="9"/>
  <c r="P174" i="9" s="1"/>
  <c r="P182" i="9" s="1"/>
  <c r="Q173" i="9"/>
  <c r="Q174" i="9" s="1"/>
  <c r="Q182" i="9" s="1"/>
  <c r="H173" i="9"/>
  <c r="H174" i="9" s="1"/>
  <c r="H103" i="9"/>
  <c r="I103" i="9"/>
  <c r="J103" i="9"/>
  <c r="K103" i="9"/>
  <c r="L103" i="9"/>
  <c r="M103" i="9"/>
  <c r="N103" i="9"/>
  <c r="O103" i="9"/>
  <c r="P103" i="9"/>
  <c r="Q103" i="9"/>
  <c r="G103" i="9"/>
  <c r="Q161" i="9"/>
  <c r="Q160" i="9"/>
  <c r="Q165" i="9" s="1"/>
  <c r="Q108" i="9" s="1"/>
  <c r="H168" i="9"/>
  <c r="I168" i="9" s="1"/>
  <c r="H167" i="9"/>
  <c r="H109" i="9" s="1"/>
  <c r="N169" i="9"/>
  <c r="O169" i="9"/>
  <c r="P169" i="9"/>
  <c r="Q169" i="9"/>
  <c r="M169" i="9"/>
  <c r="L165" i="9"/>
  <c r="L108" i="9" s="1"/>
  <c r="M165" i="9"/>
  <c r="M108" i="9" s="1"/>
  <c r="N165" i="9"/>
  <c r="N108" i="9" s="1"/>
  <c r="O165" i="9"/>
  <c r="O108" i="9" s="1"/>
  <c r="P165" i="9"/>
  <c r="P108" i="9" s="1"/>
  <c r="I164" i="9"/>
  <c r="J164" i="9"/>
  <c r="H164" i="9"/>
  <c r="H165" i="9" s="1"/>
  <c r="H108" i="9" s="1"/>
  <c r="J163" i="9"/>
  <c r="K163" i="9"/>
  <c r="K165" i="9" s="1"/>
  <c r="K108" i="9" s="1"/>
  <c r="I163" i="9"/>
  <c r="H11" i="9"/>
  <c r="I11" i="9"/>
  <c r="J11" i="9"/>
  <c r="K11" i="9"/>
  <c r="L11" i="9"/>
  <c r="M11" i="9"/>
  <c r="N11" i="9"/>
  <c r="O11" i="9"/>
  <c r="P11" i="9"/>
  <c r="Q11" i="9"/>
  <c r="G11" i="9"/>
  <c r="H21" i="9"/>
  <c r="I21" i="9"/>
  <c r="J21" i="9"/>
  <c r="K21" i="9"/>
  <c r="L21" i="9"/>
  <c r="M21" i="9"/>
  <c r="N21" i="9"/>
  <c r="O21" i="9"/>
  <c r="P21" i="9"/>
  <c r="Q21" i="9"/>
  <c r="H20" i="9"/>
  <c r="I20" i="9"/>
  <c r="J20" i="9"/>
  <c r="K20" i="9"/>
  <c r="L20" i="9"/>
  <c r="M20" i="9"/>
  <c r="N20" i="9"/>
  <c r="O20" i="9"/>
  <c r="P20" i="9"/>
  <c r="Q20" i="9"/>
  <c r="G20" i="9"/>
  <c r="G21" i="9"/>
  <c r="H146" i="9"/>
  <c r="I146" i="9"/>
  <c r="J146" i="9"/>
  <c r="K146" i="9"/>
  <c r="L146" i="9"/>
  <c r="M146" i="9"/>
  <c r="N146" i="9"/>
  <c r="O146" i="9"/>
  <c r="P146" i="9"/>
  <c r="Q146" i="9"/>
  <c r="G146" i="9"/>
  <c r="H138" i="9"/>
  <c r="I138" i="9"/>
  <c r="J138" i="9"/>
  <c r="K138" i="9"/>
  <c r="L138" i="9"/>
  <c r="M138" i="9"/>
  <c r="N138" i="9"/>
  <c r="O138" i="9"/>
  <c r="P138" i="9"/>
  <c r="Q138" i="9"/>
  <c r="G138" i="9"/>
  <c r="H134" i="9"/>
  <c r="H35" i="9" s="1"/>
  <c r="I134" i="9"/>
  <c r="I35" i="9" s="1"/>
  <c r="J134" i="9"/>
  <c r="J35" i="9" s="1"/>
  <c r="K134" i="9"/>
  <c r="K35" i="9" s="1"/>
  <c r="L134" i="9"/>
  <c r="L35" i="9" s="1"/>
  <c r="M134" i="9"/>
  <c r="M35" i="9" s="1"/>
  <c r="N134" i="9"/>
  <c r="N35" i="9" s="1"/>
  <c r="O134" i="9"/>
  <c r="O35" i="9" s="1"/>
  <c r="P134" i="9"/>
  <c r="P35" i="9" s="1"/>
  <c r="Q134" i="9"/>
  <c r="Q35" i="9" s="1"/>
  <c r="G134" i="9"/>
  <c r="G35" i="9" s="1"/>
  <c r="O32" i="9"/>
  <c r="O100" i="9" s="1"/>
  <c r="P32" i="9"/>
  <c r="P100" i="9" s="1"/>
  <c r="Q32" i="9"/>
  <c r="Q100" i="9" s="1"/>
  <c r="O91" i="9"/>
  <c r="P91" i="9"/>
  <c r="Q91" i="9"/>
  <c r="O88" i="9"/>
  <c r="P88" i="9"/>
  <c r="Q88" i="9"/>
  <c r="O87" i="9"/>
  <c r="P87" i="9"/>
  <c r="Q87" i="9"/>
  <c r="L91" i="9"/>
  <c r="M91" i="9"/>
  <c r="N91" i="9"/>
  <c r="L88" i="9"/>
  <c r="M88" i="9"/>
  <c r="N88" i="9"/>
  <c r="L87" i="9"/>
  <c r="M87" i="9"/>
  <c r="N87" i="9"/>
  <c r="J88" i="9"/>
  <c r="K88" i="9"/>
  <c r="I88" i="9"/>
  <c r="H88" i="9"/>
  <c r="G88" i="9"/>
  <c r="G91" i="9"/>
  <c r="H91" i="9"/>
  <c r="G87" i="9"/>
  <c r="H87" i="9"/>
  <c r="J91" i="9"/>
  <c r="K91" i="9"/>
  <c r="I91" i="9"/>
  <c r="J87" i="9"/>
  <c r="K87" i="9"/>
  <c r="I87" i="9"/>
  <c r="L65" i="28"/>
  <c r="H65" i="28"/>
  <c r="I65" i="28"/>
  <c r="J65" i="28"/>
  <c r="P43" i="9"/>
  <c r="Q43" i="9"/>
  <c r="K52" i="17"/>
  <c r="J52" i="17"/>
  <c r="A8" i="17"/>
  <c r="B8" i="17" s="1" a="1"/>
  <c r="B8" i="17" s="1"/>
  <c r="F52" i="17"/>
  <c r="E52" i="17"/>
  <c r="Q3" i="9"/>
  <c r="P3" i="9"/>
  <c r="O3" i="9"/>
  <c r="N3" i="9"/>
  <c r="M3" i="9"/>
  <c r="L3" i="9"/>
  <c r="K3" i="9"/>
  <c r="J3" i="9"/>
  <c r="I3" i="9"/>
  <c r="H3" i="9"/>
  <c r="G3" i="9"/>
  <c r="G27" i="8"/>
  <c r="F27" i="8"/>
  <c r="E27" i="8"/>
  <c r="G26" i="8"/>
  <c r="G21" i="19" s="1"/>
  <c r="I26" i="8"/>
  <c r="I21" i="19" s="1"/>
  <c r="J26" i="8"/>
  <c r="L26" i="8"/>
  <c r="M26" i="8"/>
  <c r="O26" i="8"/>
  <c r="P26" i="8"/>
  <c r="F26" i="8"/>
  <c r="F21" i="19" s="1"/>
  <c r="E26" i="8"/>
  <c r="L25" i="8"/>
  <c r="M25" i="8"/>
  <c r="N25" i="8"/>
  <c r="F25" i="8"/>
  <c r="F20" i="19" s="1"/>
  <c r="G25" i="8"/>
  <c r="G20" i="19" s="1"/>
  <c r="E25" i="8"/>
  <c r="I19" i="8"/>
  <c r="J19" i="8"/>
  <c r="K19" i="8"/>
  <c r="L19" i="8"/>
  <c r="M19" i="8"/>
  <c r="N19" i="8"/>
  <c r="O19" i="8"/>
  <c r="P19" i="8"/>
  <c r="Q19" i="8"/>
  <c r="H19" i="8"/>
  <c r="F22" i="8"/>
  <c r="G19" i="8"/>
  <c r="F19" i="8"/>
  <c r="G20" i="8"/>
  <c r="G19" i="19" s="1"/>
  <c r="F20" i="8"/>
  <c r="F19" i="19" s="1"/>
  <c r="E20" i="8"/>
  <c r="G17" i="8"/>
  <c r="G18" i="19" s="1"/>
  <c r="F17" i="8"/>
  <c r="F18" i="19" s="1"/>
  <c r="E17" i="8"/>
  <c r="E18" i="8"/>
  <c r="E21" i="8" s="1"/>
  <c r="G64" i="29"/>
  <c r="H64" i="29"/>
  <c r="E64" i="29"/>
  <c r="D64" i="29"/>
  <c r="I64" i="29" s="1"/>
  <c r="R59" i="29"/>
  <c r="O59" i="29"/>
  <c r="P58" i="29" s="1"/>
  <c r="Q58" i="29"/>
  <c r="N58" i="29"/>
  <c r="L59" i="29"/>
  <c r="M58" i="29" s="1"/>
  <c r="K58" i="29"/>
  <c r="I59" i="29"/>
  <c r="J58" i="29" s="1"/>
  <c r="D58" i="29"/>
  <c r="E58" i="29"/>
  <c r="G58" i="29"/>
  <c r="H58" i="29"/>
  <c r="I56" i="29"/>
  <c r="J56" i="29" s="1"/>
  <c r="K56" i="29" s="1"/>
  <c r="L56" i="29" s="1"/>
  <c r="M56" i="29" s="1"/>
  <c r="N56" i="29" s="1"/>
  <c r="O56" i="29" s="1"/>
  <c r="P56" i="29" s="1"/>
  <c r="Q56" i="29" s="1"/>
  <c r="R56" i="29" s="1"/>
  <c r="Q25" i="8" s="1"/>
  <c r="E55" i="29"/>
  <c r="G55" i="29"/>
  <c r="H55" i="29"/>
  <c r="D55" i="29"/>
  <c r="V5" i="29"/>
  <c r="W5" i="29" s="1"/>
  <c r="X5" i="29" s="1"/>
  <c r="Y5" i="29" s="1"/>
  <c r="Z5" i="29" s="1"/>
  <c r="AA5" i="29" s="1"/>
  <c r="AB5" i="29" s="1"/>
  <c r="AC5" i="29" s="1"/>
  <c r="AD5" i="29" s="1"/>
  <c r="AE5" i="29" s="1"/>
  <c r="H2" i="29"/>
  <c r="Q6" i="29"/>
  <c r="R7" i="29"/>
  <c r="S6" i="29" s="1"/>
  <c r="O7" i="29"/>
  <c r="Q5" i="29" s="1"/>
  <c r="L7" i="29"/>
  <c r="E62" i="29" s="1"/>
  <c r="I7" i="29"/>
  <c r="J5" i="29" s="1"/>
  <c r="F7" i="29"/>
  <c r="H5" i="29" s="1"/>
  <c r="F18" i="8" s="1"/>
  <c r="F21" i="8" s="1"/>
  <c r="C7" i="29"/>
  <c r="E6" i="29" s="1"/>
  <c r="P6" i="29"/>
  <c r="P5" i="29"/>
  <c r="M6" i="29"/>
  <c r="M5" i="29"/>
  <c r="G6" i="29"/>
  <c r="D6" i="29"/>
  <c r="G22" i="8" s="1"/>
  <c r="G5" i="29"/>
  <c r="D5" i="29"/>
  <c r="F61" i="17"/>
  <c r="G61" i="17"/>
  <c r="H61" i="17"/>
  <c r="I61" i="17"/>
  <c r="J61" i="17"/>
  <c r="K61" i="17"/>
  <c r="E61" i="17"/>
  <c r="E46" i="17"/>
  <c r="E47" i="17"/>
  <c r="F36" i="17"/>
  <c r="B32" i="3"/>
  <c r="B31" i="3"/>
  <c r="B30" i="3"/>
  <c r="B29" i="3"/>
  <c r="B28" i="3"/>
  <c r="B27" i="3"/>
  <c r="B26" i="3"/>
  <c r="F7" i="4"/>
  <c r="E7" i="4"/>
  <c r="E53" i="17"/>
  <c r="I129" i="17"/>
  <c r="G129" i="17"/>
  <c r="F129" i="17"/>
  <c r="F40" i="17"/>
  <c r="F41" i="17"/>
  <c r="F34" i="17"/>
  <c r="G74" i="17" a="1"/>
  <c r="G74" i="17" s="1"/>
  <c r="L99" i="9" a="1"/>
  <c r="H99" i="9" a="1"/>
  <c r="N99" i="9" a="1"/>
  <c r="K99" i="9" a="1"/>
  <c r="I99" i="9" a="1"/>
  <c r="G99" i="9" a="1"/>
  <c r="O99" i="9" a="1"/>
  <c r="J99" i="9" a="1"/>
  <c r="Q99" i="9" a="1"/>
  <c r="P99" i="9" a="1"/>
  <c r="M99" i="9" a="1"/>
  <c r="L38" i="4" l="1"/>
  <c r="M38" i="4"/>
  <c r="N38" i="4" s="1"/>
  <c r="O38" i="4" s="1"/>
  <c r="P38" i="4" s="1"/>
  <c r="Q38" i="4" s="1"/>
  <c r="R38" i="4" s="1"/>
  <c r="S38" i="4" s="1"/>
  <c r="K7" i="4"/>
  <c r="L7" i="4"/>
  <c r="S242" i="9"/>
  <c r="T242" i="9" s="1"/>
  <c r="H17" i="8"/>
  <c r="I234" i="9"/>
  <c r="J234" i="9" s="1"/>
  <c r="N224" i="9"/>
  <c r="H209" i="9"/>
  <c r="Q209" i="9"/>
  <c r="P209" i="9"/>
  <c r="O209" i="9"/>
  <c r="R217" i="9" s="1"/>
  <c r="N209" i="9"/>
  <c r="M209" i="9"/>
  <c r="L209" i="9"/>
  <c r="K209" i="9"/>
  <c r="J209" i="9"/>
  <c r="I209" i="9"/>
  <c r="N198" i="9"/>
  <c r="P198" i="9"/>
  <c r="C8" i="17" a="1"/>
  <c r="C8" i="17" s="1"/>
  <c r="L8" i="17" a="1"/>
  <c r="L8" i="17" s="1"/>
  <c r="N8" i="17" a="1"/>
  <c r="N8" i="17" s="1"/>
  <c r="O8" i="17" a="1"/>
  <c r="O8" i="17" s="1"/>
  <c r="K8" i="17" a="1"/>
  <c r="K8" i="17" s="1"/>
  <c r="M8" i="17" a="1"/>
  <c r="M8" i="17" s="1"/>
  <c r="J8" i="17" a="1"/>
  <c r="J8" i="17" s="1"/>
  <c r="Q198" i="9"/>
  <c r="O198" i="9"/>
  <c r="H186" i="9"/>
  <c r="I186" i="9" s="1"/>
  <c r="J186" i="9" s="1"/>
  <c r="R176" i="9"/>
  <c r="H107" i="8"/>
  <c r="I107" i="8" s="1"/>
  <c r="J107" i="8" s="1"/>
  <c r="E106" i="8"/>
  <c r="F106" i="8"/>
  <c r="H183" i="9"/>
  <c r="H182" i="9"/>
  <c r="I183" i="9"/>
  <c r="J183" i="9"/>
  <c r="Q183" i="9"/>
  <c r="P183" i="9"/>
  <c r="O183" i="9"/>
  <c r="N183" i="9"/>
  <c r="M183" i="9"/>
  <c r="L183" i="9"/>
  <c r="K183" i="9"/>
  <c r="H110" i="9"/>
  <c r="I167" i="9"/>
  <c r="J167" i="9" s="1"/>
  <c r="K167" i="9" s="1"/>
  <c r="L167" i="9" s="1"/>
  <c r="M167" i="9" s="1"/>
  <c r="I165" i="9"/>
  <c r="I108" i="9" s="1"/>
  <c r="J165" i="9"/>
  <c r="J108" i="9" s="1"/>
  <c r="J168" i="9"/>
  <c r="I110" i="9"/>
  <c r="M99" i="9"/>
  <c r="M239" i="9" s="1"/>
  <c r="L99" i="9"/>
  <c r="L239" i="9" s="1"/>
  <c r="Q99" i="9"/>
  <c r="Q239" i="9" s="1"/>
  <c r="K99" i="9"/>
  <c r="K239" i="9" s="1"/>
  <c r="P99" i="9"/>
  <c r="P239" i="9" s="1"/>
  <c r="J99" i="9"/>
  <c r="J239" i="9" s="1"/>
  <c r="O99" i="9"/>
  <c r="O239" i="9" s="1"/>
  <c r="I99" i="9"/>
  <c r="I239" i="9" s="1"/>
  <c r="N99" i="9"/>
  <c r="N239" i="9" s="1"/>
  <c r="H99" i="9"/>
  <c r="H239" i="9" s="1"/>
  <c r="G99" i="9"/>
  <c r="G239" i="9" s="1"/>
  <c r="J64" i="29"/>
  <c r="I63" i="29"/>
  <c r="N26" i="8"/>
  <c r="K25" i="8"/>
  <c r="K26" i="8"/>
  <c r="H62" i="29"/>
  <c r="H66" i="29" s="1"/>
  <c r="H67" i="29" s="1"/>
  <c r="E23" i="8"/>
  <c r="J25" i="8"/>
  <c r="F23" i="8"/>
  <c r="I25" i="8"/>
  <c r="I20" i="19" s="1"/>
  <c r="G23" i="8"/>
  <c r="H25" i="8"/>
  <c r="H20" i="19" s="1"/>
  <c r="H26" i="8"/>
  <c r="H21" i="19" s="1"/>
  <c r="Q26" i="8"/>
  <c r="P25" i="8"/>
  <c r="O25" i="8"/>
  <c r="E66" i="29"/>
  <c r="C62" i="29"/>
  <c r="C66" i="29" s="1"/>
  <c r="J2" i="29"/>
  <c r="H6" i="29"/>
  <c r="D62" i="29"/>
  <c r="N5" i="29"/>
  <c r="F62" i="29"/>
  <c r="F66" i="29" s="1"/>
  <c r="N6" i="29"/>
  <c r="G62" i="29"/>
  <c r="G66" i="29" s="1"/>
  <c r="G67" i="29" s="1"/>
  <c r="S5" i="29"/>
  <c r="J6" i="29"/>
  <c r="M7" i="29"/>
  <c r="E5" i="29"/>
  <c r="P7" i="29"/>
  <c r="G7" i="29"/>
  <c r="D7" i="29"/>
  <c r="U242" i="9" l="1"/>
  <c r="V242" i="9"/>
  <c r="W242" i="9"/>
  <c r="I17" i="8"/>
  <c r="H18" i="19"/>
  <c r="K234" i="9"/>
  <c r="O224" i="9"/>
  <c r="I213" i="9"/>
  <c r="P214" i="9"/>
  <c r="P213" i="9"/>
  <c r="Q214" i="9"/>
  <c r="Q213" i="9"/>
  <c r="L213" i="9"/>
  <c r="M213" i="9"/>
  <c r="N213" i="9"/>
  <c r="H213" i="9"/>
  <c r="J213" i="9"/>
  <c r="K213" i="9"/>
  <c r="O214" i="9"/>
  <c r="O213" i="9"/>
  <c r="H200" i="9"/>
  <c r="K186" i="9"/>
  <c r="G108" i="9"/>
  <c r="K107" i="8"/>
  <c r="L107" i="8" s="1"/>
  <c r="M107" i="8" s="1"/>
  <c r="K109" i="9"/>
  <c r="L109" i="9"/>
  <c r="J109" i="9"/>
  <c r="I109" i="9"/>
  <c r="N167" i="9"/>
  <c r="M109" i="9"/>
  <c r="K168" i="9"/>
  <c r="J110" i="9"/>
  <c r="H27" i="8"/>
  <c r="J63" i="29"/>
  <c r="V11" i="29"/>
  <c r="H18" i="8" s="1"/>
  <c r="G18" i="8"/>
  <c r="G21" i="8" s="1"/>
  <c r="K64" i="29"/>
  <c r="H61" i="29"/>
  <c r="G24" i="8"/>
  <c r="V6" i="29"/>
  <c r="V7" i="29" s="1"/>
  <c r="W7" i="29" s="1"/>
  <c r="X7" i="29" s="1"/>
  <c r="Y7" i="29" s="1"/>
  <c r="Z7" i="29" s="1"/>
  <c r="AA7" i="29" s="1"/>
  <c r="AB7" i="29" s="1"/>
  <c r="AC7" i="29" s="1"/>
  <c r="AD7" i="29" s="1"/>
  <c r="AE7" i="29" s="1"/>
  <c r="AE8" i="29" s="1"/>
  <c r="H22" i="8"/>
  <c r="G61" i="29"/>
  <c r="F24" i="8"/>
  <c r="Z8" i="29"/>
  <c r="V8" i="29"/>
  <c r="V9" i="29" s="1"/>
  <c r="W8" i="29"/>
  <c r="W9" i="29" s="1"/>
  <c r="AB8" i="29"/>
  <c r="AB9" i="29" s="1"/>
  <c r="AC8" i="29"/>
  <c r="AC9" i="29" s="1"/>
  <c r="D66" i="29"/>
  <c r="D67" i="29" s="1"/>
  <c r="D61" i="29"/>
  <c r="AA8" i="29"/>
  <c r="Y8" i="29"/>
  <c r="X8" i="29"/>
  <c r="I61" i="29"/>
  <c r="I62" i="29" s="1"/>
  <c r="I66" i="29" s="1"/>
  <c r="I67" i="29" s="1"/>
  <c r="E61" i="29"/>
  <c r="W11" i="29"/>
  <c r="I18" i="8" s="1"/>
  <c r="I21" i="8" s="1"/>
  <c r="X242" i="9" l="1"/>
  <c r="J17" i="8"/>
  <c r="K17" i="8" s="1"/>
  <c r="L17" i="8" s="1"/>
  <c r="M17" i="8" s="1"/>
  <c r="N17" i="8" s="1"/>
  <c r="O17" i="8" s="1"/>
  <c r="P17" i="8" s="1"/>
  <c r="Q17" i="8" s="1"/>
  <c r="I18" i="19"/>
  <c r="L234" i="9"/>
  <c r="P224" i="9"/>
  <c r="Q224" i="9" s="1"/>
  <c r="Q216" i="9"/>
  <c r="P216" i="9"/>
  <c r="O216" i="9"/>
  <c r="H201" i="9"/>
  <c r="H187" i="9" s="1"/>
  <c r="H58" i="8" s="1"/>
  <c r="I200" i="9"/>
  <c r="J200" i="9" s="1"/>
  <c r="K200" i="9" s="1"/>
  <c r="L186" i="9"/>
  <c r="N107" i="8"/>
  <c r="N109" i="9"/>
  <c r="O167" i="9"/>
  <c r="L168" i="9"/>
  <c r="K110" i="9"/>
  <c r="H21" i="8"/>
  <c r="H24" i="8" s="1"/>
  <c r="H23" i="8" s="1"/>
  <c r="AD8" i="29"/>
  <c r="AD9" i="29" s="1"/>
  <c r="K63" i="29"/>
  <c r="I27" i="8"/>
  <c r="Y9" i="29"/>
  <c r="I24" i="8"/>
  <c r="H20" i="8"/>
  <c r="E67" i="29"/>
  <c r="X9" i="29"/>
  <c r="AA9" i="29"/>
  <c r="L64" i="29"/>
  <c r="M64" i="29" s="1"/>
  <c r="Z9" i="29"/>
  <c r="AE9" i="29"/>
  <c r="X11" i="29"/>
  <c r="J18" i="8" s="1"/>
  <c r="W12" i="29"/>
  <c r="J61" i="29" s="1"/>
  <c r="J62" i="29" s="1"/>
  <c r="J66" i="29" s="1"/>
  <c r="J67" i="29" s="1"/>
  <c r="G17" i="9"/>
  <c r="L9" i="27"/>
  <c r="L8" i="27"/>
  <c r="V35" i="19"/>
  <c r="V34" i="19"/>
  <c r="V32" i="19"/>
  <c r="V33" i="19"/>
  <c r="P64" i="11"/>
  <c r="P43" i="19" s="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O53" i="11"/>
  <c r="P53" i="11" s="1"/>
  <c r="H53" i="11"/>
  <c r="I53" i="11" s="1"/>
  <c r="J53" i="11" s="1"/>
  <c r="K53" i="11" s="1"/>
  <c r="L53" i="11" s="1"/>
  <c r="M53" i="11" s="1"/>
  <c r="G53" i="11"/>
  <c r="P55" i="11"/>
  <c r="O55" i="11"/>
  <c r="N55" i="11"/>
  <c r="M55" i="11"/>
  <c r="L55" i="11"/>
  <c r="K55" i="11"/>
  <c r="J55" i="11"/>
  <c r="I55" i="11"/>
  <c r="H55" i="11"/>
  <c r="G55" i="11"/>
  <c r="F55" i="11"/>
  <c r="P29" i="11"/>
  <c r="P38" i="19" s="1"/>
  <c r="O29" i="11"/>
  <c r="O38" i="19" s="1"/>
  <c r="N29" i="11"/>
  <c r="N38" i="19" s="1"/>
  <c r="M29" i="11"/>
  <c r="L29" i="11"/>
  <c r="K29" i="11"/>
  <c r="J29" i="11"/>
  <c r="I29" i="11"/>
  <c r="H29" i="11"/>
  <c r="G29" i="11"/>
  <c r="F29"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O17" i="17" a="1"/>
  <c r="O17" i="17" s="1"/>
  <c r="O16" i="17" a="1"/>
  <c r="O16" i="17" s="1"/>
  <c r="O15" i="17" a="1"/>
  <c r="O15" i="17" s="1"/>
  <c r="N17" i="17" a="1"/>
  <c r="N17" i="17" s="1"/>
  <c r="N16" i="17" a="1"/>
  <c r="N16" i="17" s="1"/>
  <c r="N15" i="17" a="1"/>
  <c r="N15" i="17" s="1"/>
  <c r="M17" i="17" a="1"/>
  <c r="M17" i="17" s="1"/>
  <c r="M16" i="17" a="1"/>
  <c r="M16" i="17" s="1"/>
  <c r="M15" i="17" a="1"/>
  <c r="M15" i="17" s="1"/>
  <c r="L17" i="17" a="1"/>
  <c r="L17" i="17" s="1"/>
  <c r="L16" i="17" a="1"/>
  <c r="L16" i="17" s="1"/>
  <c r="L15" i="17" a="1"/>
  <c r="L15" i="17" s="1"/>
  <c r="K17" i="17" a="1"/>
  <c r="K17" i="17" s="1"/>
  <c r="K16" i="17" a="1"/>
  <c r="K16" i="17" s="1"/>
  <c r="K15" i="17" a="1"/>
  <c r="K15" i="17" s="1"/>
  <c r="J17" i="17" a="1"/>
  <c r="J17" i="17" s="1"/>
  <c r="J16" i="17" a="1"/>
  <c r="J16" i="17" s="1"/>
  <c r="J15" i="17" a="1"/>
  <c r="J15" i="17" s="1"/>
  <c r="I17" i="17"/>
  <c r="I16" i="17"/>
  <c r="I15" i="17"/>
  <c r="I14" i="17"/>
  <c r="I13" i="17"/>
  <c r="I12" i="17"/>
  <c r="I11" i="17"/>
  <c r="I10" i="17"/>
  <c r="I9" i="17"/>
  <c r="H17" i="17"/>
  <c r="H16" i="17"/>
  <c r="H15" i="17"/>
  <c r="H14" i="17"/>
  <c r="H13" i="17"/>
  <c r="H12" i="17"/>
  <c r="H11" i="17"/>
  <c r="H10" i="17"/>
  <c r="H9" i="17"/>
  <c r="H8" i="17"/>
  <c r="G17" i="17"/>
  <c r="G16" i="17"/>
  <c r="G15" i="17"/>
  <c r="G14" i="17"/>
  <c r="G13" i="17"/>
  <c r="G12" i="17"/>
  <c r="G11" i="17"/>
  <c r="G10" i="17"/>
  <c r="G9" i="17"/>
  <c r="G8" i="17"/>
  <c r="F17" i="17"/>
  <c r="F16" i="17"/>
  <c r="F15" i="17"/>
  <c r="F14" i="17"/>
  <c r="F13" i="17"/>
  <c r="F12" i="17"/>
  <c r="F11" i="17"/>
  <c r="F10" i="17"/>
  <c r="F9" i="17"/>
  <c r="F8" i="17"/>
  <c r="E17" i="17"/>
  <c r="E16" i="17"/>
  <c r="E15" i="17"/>
  <c r="E14" i="17"/>
  <c r="E13" i="17"/>
  <c r="E12" i="17"/>
  <c r="E11" i="17"/>
  <c r="E10" i="17"/>
  <c r="E9" i="17"/>
  <c r="E8" i="17"/>
  <c r="D17" i="17"/>
  <c r="D16" i="17"/>
  <c r="D15" i="17"/>
  <c r="D14" i="17"/>
  <c r="D13" i="17"/>
  <c r="D12" i="17"/>
  <c r="D11" i="17"/>
  <c r="D10" i="17"/>
  <c r="D9" i="17"/>
  <c r="D8" i="17"/>
  <c r="C17" i="17" a="1"/>
  <c r="C17" i="17" s="1"/>
  <c r="C16" i="17" a="1"/>
  <c r="C16" i="17" s="1"/>
  <c r="C15" i="17" a="1"/>
  <c r="C15" i="17" s="1"/>
  <c r="B17" i="17" a="1"/>
  <c r="B17" i="17" s="1"/>
  <c r="B16" i="17" a="1"/>
  <c r="B16" i="17" s="1"/>
  <c r="B15" i="17" a="1"/>
  <c r="B15" i="17" s="1"/>
  <c r="N85" i="17" a="1"/>
  <c r="N85" i="17" s="1"/>
  <c r="M85" i="17" a="1"/>
  <c r="M85" i="17" s="1"/>
  <c r="L85" i="17" a="1"/>
  <c r="L85" i="17" s="1"/>
  <c r="N75" i="17"/>
  <c r="M75" i="17"/>
  <c r="L75" i="17"/>
  <c r="N74" i="17" a="1"/>
  <c r="N74" i="17" s="1"/>
  <c r="M74" i="17" a="1"/>
  <c r="M74" i="17" s="1"/>
  <c r="L74" i="17" a="1"/>
  <c r="L74" i="17" s="1"/>
  <c r="K74" i="17" a="1"/>
  <c r="K74" i="17" s="1"/>
  <c r="K75" i="17" s="1"/>
  <c r="J74" i="17" a="1"/>
  <c r="J74" i="17" s="1"/>
  <c r="J75" i="17" s="1"/>
  <c r="I74" i="17" a="1"/>
  <c r="I74" i="17" s="1"/>
  <c r="I75" i="17" s="1"/>
  <c r="H74" i="17" a="1"/>
  <c r="H74" i="17" s="1"/>
  <c r="H75" i="17" s="1"/>
  <c r="G75" i="17"/>
  <c r="F74" i="17" a="1"/>
  <c r="F74" i="17" s="1"/>
  <c r="F75" i="17" s="1"/>
  <c r="E74" i="17" a="1"/>
  <c r="E74" i="17" s="1"/>
  <c r="E75" i="17" s="1"/>
  <c r="E66" i="3"/>
  <c r="E60" i="3"/>
  <c r="E54" i="3"/>
  <c r="E48" i="3"/>
  <c r="E41" i="3"/>
  <c r="D12" i="4"/>
  <c r="D11" i="4"/>
  <c r="D10" i="4"/>
  <c r="D9" i="4"/>
  <c r="D8" i="4"/>
  <c r="D7" i="4"/>
  <c r="Q260" i="8"/>
  <c r="P260" i="8"/>
  <c r="O260" i="8"/>
  <c r="N260" i="8"/>
  <c r="M260" i="8"/>
  <c r="L260" i="8"/>
  <c r="K260" i="8"/>
  <c r="J260" i="8"/>
  <c r="I260" i="8"/>
  <c r="Q211" i="8" a="1"/>
  <c r="Q211" i="8" s="1"/>
  <c r="Q208" i="8" a="1"/>
  <c r="Q208" i="8" s="1"/>
  <c r="Q121" i="9"/>
  <c r="P121" i="9"/>
  <c r="O121" i="9"/>
  <c r="N121" i="9"/>
  <c r="M121" i="9"/>
  <c r="L121" i="9"/>
  <c r="K121" i="9"/>
  <c r="J121" i="9"/>
  <c r="I121" i="9"/>
  <c r="H121" i="9"/>
  <c r="G121" i="9"/>
  <c r="Q120" i="9"/>
  <c r="P120" i="9"/>
  <c r="O120" i="9"/>
  <c r="N120" i="9"/>
  <c r="M120" i="9"/>
  <c r="L120" i="9"/>
  <c r="K120" i="9"/>
  <c r="J120" i="9"/>
  <c r="I120" i="9"/>
  <c r="H120" i="9"/>
  <c r="G120" i="9"/>
  <c r="Q116" i="9"/>
  <c r="P116" i="9"/>
  <c r="O116" i="9"/>
  <c r="N116" i="9"/>
  <c r="M116" i="9"/>
  <c r="L116" i="9"/>
  <c r="K116" i="9"/>
  <c r="J116" i="9"/>
  <c r="I116" i="9"/>
  <c r="H116" i="9"/>
  <c r="G116" i="9"/>
  <c r="Q115" i="9"/>
  <c r="P115" i="9"/>
  <c r="O115" i="9"/>
  <c r="N115" i="9"/>
  <c r="M115" i="9"/>
  <c r="L115" i="9"/>
  <c r="K115" i="9"/>
  <c r="J115" i="9"/>
  <c r="I115" i="9"/>
  <c r="H115" i="9"/>
  <c r="G115" i="9"/>
  <c r="M80" i="9"/>
  <c r="M191" i="9" s="1"/>
  <c r="V73" i="19"/>
  <c r="V72" i="19"/>
  <c r="V71" i="19"/>
  <c r="V70" i="19"/>
  <c r="V69" i="19"/>
  <c r="V68" i="19"/>
  <c r="V67" i="19"/>
  <c r="V66" i="19"/>
  <c r="V65" i="19"/>
  <c r="V64" i="19"/>
  <c r="V63" i="19"/>
  <c r="V62" i="19"/>
  <c r="V61" i="19"/>
  <c r="P61" i="11"/>
  <c r="O61" i="11"/>
  <c r="N61" i="11"/>
  <c r="M61" i="11"/>
  <c r="L61" i="11"/>
  <c r="K61" i="11"/>
  <c r="J61" i="11"/>
  <c r="I61" i="11"/>
  <c r="H61" i="11"/>
  <c r="G61" i="11"/>
  <c r="F61" i="11"/>
  <c r="N67" i="17"/>
  <c r="M67" i="17"/>
  <c r="L67" i="17"/>
  <c r="I67" i="17"/>
  <c r="H67" i="17"/>
  <c r="G67" i="17"/>
  <c r="F67" i="17"/>
  <c r="E67" i="17"/>
  <c r="K16" i="27"/>
  <c r="K15" i="27"/>
  <c r="K14" i="27"/>
  <c r="K13" i="27"/>
  <c r="K12" i="27"/>
  <c r="N66" i="17"/>
  <c r="M66" i="17"/>
  <c r="L66" i="17"/>
  <c r="K66" i="17"/>
  <c r="J66" i="17"/>
  <c r="I66" i="17"/>
  <c r="H66" i="17"/>
  <c r="G66" i="17"/>
  <c r="F66" i="17"/>
  <c r="E66" i="17"/>
  <c r="Y242" i="9" l="1"/>
  <c r="Z242" i="9"/>
  <c r="AA242" i="9" s="1"/>
  <c r="I20" i="8"/>
  <c r="H19" i="19"/>
  <c r="M234" i="9"/>
  <c r="L200" i="9"/>
  <c r="M186" i="9"/>
  <c r="O107" i="8"/>
  <c r="P167" i="9"/>
  <c r="O109" i="9"/>
  <c r="M168" i="9"/>
  <c r="L110" i="9"/>
  <c r="I23" i="8"/>
  <c r="H31" i="8"/>
  <c r="H180" i="9" s="1"/>
  <c r="J21" i="8"/>
  <c r="J24" i="8" s="1"/>
  <c r="I31" i="8"/>
  <c r="L63" i="29"/>
  <c r="J27" i="8"/>
  <c r="N64" i="29"/>
  <c r="O64" i="29" s="1"/>
  <c r="P64" i="29" s="1"/>
  <c r="Y11" i="29"/>
  <c r="K18" i="8" s="1"/>
  <c r="X12" i="29"/>
  <c r="K61" i="29" s="1"/>
  <c r="K62" i="29" s="1"/>
  <c r="K66" i="29" s="1"/>
  <c r="K67" i="29" s="1"/>
  <c r="F19" i="27"/>
  <c r="D17" i="27"/>
  <c r="F10" i="27"/>
  <c r="H8" i="27"/>
  <c r="E7" i="27"/>
  <c r="H11" i="27"/>
  <c r="G8" i="27"/>
  <c r="F8" i="27"/>
  <c r="H9" i="27"/>
  <c r="F9" i="27"/>
  <c r="H7" i="27"/>
  <c r="H10" i="27"/>
  <c r="G7" i="27"/>
  <c r="G10" i="27"/>
  <c r="F7" i="27"/>
  <c r="E19" i="27"/>
  <c r="E10" i="27"/>
  <c r="D7" i="27"/>
  <c r="F18" i="27"/>
  <c r="E8" i="27"/>
  <c r="E18" i="27"/>
  <c r="G9" i="27"/>
  <c r="L14" i="27"/>
  <c r="L13" i="27"/>
  <c r="D19" i="27"/>
  <c r="G11" i="27"/>
  <c r="D10" i="27"/>
  <c r="F11" i="27"/>
  <c r="E11" i="27"/>
  <c r="D8" i="27"/>
  <c r="D18" i="27"/>
  <c r="F17" i="27"/>
  <c r="E9" i="27"/>
  <c r="L12" i="27"/>
  <c r="D11" i="27"/>
  <c r="E17" i="27"/>
  <c r="D9" i="27"/>
  <c r="L15" i="27"/>
  <c r="N63" i="17"/>
  <c r="M63" i="17"/>
  <c r="L63" i="17"/>
  <c r="K63" i="17"/>
  <c r="J63" i="17"/>
  <c r="I63" i="17"/>
  <c r="H63" i="17"/>
  <c r="G63" i="17"/>
  <c r="F63" i="17"/>
  <c r="E63" i="17"/>
  <c r="I106" i="9"/>
  <c r="J106" i="9" s="1"/>
  <c r="K106" i="9" s="1"/>
  <c r="L106" i="9" s="1"/>
  <c r="M106" i="9" s="1"/>
  <c r="N106" i="9" s="1"/>
  <c r="O106" i="9" s="1"/>
  <c r="P106" i="9" s="1"/>
  <c r="Q106" i="9" s="1"/>
  <c r="N65" i="17"/>
  <c r="M65" i="17"/>
  <c r="L65" i="17"/>
  <c r="K65" i="17"/>
  <c r="J65" i="17"/>
  <c r="I65" i="17"/>
  <c r="H65" i="17"/>
  <c r="G65" i="17"/>
  <c r="F65" i="17"/>
  <c r="E65" i="17"/>
  <c r="J20" i="8" l="1"/>
  <c r="K20" i="8" s="1"/>
  <c r="L20" i="8" s="1"/>
  <c r="M20" i="8" s="1"/>
  <c r="N20" i="8" s="1"/>
  <c r="O20" i="8" s="1"/>
  <c r="P20" i="8" s="1"/>
  <c r="Q20" i="8" s="1"/>
  <c r="I19" i="19"/>
  <c r="N234" i="9"/>
  <c r="O234" i="9" s="1"/>
  <c r="M200" i="9"/>
  <c r="I179" i="9"/>
  <c r="I201" i="9" s="1"/>
  <c r="H185" i="9"/>
  <c r="H188" i="9" s="1"/>
  <c r="H106" i="8" s="1"/>
  <c r="N186" i="9"/>
  <c r="O186" i="9" s="1"/>
  <c r="P107" i="8"/>
  <c r="Q107" i="8" s="1"/>
  <c r="Q167" i="9"/>
  <c r="Q109" i="9" s="1"/>
  <c r="P109" i="9"/>
  <c r="N168" i="9"/>
  <c r="M110" i="9"/>
  <c r="M63" i="29"/>
  <c r="K27" i="8"/>
  <c r="J23" i="8"/>
  <c r="J31" i="8" s="1"/>
  <c r="K21" i="8"/>
  <c r="K24" i="8" s="1"/>
  <c r="Q64" i="29"/>
  <c r="R64" i="29" s="1"/>
  <c r="Z11" i="29"/>
  <c r="L18" i="8" s="1"/>
  <c r="Y12" i="29"/>
  <c r="L61" i="29" s="1"/>
  <c r="L62" i="29" s="1"/>
  <c r="L66" i="29" s="1"/>
  <c r="L67" i="29" s="1"/>
  <c r="AN295" i="8"/>
  <c r="AN285" i="8"/>
  <c r="F64" i="17"/>
  <c r="G64" i="17"/>
  <c r="H64" i="17"/>
  <c r="I64" i="17"/>
  <c r="J64" i="17"/>
  <c r="K64" i="17"/>
  <c r="L64" i="17"/>
  <c r="M64" i="17"/>
  <c r="N64" i="17"/>
  <c r="E68" i="17"/>
  <c r="F68" i="17"/>
  <c r="G68" i="17"/>
  <c r="H68" i="17"/>
  <c r="I68" i="17"/>
  <c r="J68" i="17"/>
  <c r="K68" i="17"/>
  <c r="L68" i="17"/>
  <c r="M68" i="17"/>
  <c r="N68" i="17"/>
  <c r="E64" i="17"/>
  <c r="P234" i="9" l="1"/>
  <c r="Q234" i="9" s="1"/>
  <c r="N200" i="9"/>
  <c r="O200" i="9" s="1"/>
  <c r="I187" i="9"/>
  <c r="I58" i="8" s="1"/>
  <c r="I180" i="9"/>
  <c r="J179" i="9" s="1"/>
  <c r="J201" i="9" s="1"/>
  <c r="I185" i="9"/>
  <c r="I188" i="9" s="1"/>
  <c r="I106" i="8" s="1"/>
  <c r="S241" i="9" s="1"/>
  <c r="I137" i="8" s="1"/>
  <c r="P186" i="9"/>
  <c r="Q186" i="9" s="1"/>
  <c r="G109" i="9"/>
  <c r="O168" i="9"/>
  <c r="N110" i="9"/>
  <c r="L21" i="8"/>
  <c r="L24" i="8"/>
  <c r="K23" i="8"/>
  <c r="N63" i="29"/>
  <c r="L27" i="8"/>
  <c r="AA11" i="29"/>
  <c r="M18" i="8" s="1"/>
  <c r="Z12" i="29"/>
  <c r="M61" i="29" s="1"/>
  <c r="M62" i="29" s="1"/>
  <c r="M66" i="29" s="1"/>
  <c r="M67" i="29" s="1"/>
  <c r="Q86" i="28"/>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s="1"/>
  <c r="J74" i="28" s="1"/>
  <c r="K74" i="28" s="1"/>
  <c r="L74" i="28" s="1"/>
  <c r="M74" i="28" s="1"/>
  <c r="N74" i="28" s="1"/>
  <c r="O74" i="28" s="1"/>
  <c r="P74" i="28" s="1"/>
  <c r="Q74" i="28" s="1"/>
  <c r="H25" i="17"/>
  <c r="N36" i="17"/>
  <c r="M36" i="17"/>
  <c r="L36" i="17"/>
  <c r="K36" i="17"/>
  <c r="J36" i="17"/>
  <c r="I36" i="17"/>
  <c r="H36" i="17"/>
  <c r="G36" i="17"/>
  <c r="E36" i="17"/>
  <c r="N35" i="17"/>
  <c r="M35" i="17"/>
  <c r="L35" i="17"/>
  <c r="K35" i="17"/>
  <c r="J35" i="17"/>
  <c r="I35" i="17"/>
  <c r="H35" i="17"/>
  <c r="G35" i="17"/>
  <c r="F35" i="17"/>
  <c r="E35" i="17"/>
  <c r="N34" i="17"/>
  <c r="M34" i="17"/>
  <c r="L34" i="17"/>
  <c r="K34" i="17"/>
  <c r="J34" i="17"/>
  <c r="I34" i="17"/>
  <c r="H34" i="17"/>
  <c r="G34" i="17"/>
  <c r="E34" i="17"/>
  <c r="N33" i="17"/>
  <c r="M33" i="17"/>
  <c r="L33" i="17"/>
  <c r="K33" i="17"/>
  <c r="J33" i="17"/>
  <c r="I33" i="17"/>
  <c r="H33" i="17"/>
  <c r="G33" i="17"/>
  <c r="F33" i="17"/>
  <c r="E33" i="17"/>
  <c r="N32" i="17"/>
  <c r="M32" i="17"/>
  <c r="L32" i="17"/>
  <c r="K32" i="17"/>
  <c r="J32" i="17"/>
  <c r="I32" i="17"/>
  <c r="H32" i="17"/>
  <c r="G32" i="17"/>
  <c r="F32" i="17"/>
  <c r="E32" i="17"/>
  <c r="N31" i="17"/>
  <c r="M31" i="17"/>
  <c r="L31" i="17"/>
  <c r="K31" i="17"/>
  <c r="J31" i="17"/>
  <c r="I31" i="17"/>
  <c r="H31" i="17"/>
  <c r="G31" i="17"/>
  <c r="F31" i="17"/>
  <c r="E31" i="17"/>
  <c r="N41" i="17"/>
  <c r="M41" i="17"/>
  <c r="L41" i="17"/>
  <c r="K41" i="17"/>
  <c r="J41" i="17"/>
  <c r="I41" i="17"/>
  <c r="H41" i="17"/>
  <c r="G41" i="17"/>
  <c r="E41" i="17"/>
  <c r="N40" i="17"/>
  <c r="M40" i="17"/>
  <c r="L40" i="17"/>
  <c r="K40" i="17"/>
  <c r="J40" i="17"/>
  <c r="I40" i="17"/>
  <c r="H40" i="17"/>
  <c r="G40" i="17"/>
  <c r="E40" i="17"/>
  <c r="N48" i="17"/>
  <c r="M48" i="17"/>
  <c r="L48" i="17"/>
  <c r="K48" i="17"/>
  <c r="J48" i="17"/>
  <c r="I48" i="17"/>
  <c r="H48" i="17"/>
  <c r="G48" i="17"/>
  <c r="F48" i="17"/>
  <c r="E48" i="17"/>
  <c r="N47" i="17"/>
  <c r="M47" i="17"/>
  <c r="L47" i="17"/>
  <c r="K47" i="17"/>
  <c r="J47" i="17"/>
  <c r="I47" i="17"/>
  <c r="H47" i="17"/>
  <c r="G47" i="17"/>
  <c r="F47" i="17"/>
  <c r="N46" i="17"/>
  <c r="M46" i="17"/>
  <c r="L46" i="17"/>
  <c r="K46" i="17"/>
  <c r="J46" i="17"/>
  <c r="I46" i="17"/>
  <c r="H46" i="17"/>
  <c r="G46" i="17"/>
  <c r="F46" i="17"/>
  <c r="O78" i="17"/>
  <c r="O77" i="17"/>
  <c r="O76" i="17"/>
  <c r="O69" i="17"/>
  <c r="N62" i="17"/>
  <c r="M62" i="17"/>
  <c r="L62" i="17"/>
  <c r="K62" i="17"/>
  <c r="J62" i="17"/>
  <c r="I62" i="17"/>
  <c r="H62" i="17"/>
  <c r="G62" i="17"/>
  <c r="F62" i="17"/>
  <c r="E62" i="17"/>
  <c r="N61" i="17"/>
  <c r="M61" i="17"/>
  <c r="L61" i="17"/>
  <c r="D6" i="4"/>
  <c r="J9" i="6" s="1"/>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L23" i="8" l="1"/>
  <c r="L31" i="8"/>
  <c r="P200" i="9"/>
  <c r="Q200" i="9" s="1"/>
  <c r="J187" i="9"/>
  <c r="J58" i="8" s="1"/>
  <c r="J180" i="9"/>
  <c r="J185" i="9"/>
  <c r="P168" i="9"/>
  <c r="O110" i="9"/>
  <c r="M21" i="8"/>
  <c r="M24" i="8" s="1"/>
  <c r="M23" i="8" s="1"/>
  <c r="O63" i="29"/>
  <c r="M27" i="8"/>
  <c r="K31" i="8"/>
  <c r="K179" i="9" s="1"/>
  <c r="K201" i="9" s="1"/>
  <c r="AB11" i="29"/>
  <c r="N18" i="8" s="1"/>
  <c r="AA12" i="29"/>
  <c r="N61" i="29" s="1"/>
  <c r="N62" i="29" s="1"/>
  <c r="N66" i="29" s="1"/>
  <c r="N67" i="29" s="1"/>
  <c r="D13" i="4"/>
  <c r="I4" i="28"/>
  <c r="J14" i="6"/>
  <c r="K14" i="6"/>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80" i="17"/>
  <c r="O71" i="17"/>
  <c r="O50" i="17"/>
  <c r="O44" i="17"/>
  <c r="O38" i="17"/>
  <c r="O59" i="17" s="1"/>
  <c r="H27" i="17"/>
  <c r="H26" i="17"/>
  <c r="H24" i="17"/>
  <c r="U9" i="19" a="1"/>
  <c r="G9" i="6" a="1"/>
  <c r="D6" i="19" a="1"/>
  <c r="J188" i="9" l="1"/>
  <c r="J106" i="8" s="1"/>
  <c r="T241" i="9" s="1"/>
  <c r="J137" i="8" s="1"/>
  <c r="K187" i="9"/>
  <c r="K58" i="8" s="1"/>
  <c r="K180" i="9"/>
  <c r="L179" i="9" s="1"/>
  <c r="L201" i="9" s="1"/>
  <c r="K185" i="9"/>
  <c r="Q168" i="9"/>
  <c r="Q110" i="9" s="1"/>
  <c r="P110" i="9"/>
  <c r="P63" i="29"/>
  <c r="N27" i="8"/>
  <c r="N21" i="8"/>
  <c r="N24" i="8" s="1"/>
  <c r="N23" i="8" s="1"/>
  <c r="M31" i="8"/>
  <c r="AC11" i="29"/>
  <c r="O18" i="8" s="1"/>
  <c r="AB12" i="29"/>
  <c r="O61" i="29" s="1"/>
  <c r="O62" i="29" s="1"/>
  <c r="O66" i="29" s="1"/>
  <c r="O67" i="29" s="1"/>
  <c r="J4" i="28"/>
  <c r="G9" i="6"/>
  <c r="G15" i="6"/>
  <c r="D6" i="19"/>
  <c r="U9"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F8" i="3"/>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N52" i="17"/>
  <c r="M52" i="17"/>
  <c r="L52" i="17"/>
  <c r="I52" i="17"/>
  <c r="H52" i="17"/>
  <c r="G52" i="17"/>
  <c r="N42" i="17"/>
  <c r="M42" i="17"/>
  <c r="L42" i="17"/>
  <c r="K42" i="17"/>
  <c r="J42" i="17"/>
  <c r="I42" i="17"/>
  <c r="H42" i="17"/>
  <c r="E42" i="17"/>
  <c r="N99" i="17"/>
  <c r="M99" i="17"/>
  <c r="L99" i="17"/>
  <c r="H99" i="17"/>
  <c r="G99" i="17"/>
  <c r="F99" i="17"/>
  <c r="I99" i="17"/>
  <c r="E99" i="17"/>
  <c r="A17" i="17"/>
  <c r="A16" i="17"/>
  <c r="B34" i="3" s="1" a="1"/>
  <c r="A15" i="17"/>
  <c r="A14" i="17"/>
  <c r="A13" i="17"/>
  <c r="A12" i="17"/>
  <c r="A11" i="17"/>
  <c r="A10" i="17"/>
  <c r="A9" i="17"/>
  <c r="C9" i="17" s="1" a="1"/>
  <c r="C9" i="17" s="1"/>
  <c r="D91" i="17"/>
  <c r="Q53" i="11"/>
  <c r="R53" i="11" s="1"/>
  <c r="S204" i="8"/>
  <c r="R204" i="8"/>
  <c r="S203" i="8"/>
  <c r="R203" i="8"/>
  <c r="W8" i="8"/>
  <c r="W9" i="8" s="1"/>
  <c r="W10" i="8" s="1"/>
  <c r="W11" i="8" s="1"/>
  <c r="W12" i="8" s="1"/>
  <c r="W13" i="8" s="1"/>
  <c r="W14" i="8" s="1"/>
  <c r="H112" i="9"/>
  <c r="I112" i="9" s="1"/>
  <c r="J112" i="9" s="1"/>
  <c r="K112" i="9" s="1"/>
  <c r="L112" i="9" s="1"/>
  <c r="M112" i="9" s="1"/>
  <c r="N112" i="9" s="1"/>
  <c r="O112" i="9" s="1"/>
  <c r="P112" i="9" s="1"/>
  <c r="Q112" i="9" s="1"/>
  <c r="N13" i="9"/>
  <c r="N67" i="9" s="1"/>
  <c r="M13" i="9"/>
  <c r="M67" i="9" s="1"/>
  <c r="I13" i="9"/>
  <c r="P13" i="9"/>
  <c r="F51" i="8" s="1"/>
  <c r="L13" i="9"/>
  <c r="L67" i="9" s="1"/>
  <c r="K13" i="9"/>
  <c r="K67" i="9" s="1"/>
  <c r="J13" i="9"/>
  <c r="H13" i="9"/>
  <c r="G13" i="9"/>
  <c r="N77" i="9"/>
  <c r="M58" i="11" s="1"/>
  <c r="M77" i="9"/>
  <c r="L58" i="11" s="1"/>
  <c r="I77" i="9"/>
  <c r="H58" i="11" s="1"/>
  <c r="G77" i="9"/>
  <c r="Q77" i="9"/>
  <c r="P58" i="11" s="1"/>
  <c r="H55" i="9"/>
  <c r="H150" i="9" s="1"/>
  <c r="H59" i="9" s="1"/>
  <c r="I55" i="9"/>
  <c r="L55" i="9"/>
  <c r="L150" i="9" s="1"/>
  <c r="L59" i="9" s="1"/>
  <c r="N55" i="9"/>
  <c r="N150" i="9" s="1"/>
  <c r="N59" i="9" s="1"/>
  <c r="I50" i="9"/>
  <c r="I101" i="9" s="1"/>
  <c r="M50" i="9"/>
  <c r="Q50" i="9"/>
  <c r="H32" i="9"/>
  <c r="K32" i="9"/>
  <c r="L32" i="9"/>
  <c r="P55" i="9"/>
  <c r="P150" i="9" s="1"/>
  <c r="P59" i="9" s="1"/>
  <c r="M55" i="9"/>
  <c r="M150" i="9" s="1"/>
  <c r="M59" i="9" s="1"/>
  <c r="I17" i="9"/>
  <c r="G8" i="9"/>
  <c r="G57" i="8"/>
  <c r="G146" i="8"/>
  <c r="E57" i="8"/>
  <c r="E58" i="8" s="1"/>
  <c r="E43" i="8"/>
  <c r="E154" i="8"/>
  <c r="F146" i="8"/>
  <c r="F154" i="8"/>
  <c r="E102" i="8"/>
  <c r="G164" i="8"/>
  <c r="G43" i="8"/>
  <c r="F94" i="8"/>
  <c r="E72" i="8"/>
  <c r="E166" i="8"/>
  <c r="F43" i="8"/>
  <c r="G154" i="8"/>
  <c r="G46" i="8"/>
  <c r="E133" i="8"/>
  <c r="F102" i="8"/>
  <c r="G102" i="8"/>
  <c r="D106" i="17"/>
  <c r="F57" i="8"/>
  <c r="D107" i="17"/>
  <c r="B25" i="3" a="1"/>
  <c r="K188" i="9" l="1"/>
  <c r="K106" i="8" s="1"/>
  <c r="U241" i="9" s="1"/>
  <c r="K137" i="8" s="1"/>
  <c r="L100" i="9"/>
  <c r="L214" i="9"/>
  <c r="K100" i="9"/>
  <c r="K214" i="9"/>
  <c r="H100" i="9"/>
  <c r="H214" i="9"/>
  <c r="H216" i="9" s="1"/>
  <c r="L187" i="9"/>
  <c r="B13" i="17" a="1"/>
  <c r="B13" i="17" s="1"/>
  <c r="J29" i="17" s="1"/>
  <c r="C13" i="17" a="1"/>
  <c r="C13" i="17" s="1"/>
  <c r="B14" i="17" a="1"/>
  <c r="B14" i="17" s="1"/>
  <c r="C14" i="17" a="1"/>
  <c r="C14" i="17" s="1"/>
  <c r="B10" i="17" a="1"/>
  <c r="B10" i="17" s="1"/>
  <c r="C10" i="17" a="1"/>
  <c r="C10" i="17" s="1"/>
  <c r="B11" i="17" a="1"/>
  <c r="B11" i="17" s="1"/>
  <c r="C11" i="17" a="1"/>
  <c r="C11" i="17" s="1"/>
  <c r="B12" i="17" a="1"/>
  <c r="B12" i="17" s="1"/>
  <c r="C12" i="17" a="1"/>
  <c r="C12" i="17" s="1"/>
  <c r="B9" i="17" a="1"/>
  <c r="B9" i="17" s="1"/>
  <c r="J14" i="17" a="1"/>
  <c r="J14" i="17" s="1"/>
  <c r="O14" i="17" a="1"/>
  <c r="O14" i="17" s="1"/>
  <c r="N14" i="17" a="1"/>
  <c r="N14" i="17" s="1"/>
  <c r="M14" i="17" a="1"/>
  <c r="M14" i="17" s="1"/>
  <c r="L14" i="17" a="1"/>
  <c r="L14" i="17" s="1"/>
  <c r="K14" i="17" a="1"/>
  <c r="K14" i="17" s="1"/>
  <c r="J13" i="17" a="1"/>
  <c r="J13" i="17" s="1"/>
  <c r="O13" i="17" a="1"/>
  <c r="O13" i="17" s="1"/>
  <c r="L13" i="17" a="1"/>
  <c r="L13" i="17" s="1"/>
  <c r="M13" i="17" a="1"/>
  <c r="M13" i="17" s="1"/>
  <c r="K13" i="17" a="1"/>
  <c r="K13" i="17" s="1"/>
  <c r="N13" i="17" a="1"/>
  <c r="N13" i="17" s="1"/>
  <c r="N9" i="17" a="1"/>
  <c r="N9" i="17" s="1"/>
  <c r="M9" i="17" a="1"/>
  <c r="M9" i="17" s="1"/>
  <c r="L9" i="17" a="1"/>
  <c r="L9" i="17" s="1"/>
  <c r="K9" i="17" a="1"/>
  <c r="K9" i="17" s="1"/>
  <c r="O9" i="17" a="1"/>
  <c r="O9" i="17" s="1"/>
  <c r="N10" i="17" a="1"/>
  <c r="N10" i="17" s="1"/>
  <c r="L10" i="17" a="1"/>
  <c r="L10" i="17" s="1"/>
  <c r="O10" i="17" a="1"/>
  <c r="O10" i="17" s="1"/>
  <c r="K10" i="17" a="1"/>
  <c r="K10" i="17" s="1"/>
  <c r="M10" i="17" a="1"/>
  <c r="M10" i="17" s="1"/>
  <c r="L11" i="17" a="1"/>
  <c r="L11" i="17" s="1"/>
  <c r="N11" i="17" a="1"/>
  <c r="N11" i="17" s="1"/>
  <c r="O11" i="17" a="1"/>
  <c r="O11" i="17" s="1"/>
  <c r="M11" i="17" a="1"/>
  <c r="M11" i="17" s="1"/>
  <c r="K11" i="17" a="1"/>
  <c r="K11" i="17" s="1"/>
  <c r="L12" i="17" a="1"/>
  <c r="L12" i="17" s="1"/>
  <c r="O12" i="17" a="1"/>
  <c r="O12" i="17" s="1"/>
  <c r="K12" i="17" a="1"/>
  <c r="K12" i="17" s="1"/>
  <c r="N12" i="17" a="1"/>
  <c r="N12" i="17" s="1"/>
  <c r="M12" i="17" a="1"/>
  <c r="M12" i="17" s="1"/>
  <c r="J9" i="17" a="1"/>
  <c r="J9" i="17" s="1"/>
  <c r="B9" i="28"/>
  <c r="J10" i="17" a="1"/>
  <c r="J10" i="17" s="1"/>
  <c r="B10" i="28"/>
  <c r="J11" i="17" a="1"/>
  <c r="J11" i="17" s="1"/>
  <c r="B11" i="28"/>
  <c r="J12" i="17" a="1"/>
  <c r="J12" i="17" s="1"/>
  <c r="L180" i="9"/>
  <c r="L185" i="9"/>
  <c r="G110" i="9"/>
  <c r="M101" i="9"/>
  <c r="F21" i="11"/>
  <c r="G16" i="9"/>
  <c r="G12" i="9" s="1"/>
  <c r="I114" i="9"/>
  <c r="I150" i="9"/>
  <c r="I59" i="9" s="1"/>
  <c r="I58" i="9" s="1"/>
  <c r="M114" i="9"/>
  <c r="K28" i="11"/>
  <c r="J28" i="11"/>
  <c r="G28" i="11"/>
  <c r="F58" i="11"/>
  <c r="J67" i="9"/>
  <c r="O21" i="8"/>
  <c r="O24" i="8" s="1"/>
  <c r="O23" i="8" s="1"/>
  <c r="N31" i="8"/>
  <c r="Q63" i="29"/>
  <c r="O27" i="8"/>
  <c r="AD11" i="29"/>
  <c r="P18" i="8" s="1"/>
  <c r="AC12" i="29"/>
  <c r="P61" i="29" s="1"/>
  <c r="P62" i="29" s="1"/>
  <c r="P66" i="29" s="1"/>
  <c r="P67" i="29" s="1"/>
  <c r="H67" i="9"/>
  <c r="I67" i="9"/>
  <c r="B7" i="28"/>
  <c r="B8" i="28"/>
  <c r="E155" i="8"/>
  <c r="G155" i="8"/>
  <c r="F155" i="8"/>
  <c r="G23" i="6"/>
  <c r="G19" i="6" s="1"/>
  <c r="D85" i="17" a="1"/>
  <c r="D85" i="17" s="1"/>
  <c r="O85" i="17" s="1"/>
  <c r="D74" i="17" a="1"/>
  <c r="D74" i="17" s="1"/>
  <c r="G32" i="9"/>
  <c r="G100" i="9" s="1"/>
  <c r="Q55" i="9"/>
  <c r="Q101" i="9" s="1"/>
  <c r="K77" i="9"/>
  <c r="J58" i="11" s="1"/>
  <c r="G50" i="9"/>
  <c r="J77" i="9"/>
  <c r="I58" i="11" s="1"/>
  <c r="L68" i="9"/>
  <c r="K4" i="28"/>
  <c r="H72" i="8"/>
  <c r="O28" i="11"/>
  <c r="O37" i="19" s="1"/>
  <c r="J17" i="9"/>
  <c r="M17" i="9"/>
  <c r="P68" i="9"/>
  <c r="N17" i="9"/>
  <c r="L50" i="9"/>
  <c r="L101" i="9" s="1"/>
  <c r="J55" i="9"/>
  <c r="G55" i="9"/>
  <c r="H68" i="9"/>
  <c r="H77" i="9"/>
  <c r="G58" i="11" s="1"/>
  <c r="L77" i="9"/>
  <c r="K58" i="11" s="1"/>
  <c r="L37" i="9"/>
  <c r="O33" i="11"/>
  <c r="F35" i="11"/>
  <c r="AH9" i="8"/>
  <c r="P67" i="9"/>
  <c r="K17" i="9"/>
  <c r="H37" i="9"/>
  <c r="N32" i="9"/>
  <c r="H50" i="9"/>
  <c r="H101" i="9" s="1"/>
  <c r="H104" i="9" s="1"/>
  <c r="P28" i="11"/>
  <c r="P37" i="19" s="1"/>
  <c r="M32" i="9"/>
  <c r="I32" i="9"/>
  <c r="F33" i="11"/>
  <c r="AI9" i="8"/>
  <c r="N50" i="9"/>
  <c r="N101" i="9" s="1"/>
  <c r="J50" i="9"/>
  <c r="I68" i="9"/>
  <c r="M68" i="9"/>
  <c r="Q68" i="9"/>
  <c r="P77" i="9"/>
  <c r="O58" i="11" s="1"/>
  <c r="G67" i="9"/>
  <c r="J32" i="9"/>
  <c r="O50" i="9"/>
  <c r="O101" i="9" s="1"/>
  <c r="K37" i="9"/>
  <c r="K50" i="9"/>
  <c r="P50" i="9"/>
  <c r="P101" i="9" s="1"/>
  <c r="G35" i="11"/>
  <c r="O55" i="9"/>
  <c r="O150" i="9" s="1"/>
  <c r="O59" i="9" s="1"/>
  <c r="K55" i="9"/>
  <c r="K150" i="9" s="1"/>
  <c r="K59" i="9" s="1"/>
  <c r="G68" i="9"/>
  <c r="K68" i="9"/>
  <c r="O68" i="9"/>
  <c r="O77" i="9"/>
  <c r="N58" i="11" s="1"/>
  <c r="O13" i="9"/>
  <c r="Q13" i="9"/>
  <c r="G51" i="8" s="1"/>
  <c r="H17" i="9"/>
  <c r="L17" i="9"/>
  <c r="M33" i="11"/>
  <c r="L35" i="11"/>
  <c r="H35" i="11"/>
  <c r="F34" i="11"/>
  <c r="J68" i="9"/>
  <c r="N68" i="9"/>
  <c r="G57" i="17"/>
  <c r="I27" i="17"/>
  <c r="I26" i="17"/>
  <c r="I25" i="17"/>
  <c r="I24" i="17"/>
  <c r="B34" i="3"/>
  <c r="B25" i="3"/>
  <c r="L57" i="17"/>
  <c r="I57" i="17"/>
  <c r="M57" i="17"/>
  <c r="N57" i="17"/>
  <c r="H57" i="17"/>
  <c r="A6" i="17"/>
  <c r="F124" i="8"/>
  <c r="Q39" i="9"/>
  <c r="D116" i="17" s="1"/>
  <c r="P39" i="9"/>
  <c r="O39" i="9"/>
  <c r="N39" i="9"/>
  <c r="M39" i="9"/>
  <c r="L39" i="9"/>
  <c r="K39" i="9"/>
  <c r="J39" i="9"/>
  <c r="I39" i="9"/>
  <c r="H39" i="9"/>
  <c r="G39" i="9"/>
  <c r="O17" i="9"/>
  <c r="P17" i="9"/>
  <c r="G92" i="9"/>
  <c r="H92" i="9"/>
  <c r="I92" i="9"/>
  <c r="J92" i="9"/>
  <c r="K92" i="9"/>
  <c r="L92" i="9"/>
  <c r="M92" i="9"/>
  <c r="N92" i="9"/>
  <c r="O92" i="9"/>
  <c r="P92" i="9"/>
  <c r="Q92" i="9"/>
  <c r="Q53" i="9"/>
  <c r="M53" i="9"/>
  <c r="I53" i="9"/>
  <c r="H58" i="9"/>
  <c r="L58" i="9"/>
  <c r="M58" i="9"/>
  <c r="N58" i="9"/>
  <c r="P58" i="9"/>
  <c r="Q17" i="9"/>
  <c r="O4" i="11"/>
  <c r="P4" i="11" s="1"/>
  <c r="Q4" i="11" s="1"/>
  <c r="H64" i="9"/>
  <c r="I64" i="9" s="1"/>
  <c r="J64" i="9" s="1"/>
  <c r="K64" i="9" s="1"/>
  <c r="L64" i="9" s="1"/>
  <c r="M64" i="9" s="1"/>
  <c r="N64" i="9" s="1"/>
  <c r="O64" i="9" s="1"/>
  <c r="P64" i="9" s="1"/>
  <c r="Q64" i="9" s="1"/>
  <c r="H30" i="9"/>
  <c r="I30" i="9" s="1"/>
  <c r="J30" i="9" s="1"/>
  <c r="K30" i="9" s="1"/>
  <c r="L30" i="9" s="1"/>
  <c r="M30" i="9" s="1"/>
  <c r="N30" i="9" s="1"/>
  <c r="O30" i="9" s="1"/>
  <c r="P30" i="9" s="1"/>
  <c r="Q30" i="9" s="1"/>
  <c r="H4" i="9"/>
  <c r="E229" i="8"/>
  <c r="E256" i="8" s="1"/>
  <c r="P197" i="8"/>
  <c r="E169" i="8"/>
  <c r="E214" i="8" s="1"/>
  <c r="E122" i="8"/>
  <c r="E85" i="8"/>
  <c r="F29" i="8"/>
  <c r="F15" i="8"/>
  <c r="G15" i="8" s="1"/>
  <c r="H15" i="8" s="1"/>
  <c r="I15" i="8" s="1"/>
  <c r="J15" i="8" s="1"/>
  <c r="K15" i="8" s="1"/>
  <c r="L15" i="8" s="1"/>
  <c r="M15" i="8" s="1"/>
  <c r="N15" i="8" s="1"/>
  <c r="O15" i="8" s="1"/>
  <c r="P15" i="8" s="1"/>
  <c r="Q15" i="8" s="1"/>
  <c r="L10" i="8"/>
  <c r="C13" i="8" s="1"/>
  <c r="F10" i="8"/>
  <c r="J40" i="4"/>
  <c r="F32" i="4"/>
  <c r="G32" i="4" s="1"/>
  <c r="H32" i="4" s="1"/>
  <c r="I32" i="4" s="1"/>
  <c r="J32" i="4" s="1"/>
  <c r="K32" i="4" s="1"/>
  <c r="L32" i="4" s="1"/>
  <c r="M32" i="4" s="1"/>
  <c r="N32" i="4" s="1"/>
  <c r="O32" i="4" s="1"/>
  <c r="P32" i="4" s="1"/>
  <c r="Q32" i="4" s="1"/>
  <c r="R32" i="4" s="1"/>
  <c r="S32" i="4" s="1"/>
  <c r="B30" i="4"/>
  <c r="I22" i="4"/>
  <c r="H22" i="4"/>
  <c r="G22" i="4"/>
  <c r="F22" i="4"/>
  <c r="E22" i="4"/>
  <c r="N21" i="4"/>
  <c r="M21" i="4"/>
  <c r="L21" i="4"/>
  <c r="K21" i="4"/>
  <c r="D21" i="4"/>
  <c r="N20" i="4"/>
  <c r="M20" i="4"/>
  <c r="L20" i="4"/>
  <c r="K20" i="4"/>
  <c r="D20" i="4"/>
  <c r="N19" i="4"/>
  <c r="M19" i="4"/>
  <c r="L19" i="4"/>
  <c r="K19" i="4"/>
  <c r="D19" i="4"/>
  <c r="N18" i="4"/>
  <c r="M18" i="4"/>
  <c r="L18" i="4"/>
  <c r="K18" i="4"/>
  <c r="D18" i="4"/>
  <c r="N17" i="4"/>
  <c r="M17" i="4"/>
  <c r="L17" i="4"/>
  <c r="K17" i="4"/>
  <c r="D17" i="4"/>
  <c r="L15" i="4"/>
  <c r="M15" i="4" s="1"/>
  <c r="N15" i="4" s="1"/>
  <c r="F15" i="4"/>
  <c r="G15" i="4" s="1"/>
  <c r="H15" i="4" s="1"/>
  <c r="I15" i="4" s="1"/>
  <c r="I13" i="4"/>
  <c r="H13" i="4"/>
  <c r="G13" i="4"/>
  <c r="F13" i="4"/>
  <c r="E13" i="4"/>
  <c r="N10" i="4"/>
  <c r="M10" i="4"/>
  <c r="N9" i="4"/>
  <c r="M9" i="4"/>
  <c r="N8" i="4"/>
  <c r="M8" i="4"/>
  <c r="N7" i="4"/>
  <c r="M7" i="4"/>
  <c r="N6" i="4"/>
  <c r="M6" i="4"/>
  <c r="L4" i="4"/>
  <c r="M4" i="4" s="1"/>
  <c r="N4" i="4" s="1"/>
  <c r="F4" i="4"/>
  <c r="G8" i="3"/>
  <c r="G4" i="3"/>
  <c r="F69" i="8"/>
  <c r="G104" i="8"/>
  <c r="D119" i="17"/>
  <c r="G40" i="8"/>
  <c r="D93" i="17"/>
  <c r="K33" i="11"/>
  <c r="G166" i="8"/>
  <c r="G75" i="8"/>
  <c r="F133" i="8"/>
  <c r="E101" i="8"/>
  <c r="D130" i="17"/>
  <c r="G126" i="8"/>
  <c r="F91" i="8"/>
  <c r="L33" i="11"/>
  <c r="G31" i="8"/>
  <c r="D113" i="17"/>
  <c r="N35" i="11"/>
  <c r="H33" i="11"/>
  <c r="G101" i="8"/>
  <c r="F34" i="8"/>
  <c r="E94" i="8"/>
  <c r="E31" i="8"/>
  <c r="F46" i="8"/>
  <c r="F139" i="8"/>
  <c r="F159" i="8"/>
  <c r="G133" i="8"/>
  <c r="G135" i="8"/>
  <c r="G241" i="8" s="1"/>
  <c r="L34" i="11"/>
  <c r="M34" i="11"/>
  <c r="E66" i="8"/>
  <c r="J34" i="11"/>
  <c r="G54" i="8"/>
  <c r="G55" i="8" s="1"/>
  <c r="G66" i="8"/>
  <c r="G151" i="8"/>
  <c r="D128" i="17"/>
  <c r="G159" i="8"/>
  <c r="G243" i="8" s="1"/>
  <c r="E137" i="8"/>
  <c r="G137" i="8"/>
  <c r="F166" i="8"/>
  <c r="G72" i="8"/>
  <c r="F40" i="8"/>
  <c r="F157" i="8"/>
  <c r="F101" i="8"/>
  <c r="E146" i="8"/>
  <c r="E34" i="8"/>
  <c r="D31" i="8"/>
  <c r="F54" i="8"/>
  <c r="F55" i="8" s="1"/>
  <c r="D129" i="17"/>
  <c r="E111" i="8"/>
  <c r="G91" i="8"/>
  <c r="E75" i="8"/>
  <c r="F137" i="8"/>
  <c r="E69" i="8"/>
  <c r="E91" i="8"/>
  <c r="D104" i="17"/>
  <c r="N33" i="11"/>
  <c r="O34" i="11"/>
  <c r="E46" i="8"/>
  <c r="E40" i="8"/>
  <c r="E104" i="8"/>
  <c r="K34" i="11"/>
  <c r="J33" i="11"/>
  <c r="D98" i="17"/>
  <c r="E139" i="8"/>
  <c r="G111" i="8"/>
  <c r="D111" i="17"/>
  <c r="E164" i="8"/>
  <c r="D112" i="17"/>
  <c r="J35" i="11"/>
  <c r="E151" i="8"/>
  <c r="D114" i="17"/>
  <c r="F75" i="8"/>
  <c r="G139" i="8"/>
  <c r="F72" i="8"/>
  <c r="G34" i="8"/>
  <c r="O35" i="11"/>
  <c r="E126" i="8"/>
  <c r="F111" i="8"/>
  <c r="I35" i="11"/>
  <c r="F148" i="8"/>
  <c r="D94" i="17"/>
  <c r="E157" i="8"/>
  <c r="M35" i="11"/>
  <c r="D126" i="17"/>
  <c r="D131" i="17"/>
  <c r="D115" i="17"/>
  <c r="N34" i="11"/>
  <c r="F164" i="8"/>
  <c r="G33" i="11"/>
  <c r="I34" i="11"/>
  <c r="E54" i="8"/>
  <c r="E55" i="8" s="1"/>
  <c r="D97" i="17"/>
  <c r="E148" i="8"/>
  <c r="F119" i="8"/>
  <c r="F104" i="8"/>
  <c r="I33" i="11"/>
  <c r="G34" i="11"/>
  <c r="G69" i="8"/>
  <c r="G70" i="8" s="1"/>
  <c r="F66" i="8"/>
  <c r="G94" i="8"/>
  <c r="F31" i="8"/>
  <c r="G148" i="8"/>
  <c r="K35" i="11"/>
  <c r="H34" i="11"/>
  <c r="F151" i="8"/>
  <c r="D118" i="17"/>
  <c r="D127" i="17"/>
  <c r="E119" i="8"/>
  <c r="F126" i="8"/>
  <c r="D132" i="17"/>
  <c r="E159" i="8"/>
  <c r="B35" i="3" a="1"/>
  <c r="B33" i="3" a="1"/>
  <c r="G82" i="17" a="1"/>
  <c r="G83" i="17" a="1"/>
  <c r="E82" i="17" a="1"/>
  <c r="K40" i="4" l="1"/>
  <c r="L13" i="4"/>
  <c r="K13" i="4"/>
  <c r="L58" i="8"/>
  <c r="G152" i="8"/>
  <c r="F152" i="8"/>
  <c r="H155" i="8"/>
  <c r="I155" i="8" s="1"/>
  <c r="E152" i="8"/>
  <c r="H67" i="8"/>
  <c r="M210" i="9"/>
  <c r="M211" i="9" s="1"/>
  <c r="I100" i="9"/>
  <c r="I104" i="9" s="1"/>
  <c r="I214" i="9"/>
  <c r="L188" i="9"/>
  <c r="L106" i="8" s="1"/>
  <c r="V241" i="9" s="1"/>
  <c r="L137" i="8" s="1"/>
  <c r="M179" i="9"/>
  <c r="M201" i="9" s="1"/>
  <c r="M187" i="9" s="1"/>
  <c r="N100" i="9"/>
  <c r="N104" i="9" s="1"/>
  <c r="N214" i="9"/>
  <c r="K216" i="9"/>
  <c r="M100" i="9"/>
  <c r="M104" i="9" s="1"/>
  <c r="M214" i="9"/>
  <c r="J100" i="9"/>
  <c r="J214" i="9"/>
  <c r="L216" i="9"/>
  <c r="G150" i="9"/>
  <c r="G59" i="9" s="1"/>
  <c r="G114" i="9"/>
  <c r="E105" i="8"/>
  <c r="F105" i="8"/>
  <c r="G105" i="8"/>
  <c r="G83" i="17"/>
  <c r="G82" i="17"/>
  <c r="K101" i="9"/>
  <c r="K104" i="9" s="1"/>
  <c r="G52" i="8"/>
  <c r="D54" i="17"/>
  <c r="O54" i="17" s="1"/>
  <c r="K53" i="9"/>
  <c r="E70" i="8"/>
  <c r="Q104" i="9"/>
  <c r="J101" i="9"/>
  <c r="O104" i="9"/>
  <c r="P104" i="9"/>
  <c r="G101" i="9"/>
  <c r="L104" i="9"/>
  <c r="J150" i="9"/>
  <c r="J59" i="9" s="1"/>
  <c r="J58" i="9" s="1"/>
  <c r="Q150" i="9"/>
  <c r="Q59" i="9" s="1"/>
  <c r="Q58" i="9" s="1"/>
  <c r="K114" i="9"/>
  <c r="P144" i="9"/>
  <c r="P47" i="9" s="1"/>
  <c r="P46" i="9" s="1"/>
  <c r="Q144" i="9"/>
  <c r="Q47" i="9" s="1"/>
  <c r="Q46" i="9" s="1"/>
  <c r="L53" i="9"/>
  <c r="G37" i="9"/>
  <c r="J114" i="9"/>
  <c r="G25" i="17"/>
  <c r="I28" i="11"/>
  <c r="H28" i="11"/>
  <c r="P114" i="9"/>
  <c r="H53" i="9"/>
  <c r="H114" i="9"/>
  <c r="M28" i="11"/>
  <c r="G53" i="9"/>
  <c r="N28" i="11"/>
  <c r="N37" i="19" s="1"/>
  <c r="O114" i="9"/>
  <c r="D120" i="17"/>
  <c r="Q114" i="9"/>
  <c r="Q117" i="9" s="1"/>
  <c r="N114" i="9"/>
  <c r="L114" i="9"/>
  <c r="O53" i="9"/>
  <c r="E114" i="8" s="1"/>
  <c r="L28" i="11"/>
  <c r="F70" i="8"/>
  <c r="B6" i="17" a="1"/>
  <c r="B6" i="17" s="1"/>
  <c r="C6" i="17" a="1"/>
  <c r="C6" i="17" s="1"/>
  <c r="P21" i="8"/>
  <c r="P24" i="8" s="1"/>
  <c r="P23" i="8" s="1"/>
  <c r="O31" i="8"/>
  <c r="R63" i="29"/>
  <c r="Q27" i="8" s="1"/>
  <c r="P27" i="8"/>
  <c r="AE11" i="29"/>
  <c r="AD12" i="29"/>
  <c r="Q61" i="29" s="1"/>
  <c r="Q62" i="29" s="1"/>
  <c r="D61" i="17"/>
  <c r="O61" i="17" s="1"/>
  <c r="F52" i="8"/>
  <c r="F127" i="8"/>
  <c r="J80" i="17"/>
  <c r="J38" i="17"/>
  <c r="J59" i="17" s="1"/>
  <c r="J50" i="17"/>
  <c r="J44" i="17"/>
  <c r="J71" i="17"/>
  <c r="E82" i="17"/>
  <c r="F28" i="11"/>
  <c r="F18" i="11"/>
  <c r="F44" i="11"/>
  <c r="F45" i="11"/>
  <c r="F43" i="11"/>
  <c r="G127" i="8"/>
  <c r="G140" i="8"/>
  <c r="M36" i="11"/>
  <c r="E127" i="8"/>
  <c r="L36" i="11"/>
  <c r="F36" i="11"/>
  <c r="O36" i="11"/>
  <c r="O41" i="19" s="1"/>
  <c r="J36" i="11"/>
  <c r="E140" i="8"/>
  <c r="E6" i="17"/>
  <c r="E18" i="17" s="1"/>
  <c r="E19" i="17" s="1"/>
  <c r="G25" i="3" a="1"/>
  <c r="H55" i="8"/>
  <c r="I55" i="8" s="1"/>
  <c r="D6" i="17"/>
  <c r="D18" i="17" s="1"/>
  <c r="D19" i="17" s="1"/>
  <c r="G36" i="11"/>
  <c r="F140" i="8"/>
  <c r="H36" i="11"/>
  <c r="K36" i="11"/>
  <c r="N36" i="11"/>
  <c r="N41" i="19" s="1"/>
  <c r="I36" i="11"/>
  <c r="N7" i="11"/>
  <c r="N19" i="19" s="1"/>
  <c r="V31" i="19"/>
  <c r="G10" i="6"/>
  <c r="H4" i="3"/>
  <c r="I4" i="3" s="1"/>
  <c r="G117" i="9"/>
  <c r="O37" i="9"/>
  <c r="E97" i="8" s="1"/>
  <c r="D67" i="17"/>
  <c r="O67" i="17" s="1"/>
  <c r="P53" i="9"/>
  <c r="F114" i="8" s="1"/>
  <c r="N37" i="9"/>
  <c r="P37" i="9"/>
  <c r="F97" i="8" s="1"/>
  <c r="D64" i="17"/>
  <c r="O64" i="17" s="1"/>
  <c r="D68" i="17"/>
  <c r="O68" i="17" s="1"/>
  <c r="D66" i="17"/>
  <c r="O66" i="17" s="1"/>
  <c r="D65" i="17"/>
  <c r="O65" i="17" s="1"/>
  <c r="J53" i="9"/>
  <c r="O58" i="9"/>
  <c r="K58" i="9"/>
  <c r="G58" i="9"/>
  <c r="N53" i="9"/>
  <c r="Q37" i="9"/>
  <c r="L4" i="28"/>
  <c r="B35" i="3"/>
  <c r="B33" i="3"/>
  <c r="D48" i="17"/>
  <c r="O48" i="17" s="1"/>
  <c r="N18" i="6"/>
  <c r="N17" i="6"/>
  <c r="N12" i="6"/>
  <c r="N16" i="6"/>
  <c r="N15" i="6"/>
  <c r="N9" i="6"/>
  <c r="N14" i="6"/>
  <c r="N13" i="6"/>
  <c r="N11" i="6"/>
  <c r="N10" i="6"/>
  <c r="D46" i="17"/>
  <c r="O46" i="17" s="1"/>
  <c r="D47" i="17"/>
  <c r="O47" i="17" s="1"/>
  <c r="H197" i="8"/>
  <c r="H196" i="8" s="1"/>
  <c r="E100" i="8"/>
  <c r="D55" i="17"/>
  <c r="O55" i="17" s="1"/>
  <c r="G237" i="8"/>
  <c r="G187" i="8"/>
  <c r="E27" i="19"/>
  <c r="E187" i="8"/>
  <c r="E237" i="8"/>
  <c r="G100" i="8"/>
  <c r="G124" i="8"/>
  <c r="G185" i="8" s="1"/>
  <c r="E26" i="19"/>
  <c r="E32" i="8"/>
  <c r="E103" i="8"/>
  <c r="I28" i="19"/>
  <c r="F237" i="8"/>
  <c r="F187" i="8"/>
  <c r="F243" i="8"/>
  <c r="AC8" i="8" s="1"/>
  <c r="F258" i="8"/>
  <c r="AA8" i="8" s="1"/>
  <c r="E120" i="8"/>
  <c r="E35" i="8"/>
  <c r="E243" i="8"/>
  <c r="AC7" i="8" s="1"/>
  <c r="E28" i="19"/>
  <c r="D53" i="17"/>
  <c r="O53" i="17" s="1"/>
  <c r="AC9" i="8"/>
  <c r="G258" i="8"/>
  <c r="AA9" i="8" s="1"/>
  <c r="F100" i="8"/>
  <c r="E258" i="8"/>
  <c r="AA7" i="8" s="1"/>
  <c r="F120" i="8"/>
  <c r="F103" i="8"/>
  <c r="F35" i="8"/>
  <c r="I37" i="9"/>
  <c r="M37" i="9"/>
  <c r="M117" i="9"/>
  <c r="I117" i="9"/>
  <c r="D52" i="17"/>
  <c r="O52" i="17" s="1"/>
  <c r="O67" i="9"/>
  <c r="D22" i="4"/>
  <c r="N22" i="4"/>
  <c r="G35" i="8"/>
  <c r="G103" i="8"/>
  <c r="Q67" i="9"/>
  <c r="J37" i="9"/>
  <c r="M17" i="6"/>
  <c r="M10" i="6"/>
  <c r="M18" i="6"/>
  <c r="M15" i="6"/>
  <c r="M9" i="6"/>
  <c r="O74" i="17"/>
  <c r="M16" i="6"/>
  <c r="N8" i="3"/>
  <c r="G4" i="4"/>
  <c r="M13" i="4"/>
  <c r="N13" i="4"/>
  <c r="K22" i="4"/>
  <c r="L22" i="4"/>
  <c r="F169" i="8"/>
  <c r="F214" i="8" s="1"/>
  <c r="F122" i="8"/>
  <c r="F85" i="8"/>
  <c r="R4" i="11"/>
  <c r="H8" i="9"/>
  <c r="J8" i="9"/>
  <c r="L8" i="9"/>
  <c r="M8" i="9"/>
  <c r="N8" i="9"/>
  <c r="K8" i="9"/>
  <c r="I8" i="9"/>
  <c r="O8" i="9"/>
  <c r="P8" i="9"/>
  <c r="Q8" i="9"/>
  <c r="I4" i="9"/>
  <c r="E95" i="8"/>
  <c r="G95" i="8"/>
  <c r="F95" i="8"/>
  <c r="G191" i="8"/>
  <c r="G44" i="8"/>
  <c r="F235" i="8"/>
  <c r="F185" i="8"/>
  <c r="G171" i="8"/>
  <c r="G41" i="8"/>
  <c r="G92" i="8"/>
  <c r="E112" i="8"/>
  <c r="F112" i="8"/>
  <c r="G112" i="8"/>
  <c r="G29" i="8"/>
  <c r="F229" i="8"/>
  <c r="F256" i="8" s="1"/>
  <c r="M22" i="4"/>
  <c r="L8" i="3"/>
  <c r="P8" i="3"/>
  <c r="J8" i="3"/>
  <c r="O8" i="3"/>
  <c r="H8" i="3"/>
  <c r="I8" i="3"/>
  <c r="K8" i="3"/>
  <c r="E8" i="3"/>
  <c r="M8" i="3"/>
  <c r="G162" i="8"/>
  <c r="F162" i="8"/>
  <c r="D102" i="17"/>
  <c r="E162" i="8"/>
  <c r="E129" i="8"/>
  <c r="G117" i="8"/>
  <c r="G89" i="8"/>
  <c r="G149" i="8" s="1"/>
  <c r="F117" i="8"/>
  <c r="P34" i="11"/>
  <c r="F135" i="8"/>
  <c r="F241" i="8" s="1"/>
  <c r="G63" i="8"/>
  <c r="G129" i="8"/>
  <c r="G114" i="8"/>
  <c r="P33" i="11"/>
  <c r="E117" i="8"/>
  <c r="F63" i="8"/>
  <c r="G119" i="8"/>
  <c r="E135" i="8"/>
  <c r="E241" i="8" s="1"/>
  <c r="P35" i="11"/>
  <c r="E51" i="8"/>
  <c r="E52" i="8" s="1"/>
  <c r="F129" i="8"/>
  <c r="E89" i="8"/>
  <c r="E149" i="8" s="1"/>
  <c r="F89" i="8"/>
  <c r="F149" i="8" s="1"/>
  <c r="E63" i="8"/>
  <c r="P24" i="17" a="1"/>
  <c r="L84" i="17" a="1"/>
  <c r="G84" i="17" a="1"/>
  <c r="E84" i="17" a="1"/>
  <c r="N82" i="17" a="1"/>
  <c r="K83" i="17" a="1"/>
  <c r="F83" i="17" a="1"/>
  <c r="J82" i="17" a="1"/>
  <c r="I84" i="17" a="1"/>
  <c r="I83" i="17" a="1"/>
  <c r="M83" i="17" a="1"/>
  <c r="H84" i="17" a="1"/>
  <c r="L40" i="4" l="1"/>
  <c r="M58" i="8"/>
  <c r="H152" i="8"/>
  <c r="I152" i="8" s="1"/>
  <c r="J152" i="8" s="1"/>
  <c r="M185" i="9"/>
  <c r="M180" i="9"/>
  <c r="N179" i="9" s="1"/>
  <c r="N201" i="9" s="1"/>
  <c r="N187" i="9" s="1"/>
  <c r="J155" i="8"/>
  <c r="H260" i="8"/>
  <c r="J216" i="9"/>
  <c r="N216" i="9"/>
  <c r="I216" i="9"/>
  <c r="M215" i="9"/>
  <c r="M216" i="9"/>
  <c r="H149" i="8"/>
  <c r="L117" i="9"/>
  <c r="M206" i="9"/>
  <c r="M207" i="9"/>
  <c r="N117" i="9"/>
  <c r="O206" i="9"/>
  <c r="O207" i="9"/>
  <c r="J117" i="9"/>
  <c r="K207" i="9"/>
  <c r="K206" i="9"/>
  <c r="P207" i="9"/>
  <c r="P206" i="9"/>
  <c r="N207" i="9"/>
  <c r="K117" i="9"/>
  <c r="L207" i="9"/>
  <c r="L206" i="9"/>
  <c r="N206" i="9"/>
  <c r="H117" i="9"/>
  <c r="I207" i="9"/>
  <c r="H207" i="9"/>
  <c r="M188" i="9"/>
  <c r="M106" i="8" s="1"/>
  <c r="W241" i="9" s="1"/>
  <c r="M137" i="8" s="1"/>
  <c r="Q207" i="9"/>
  <c r="J206" i="9"/>
  <c r="J207" i="9"/>
  <c r="H105" i="8"/>
  <c r="I105" i="8" s="1"/>
  <c r="J105" i="8" s="1"/>
  <c r="P48" i="9"/>
  <c r="Q48" i="9"/>
  <c r="M21" i="11"/>
  <c r="N16" i="9"/>
  <c r="G21" i="11"/>
  <c r="H16" i="9"/>
  <c r="L21" i="11"/>
  <c r="M16" i="9"/>
  <c r="I21" i="11"/>
  <c r="J16" i="9"/>
  <c r="J21" i="11"/>
  <c r="K16" i="9"/>
  <c r="P21" i="11"/>
  <c r="P31" i="19" s="1"/>
  <c r="Q16" i="9"/>
  <c r="O21" i="11"/>
  <c r="O31" i="19" s="1"/>
  <c r="P16" i="9"/>
  <c r="N21" i="11"/>
  <c r="N31" i="19" s="1"/>
  <c r="O16" i="9"/>
  <c r="J104" i="9"/>
  <c r="H21" i="11"/>
  <c r="I16" i="9"/>
  <c r="K21" i="11"/>
  <c r="L16" i="9"/>
  <c r="F67" i="8"/>
  <c r="G67" i="8"/>
  <c r="E67" i="8"/>
  <c r="Q66" i="29"/>
  <c r="Q67" i="29" s="1"/>
  <c r="AE12" i="29"/>
  <c r="R61" i="29" s="1"/>
  <c r="R62" i="29" s="1"/>
  <c r="R66" i="29" s="1"/>
  <c r="R67" i="29" s="1"/>
  <c r="Q18" i="8"/>
  <c r="P31" i="8"/>
  <c r="H35" i="8"/>
  <c r="I35" i="8" s="1"/>
  <c r="N19" i="6"/>
  <c r="G13" i="6" s="1"/>
  <c r="H127" i="8"/>
  <c r="I127" i="8" s="1"/>
  <c r="J127" i="8" s="1"/>
  <c r="K127" i="8" s="1"/>
  <c r="H140" i="8"/>
  <c r="I140" i="8" s="1"/>
  <c r="J140" i="8" s="1"/>
  <c r="K140" i="8" s="1"/>
  <c r="H54" i="8"/>
  <c r="H95" i="8"/>
  <c r="H103" i="8"/>
  <c r="P36" i="11"/>
  <c r="P41" i="19" s="1"/>
  <c r="G25" i="3"/>
  <c r="G36" i="3" s="1"/>
  <c r="I31" i="3"/>
  <c r="I30" i="3"/>
  <c r="I29" i="3"/>
  <c r="I28" i="3"/>
  <c r="I35" i="3"/>
  <c r="I27" i="3"/>
  <c r="I34" i="3"/>
  <c r="I26" i="3"/>
  <c r="I33" i="3"/>
  <c r="I32" i="3"/>
  <c r="H112" i="8"/>
  <c r="J55" i="8"/>
  <c r="K55" i="8" s="1"/>
  <c r="I7" i="11"/>
  <c r="O7" i="11"/>
  <c r="O19" i="19" s="1"/>
  <c r="J7" i="11"/>
  <c r="H7" i="11"/>
  <c r="G7" i="11"/>
  <c r="K7" i="11"/>
  <c r="M7" i="11"/>
  <c r="P7" i="11"/>
  <c r="P19" i="19" s="1"/>
  <c r="J4" i="3"/>
  <c r="K4" i="3" s="1"/>
  <c r="L4" i="3" s="1"/>
  <c r="M4" i="3" s="1"/>
  <c r="N4" i="3" s="1"/>
  <c r="O4" i="3" s="1"/>
  <c r="P4" i="3" s="1"/>
  <c r="Q4" i="3" s="1"/>
  <c r="L7" i="11"/>
  <c r="G104" i="9"/>
  <c r="F7" i="11"/>
  <c r="G24" i="17"/>
  <c r="G27" i="17"/>
  <c r="G26" i="17"/>
  <c r="O117" i="9"/>
  <c r="E64" i="8" s="1"/>
  <c r="AD8" i="8"/>
  <c r="G120" i="8"/>
  <c r="H120" i="8" s="1"/>
  <c r="M4" i="28"/>
  <c r="P24" i="17"/>
  <c r="M14" i="6"/>
  <c r="B79" i="28"/>
  <c r="M11" i="6"/>
  <c r="B80" i="28"/>
  <c r="M12" i="6"/>
  <c r="B81" i="28"/>
  <c r="M13" i="6"/>
  <c r="L29" i="17"/>
  <c r="K29" i="17"/>
  <c r="N29" i="17"/>
  <c r="E29" i="17"/>
  <c r="B77" i="28"/>
  <c r="F29" i="17"/>
  <c r="B78" i="28"/>
  <c r="M29" i="17"/>
  <c r="M83" i="17"/>
  <c r="J82" i="17"/>
  <c r="K83" i="17"/>
  <c r="I84" i="17"/>
  <c r="I83" i="17"/>
  <c r="L84" i="17"/>
  <c r="N82" i="17"/>
  <c r="G84" i="17"/>
  <c r="H84" i="17"/>
  <c r="F83" i="17"/>
  <c r="E84" i="17"/>
  <c r="I72" i="8"/>
  <c r="D57" i="17"/>
  <c r="O57" i="17" s="1"/>
  <c r="AD9" i="8"/>
  <c r="AD7" i="8"/>
  <c r="G115" i="8"/>
  <c r="I26" i="19"/>
  <c r="I27" i="19"/>
  <c r="H57" i="8"/>
  <c r="E189" i="8"/>
  <c r="G235" i="8"/>
  <c r="H29" i="17"/>
  <c r="F191" i="8"/>
  <c r="E191" i="8"/>
  <c r="G58" i="8"/>
  <c r="P117" i="9"/>
  <c r="AE9" i="8"/>
  <c r="E124" i="8"/>
  <c r="I29" i="17"/>
  <c r="G29" i="17"/>
  <c r="H4" i="4"/>
  <c r="J4" i="9"/>
  <c r="G85" i="8"/>
  <c r="G229" i="8"/>
  <c r="H29" i="8"/>
  <c r="G122" i="8"/>
  <c r="G169" i="8"/>
  <c r="G214" i="8" s="1"/>
  <c r="G189" i="8"/>
  <c r="F189" i="8"/>
  <c r="G37" i="8"/>
  <c r="D117" i="17"/>
  <c r="F37" i="8"/>
  <c r="G97" i="8"/>
  <c r="D99" i="17"/>
  <c r="E37" i="8"/>
  <c r="N84" i="17" a="1"/>
  <c r="M84" i="17" a="1"/>
  <c r="J84" i="17" a="1"/>
  <c r="K82" i="17" a="1"/>
  <c r="J83" i="17" a="1"/>
  <c r="F84" i="17" a="1"/>
  <c r="H82" i="17" a="1"/>
  <c r="K84" i="17" a="1"/>
  <c r="L83" i="17" a="1"/>
  <c r="N83" i="17" a="1"/>
  <c r="M82" i="17" a="1"/>
  <c r="F82" i="17" a="1"/>
  <c r="H83" i="17" a="1"/>
  <c r="I82" i="17" a="1"/>
  <c r="E83" i="17" a="1"/>
  <c r="L82" i="17" a="1"/>
  <c r="M40" i="4" l="1"/>
  <c r="N58" i="8"/>
  <c r="N185" i="9"/>
  <c r="N188" i="9" s="1"/>
  <c r="N106" i="8" s="1"/>
  <c r="X241" i="9" s="1"/>
  <c r="N137" i="8" s="1"/>
  <c r="N180" i="9"/>
  <c r="O179" i="9" s="1"/>
  <c r="O201" i="9" s="1"/>
  <c r="O187" i="9" s="1"/>
  <c r="K155" i="8"/>
  <c r="L155" i="8" s="1"/>
  <c r="K152" i="8"/>
  <c r="I149" i="8"/>
  <c r="K105" i="8"/>
  <c r="F64" i="8"/>
  <c r="G16" i="6"/>
  <c r="Q21" i="8"/>
  <c r="Q24" i="8" s="1"/>
  <c r="Q23" i="8" s="1"/>
  <c r="Q31" i="8" s="1"/>
  <c r="J35" i="8"/>
  <c r="H139" i="8"/>
  <c r="Q34" i="11"/>
  <c r="Q35" i="11"/>
  <c r="G64" i="8"/>
  <c r="H51" i="8"/>
  <c r="H52" i="8" s="1"/>
  <c r="L127" i="8"/>
  <c r="M127" i="8" s="1"/>
  <c r="N127" i="8" s="1"/>
  <c r="I112" i="8"/>
  <c r="J112" i="8" s="1"/>
  <c r="I95" i="8"/>
  <c r="J95" i="8" s="1"/>
  <c r="K95" i="8" s="1"/>
  <c r="L95" i="8" s="1"/>
  <c r="I103" i="8"/>
  <c r="J103" i="8" s="1"/>
  <c r="L140" i="8"/>
  <c r="M140" i="8" s="1"/>
  <c r="N140" i="8" s="1"/>
  <c r="I120" i="8"/>
  <c r="J120" i="8" s="1"/>
  <c r="K120" i="8" s="1"/>
  <c r="L55" i="8"/>
  <c r="M55" i="8" s="1"/>
  <c r="N6" i="11"/>
  <c r="N18" i="19" s="1"/>
  <c r="H6" i="11"/>
  <c r="I6" i="11"/>
  <c r="J6" i="11"/>
  <c r="G6" i="11"/>
  <c r="M6" i="11"/>
  <c r="K6" i="11"/>
  <c r="Q8" i="3"/>
  <c r="J4" i="27"/>
  <c r="B13" i="27"/>
  <c r="B4" i="27"/>
  <c r="L6" i="11"/>
  <c r="F6" i="11"/>
  <c r="F8" i="11"/>
  <c r="G98" i="8"/>
  <c r="N83" i="17"/>
  <c r="I82" i="17"/>
  <c r="N4" i="28"/>
  <c r="C7" i="27"/>
  <c r="H83" i="17"/>
  <c r="J83" i="17"/>
  <c r="F84" i="17"/>
  <c r="B39" i="28"/>
  <c r="B51" i="28"/>
  <c r="B23" i="28"/>
  <c r="B37" i="28"/>
  <c r="B65" i="28"/>
  <c r="B53" i="28"/>
  <c r="B67" i="28"/>
  <c r="B25" i="28"/>
  <c r="J84" i="17"/>
  <c r="M84" i="17"/>
  <c r="B52" i="28"/>
  <c r="B66" i="28"/>
  <c r="B24" i="28"/>
  <c r="B38" i="28"/>
  <c r="H82" i="17"/>
  <c r="K82" i="17"/>
  <c r="K84" i="17"/>
  <c r="L38" i="17"/>
  <c r="L59" i="17" s="1"/>
  <c r="L44" i="17"/>
  <c r="L50" i="17"/>
  <c r="K80" i="17"/>
  <c r="L71" i="17"/>
  <c r="F80" i="17"/>
  <c r="L80" i="17"/>
  <c r="K50" i="17"/>
  <c r="K71" i="17"/>
  <c r="N80" i="17"/>
  <c r="E38" i="17"/>
  <c r="E59" i="17" s="1"/>
  <c r="M50" i="17"/>
  <c r="M80" i="17"/>
  <c r="K38" i="17"/>
  <c r="K59" i="17" s="1"/>
  <c r="K44" i="17"/>
  <c r="E50" i="17"/>
  <c r="E71" i="17"/>
  <c r="E80" i="17"/>
  <c r="M38" i="17"/>
  <c r="M59" i="17" s="1"/>
  <c r="L83" i="17"/>
  <c r="F82" i="17"/>
  <c r="N84" i="17"/>
  <c r="L82" i="17"/>
  <c r="F44" i="17"/>
  <c r="F50" i="17"/>
  <c r="F71" i="17"/>
  <c r="N44" i="17"/>
  <c r="M44" i="17"/>
  <c r="N38" i="17"/>
  <c r="N59" i="17" s="1"/>
  <c r="M71" i="17"/>
  <c r="N50" i="17"/>
  <c r="E83" i="17"/>
  <c r="M82" i="17"/>
  <c r="F38" i="17"/>
  <c r="F59" i="17" s="1"/>
  <c r="N71" i="17"/>
  <c r="E44" i="17"/>
  <c r="B63" i="28"/>
  <c r="B49" i="28"/>
  <c r="B35" i="28"/>
  <c r="B21" i="28"/>
  <c r="D29" i="17"/>
  <c r="B6" i="28"/>
  <c r="B76" i="28" s="1"/>
  <c r="B22" i="28"/>
  <c r="B64" i="28"/>
  <c r="B50" i="28"/>
  <c r="B36" i="28"/>
  <c r="I196" i="8"/>
  <c r="J72" i="8"/>
  <c r="E38" i="8"/>
  <c r="G38" i="8"/>
  <c r="F38" i="8"/>
  <c r="D56" i="17"/>
  <c r="O56" i="17" s="1"/>
  <c r="G80" i="17"/>
  <c r="G71" i="17"/>
  <c r="G50" i="17"/>
  <c r="G44" i="17"/>
  <c r="G38" i="17"/>
  <c r="G59" i="17" s="1"/>
  <c r="I80" i="17"/>
  <c r="I71" i="17"/>
  <c r="I50" i="17"/>
  <c r="I44" i="17"/>
  <c r="I38" i="17"/>
  <c r="I59" i="17" s="1"/>
  <c r="H80" i="17"/>
  <c r="H71" i="17"/>
  <c r="H50" i="17"/>
  <c r="H44" i="17"/>
  <c r="H38" i="17"/>
  <c r="H59" i="17" s="1"/>
  <c r="E235" i="8"/>
  <c r="E185" i="8"/>
  <c r="F92" i="8"/>
  <c r="F98" i="8"/>
  <c r="F44" i="8"/>
  <c r="F171" i="8"/>
  <c r="G32" i="8"/>
  <c r="F41" i="8"/>
  <c r="F115" i="8"/>
  <c r="I4" i="4"/>
  <c r="J13" i="4" s="1"/>
  <c r="H32" i="8"/>
  <c r="K4" i="9"/>
  <c r="G239" i="8"/>
  <c r="E239" i="8"/>
  <c r="H85" i="8"/>
  <c r="I29" i="8"/>
  <c r="H169" i="8"/>
  <c r="H214" i="8" s="1"/>
  <c r="H122" i="8"/>
  <c r="H229" i="8"/>
  <c r="I229" i="8" s="1"/>
  <c r="J229" i="8" s="1"/>
  <c r="K229" i="8" s="1"/>
  <c r="L229" i="8" s="1"/>
  <c r="M229" i="8" s="1"/>
  <c r="N229" i="8" s="1"/>
  <c r="O229" i="8" s="1"/>
  <c r="P229" i="8" s="1"/>
  <c r="Q229" i="8" s="1"/>
  <c r="G256" i="8"/>
  <c r="H256" i="8" s="1"/>
  <c r="I256" i="8" s="1"/>
  <c r="J256" i="8" s="1"/>
  <c r="K256" i="8" s="1"/>
  <c r="L256" i="8" s="1"/>
  <c r="M256" i="8" s="1"/>
  <c r="N256" i="8" s="1"/>
  <c r="O256" i="8" s="1"/>
  <c r="P256" i="8" s="1"/>
  <c r="Q256" i="8" s="1"/>
  <c r="F239" i="8"/>
  <c r="F51" i="11"/>
  <c r="F50" i="11"/>
  <c r="D84" i="17" a="1"/>
  <c r="D82" i="17" a="1"/>
  <c r="D83" i="17" a="1"/>
  <c r="N40" i="4" l="1"/>
  <c r="O58" i="8"/>
  <c r="M155" i="8"/>
  <c r="L152" i="8"/>
  <c r="J149" i="8"/>
  <c r="L105" i="8"/>
  <c r="O180" i="9"/>
  <c r="O185" i="9"/>
  <c r="O188" i="9" s="1"/>
  <c r="O106" i="8" s="1"/>
  <c r="Y241" i="9" s="1"/>
  <c r="O137" i="8" s="1"/>
  <c r="K35" i="8"/>
  <c r="H46" i="8"/>
  <c r="H75" i="8"/>
  <c r="H40" i="8"/>
  <c r="H162" i="8"/>
  <c r="H114" i="8"/>
  <c r="H135" i="8"/>
  <c r="H119" i="8"/>
  <c r="H102" i="8"/>
  <c r="H154" i="8" s="1"/>
  <c r="H97" i="8"/>
  <c r="F9" i="11"/>
  <c r="F19" i="11"/>
  <c r="K103" i="8"/>
  <c r="L103" i="8" s="1"/>
  <c r="M95" i="8"/>
  <c r="N95" i="8" s="1"/>
  <c r="O140" i="8"/>
  <c r="P140" i="8" s="1"/>
  <c r="O127" i="8"/>
  <c r="P127" i="8" s="1"/>
  <c r="L120" i="8"/>
  <c r="N55" i="8"/>
  <c r="O55" i="8" s="1"/>
  <c r="K112" i="8"/>
  <c r="L112" i="8" s="1"/>
  <c r="P6" i="11"/>
  <c r="P18" i="19" s="1"/>
  <c r="O6" i="11"/>
  <c r="O18" i="19" s="1"/>
  <c r="R34" i="11"/>
  <c r="R35" i="11"/>
  <c r="G22" i="9"/>
  <c r="D83" i="17"/>
  <c r="O83" i="17" s="1"/>
  <c r="O4" i="28"/>
  <c r="D84" i="17"/>
  <c r="O84" i="17" s="1"/>
  <c r="D82" i="17"/>
  <c r="O82" i="17" s="1"/>
  <c r="J22" i="4"/>
  <c r="J6" i="4"/>
  <c r="D71" i="17"/>
  <c r="B48" i="28"/>
  <c r="B34" i="28"/>
  <c r="B20" i="28"/>
  <c r="B62" i="28"/>
  <c r="D38" i="17"/>
  <c r="D59" i="17" s="1"/>
  <c r="D80" i="17"/>
  <c r="D44" i="17"/>
  <c r="D50" i="17"/>
  <c r="J196" i="8"/>
  <c r="K72" i="8"/>
  <c r="E29" i="19"/>
  <c r="J8" i="4"/>
  <c r="J17" i="4"/>
  <c r="J21" i="4"/>
  <c r="J18" i="4"/>
  <c r="J7" i="4"/>
  <c r="H124" i="8"/>
  <c r="H185" i="8" s="1"/>
  <c r="G172" i="8"/>
  <c r="H43" i="8"/>
  <c r="H34" i="8"/>
  <c r="L72" i="8"/>
  <c r="J20" i="4"/>
  <c r="J15" i="4"/>
  <c r="J4" i="4"/>
  <c r="J19" i="4"/>
  <c r="J10" i="4"/>
  <c r="J9" i="4"/>
  <c r="L4" i="9"/>
  <c r="E172" i="8"/>
  <c r="I32" i="8"/>
  <c r="I85" i="8"/>
  <c r="J29" i="8"/>
  <c r="I122" i="8"/>
  <c r="I169" i="8"/>
  <c r="I214" i="8" s="1"/>
  <c r="F49" i="11"/>
  <c r="O40" i="4" l="1"/>
  <c r="N155" i="8"/>
  <c r="O155" i="8" s="1"/>
  <c r="M152" i="8"/>
  <c r="N152" i="8" s="1"/>
  <c r="K149" i="8"/>
  <c r="H101" i="8"/>
  <c r="I139" i="8" s="1"/>
  <c r="P179" i="9"/>
  <c r="P201" i="9" s="1"/>
  <c r="P187" i="9" s="1"/>
  <c r="P58" i="8" s="1"/>
  <c r="M105" i="8"/>
  <c r="N105" i="8" s="1"/>
  <c r="R182" i="9"/>
  <c r="L35" i="8"/>
  <c r="M35" i="8" s="1"/>
  <c r="H111" i="8"/>
  <c r="H94" i="8"/>
  <c r="I97" i="8"/>
  <c r="I102" i="8"/>
  <c r="I154" i="8" s="1"/>
  <c r="I119" i="8"/>
  <c r="I114" i="8"/>
  <c r="I162" i="8"/>
  <c r="I40" i="8"/>
  <c r="H126" i="8"/>
  <c r="H151" i="8" s="1"/>
  <c r="I75" i="8"/>
  <c r="I46" i="8"/>
  <c r="G118" i="9"/>
  <c r="G119" i="9" s="1"/>
  <c r="F20" i="11"/>
  <c r="M103" i="8"/>
  <c r="N103" i="8" s="1"/>
  <c r="Q127" i="8"/>
  <c r="O95" i="8"/>
  <c r="P95" i="8" s="1"/>
  <c r="Q95" i="8" s="1"/>
  <c r="P55" i="8"/>
  <c r="Q55" i="8" s="1"/>
  <c r="M112" i="8"/>
  <c r="N112" i="8" s="1"/>
  <c r="Q140" i="8"/>
  <c r="M120" i="8"/>
  <c r="N120" i="8" s="1"/>
  <c r="G24" i="9"/>
  <c r="F10" i="11" s="1"/>
  <c r="P4" i="28"/>
  <c r="H115" i="8"/>
  <c r="K196" i="8"/>
  <c r="E30" i="19"/>
  <c r="H174" i="8"/>
  <c r="H37" i="8"/>
  <c r="H60" i="8" s="1"/>
  <c r="M72" i="8"/>
  <c r="M4" i="9"/>
  <c r="J85" i="8"/>
  <c r="J122" i="8"/>
  <c r="K29" i="8"/>
  <c r="J169" i="8"/>
  <c r="J214" i="8" s="1"/>
  <c r="I43" i="8"/>
  <c r="I34" i="8"/>
  <c r="H235" i="8"/>
  <c r="I36" i="3"/>
  <c r="I25" i="3"/>
  <c r="P40" i="4" l="1"/>
  <c r="H175" i="8"/>
  <c r="H173" i="8"/>
  <c r="P155" i="8"/>
  <c r="Q155" i="8" s="1"/>
  <c r="I54" i="8"/>
  <c r="O152" i="8"/>
  <c r="L149" i="8"/>
  <c r="M149" i="8" s="1"/>
  <c r="P185" i="9"/>
  <c r="P188" i="9" s="1"/>
  <c r="P106" i="8" s="1"/>
  <c r="Z241" i="9" s="1"/>
  <c r="P137" i="8" s="1"/>
  <c r="P180" i="9"/>
  <c r="Q179" i="9" s="1"/>
  <c r="H104" i="8"/>
  <c r="H100" i="8" s="1"/>
  <c r="O105" i="8"/>
  <c r="I57" i="8"/>
  <c r="N35" i="8"/>
  <c r="O35" i="8" s="1"/>
  <c r="P35" i="8" s="1"/>
  <c r="Q35" i="8" s="1"/>
  <c r="I126" i="8"/>
  <c r="I151" i="8" s="1"/>
  <c r="I37" i="8"/>
  <c r="I111" i="8"/>
  <c r="I94" i="8"/>
  <c r="J32" i="8"/>
  <c r="J119" i="8"/>
  <c r="J102" i="8"/>
  <c r="J154" i="8" s="1"/>
  <c r="O103" i="8"/>
  <c r="P103" i="8" s="1"/>
  <c r="F56" i="11"/>
  <c r="F57" i="11"/>
  <c r="F23" i="11"/>
  <c r="G66" i="9"/>
  <c r="F63" i="11" s="1"/>
  <c r="O112" i="8"/>
  <c r="P112" i="8" s="1"/>
  <c r="Q112" i="8" s="1"/>
  <c r="O120" i="8"/>
  <c r="P120" i="8" s="1"/>
  <c r="Q4" i="28"/>
  <c r="R81" i="28" s="1"/>
  <c r="R77" i="28"/>
  <c r="R76" i="28"/>
  <c r="L196" i="8"/>
  <c r="E31" i="19"/>
  <c r="AH10" i="8"/>
  <c r="H172" i="8"/>
  <c r="H171" i="8" s="1"/>
  <c r="I174" i="8"/>
  <c r="H38" i="8"/>
  <c r="Q21" i="11" s="1"/>
  <c r="Q31" i="19" s="1"/>
  <c r="N72" i="8"/>
  <c r="J34" i="8"/>
  <c r="J43" i="8"/>
  <c r="N4" i="9"/>
  <c r="K85" i="8"/>
  <c r="K122" i="8"/>
  <c r="L29" i="8"/>
  <c r="K169" i="8"/>
  <c r="K214" i="8" s="1"/>
  <c r="Q40" i="4" l="1"/>
  <c r="I60" i="8"/>
  <c r="Q201" i="9"/>
  <c r="Q187" i="9" s="1"/>
  <c r="Q58" i="8" s="1"/>
  <c r="Q180" i="9"/>
  <c r="R180" i="9" s="1"/>
  <c r="Q185" i="9"/>
  <c r="I175" i="8"/>
  <c r="I173" i="8"/>
  <c r="P152" i="8"/>
  <c r="Q152" i="8" s="1"/>
  <c r="I51" i="8"/>
  <c r="I52" i="8" s="1"/>
  <c r="N149" i="8"/>
  <c r="P105" i="8"/>
  <c r="Q105" i="8" s="1"/>
  <c r="J57" i="8"/>
  <c r="I38" i="8"/>
  <c r="R21" i="11" s="1"/>
  <c r="R31" i="19" s="1"/>
  <c r="J111" i="8"/>
  <c r="J94" i="8"/>
  <c r="K32" i="8"/>
  <c r="K119" i="8"/>
  <c r="K102" i="8"/>
  <c r="K154" i="8" s="1"/>
  <c r="J75" i="8"/>
  <c r="J162" i="8"/>
  <c r="J97" i="8"/>
  <c r="J40" i="8"/>
  <c r="J114" i="8"/>
  <c r="J46" i="8"/>
  <c r="G75" i="9"/>
  <c r="Q103" i="8"/>
  <c r="Q120" i="8"/>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R4" i="28"/>
  <c r="R18" i="28"/>
  <c r="R32" i="28"/>
  <c r="R46" i="28"/>
  <c r="R60" i="28"/>
  <c r="R74" i="28"/>
  <c r="M196" i="8"/>
  <c r="E32" i="19"/>
  <c r="AH11" i="8"/>
  <c r="I172" i="8"/>
  <c r="I171" i="8" s="1"/>
  <c r="J174" i="8"/>
  <c r="J37" i="8"/>
  <c r="O72" i="8"/>
  <c r="O4" i="9"/>
  <c r="K43" i="8"/>
  <c r="K34" i="8"/>
  <c r="M29" i="8"/>
  <c r="L85" i="8"/>
  <c r="L122" i="8"/>
  <c r="L169" i="8"/>
  <c r="L214" i="8" s="1"/>
  <c r="R40" i="4" l="1"/>
  <c r="J60" i="8"/>
  <c r="I48" i="8"/>
  <c r="Q188" i="9"/>
  <c r="Q106" i="8" s="1"/>
  <c r="AA241" i="9" s="1"/>
  <c r="Q137" i="8" s="1"/>
  <c r="J175" i="8"/>
  <c r="J173" i="8"/>
  <c r="K75" i="8"/>
  <c r="O149" i="8"/>
  <c r="K57" i="8"/>
  <c r="K97" i="8"/>
  <c r="K37" i="8"/>
  <c r="K111" i="8"/>
  <c r="K94" i="8"/>
  <c r="K162" i="8"/>
  <c r="K46" i="8"/>
  <c r="L32" i="8"/>
  <c r="L119" i="8"/>
  <c r="L102" i="8"/>
  <c r="L154" i="8" s="1"/>
  <c r="K114" i="8"/>
  <c r="K40" i="8"/>
  <c r="J126" i="8"/>
  <c r="J151" i="8" s="1"/>
  <c r="N196" i="8"/>
  <c r="E33" i="19"/>
  <c r="B93" i="17"/>
  <c r="L34" i="8"/>
  <c r="L43" i="8"/>
  <c r="K174" i="8"/>
  <c r="J172" i="8"/>
  <c r="J171" i="8" s="1"/>
  <c r="J38" i="8"/>
  <c r="P72" i="8"/>
  <c r="P4" i="9"/>
  <c r="H4" i="17" s="1"/>
  <c r="M85" i="8"/>
  <c r="M122" i="8"/>
  <c r="N29" i="8"/>
  <c r="M169" i="8"/>
  <c r="M214" i="8" s="1"/>
  <c r="S40" i="4" l="1"/>
  <c r="K38" i="8"/>
  <c r="K60" i="8"/>
  <c r="K175" i="8"/>
  <c r="K173" i="8"/>
  <c r="L75" i="8"/>
  <c r="L114" i="8"/>
  <c r="P149" i="8"/>
  <c r="Q149" i="8" s="1"/>
  <c r="L57" i="8"/>
  <c r="L174" i="8"/>
  <c r="L40" i="8"/>
  <c r="K126" i="8"/>
  <c r="K151" i="8" s="1"/>
  <c r="L162" i="8"/>
  <c r="M32" i="8"/>
  <c r="M102" i="8"/>
  <c r="M154" i="8" s="1"/>
  <c r="M119" i="8"/>
  <c r="L37" i="8"/>
  <c r="L111" i="8"/>
  <c r="L94" i="8"/>
  <c r="L97" i="8"/>
  <c r="L46" i="8"/>
  <c r="O196" i="8"/>
  <c r="L172" i="8"/>
  <c r="D4" i="17"/>
  <c r="B94" i="17"/>
  <c r="K172" i="8"/>
  <c r="K171" i="8" s="1"/>
  <c r="Q72" i="8"/>
  <c r="Q4" i="9"/>
  <c r="N122" i="8"/>
  <c r="O29" i="8"/>
  <c r="N85" i="8"/>
  <c r="N169" i="8"/>
  <c r="N214" i="8" s="1"/>
  <c r="M34" i="8"/>
  <c r="M43" i="8"/>
  <c r="L38" i="8" l="1"/>
  <c r="L60" i="8"/>
  <c r="L175" i="8"/>
  <c r="L173" i="8"/>
  <c r="M114" i="8"/>
  <c r="M57" i="8"/>
  <c r="M97" i="8"/>
  <c r="M75" i="8"/>
  <c r="M46" i="8"/>
  <c r="N32" i="8"/>
  <c r="N119" i="8"/>
  <c r="N102" i="8"/>
  <c r="N154" i="8" s="1"/>
  <c r="M40" i="8"/>
  <c r="L126" i="8"/>
  <c r="L151" i="8" s="1"/>
  <c r="M37" i="8"/>
  <c r="M94" i="8"/>
  <c r="M111" i="8"/>
  <c r="M162" i="8"/>
  <c r="L171" i="8"/>
  <c r="R6" i="9"/>
  <c r="P196" i="8"/>
  <c r="R117" i="9"/>
  <c r="B97" i="17"/>
  <c r="R120" i="9"/>
  <c r="R122" i="9"/>
  <c r="R121" i="9"/>
  <c r="I4" i="17"/>
  <c r="E4" i="17"/>
  <c r="R89" i="9"/>
  <c r="M174" i="8"/>
  <c r="R112" i="9"/>
  <c r="R14" i="9"/>
  <c r="R115" i="9"/>
  <c r="R116" i="9"/>
  <c r="R13" i="9"/>
  <c r="R114" i="9"/>
  <c r="R78" i="9"/>
  <c r="R79" i="9"/>
  <c r="R81" i="9"/>
  <c r="R82" i="9"/>
  <c r="R83" i="9"/>
  <c r="R84" i="9"/>
  <c r="R50" i="9"/>
  <c r="R51" i="9"/>
  <c r="R56" i="9"/>
  <c r="R52" i="9"/>
  <c r="R42" i="9"/>
  <c r="R49" i="9"/>
  <c r="R41" i="9"/>
  <c r="R40" i="9"/>
  <c r="R34" i="9"/>
  <c r="R33" i="9"/>
  <c r="R10" i="9"/>
  <c r="R18" i="9"/>
  <c r="R19" i="9"/>
  <c r="R20" i="9"/>
  <c r="R17" i="9"/>
  <c r="R21" i="9"/>
  <c r="R88" i="9"/>
  <c r="N43" i="8"/>
  <c r="N34" i="8"/>
  <c r="R4" i="9"/>
  <c r="R30" i="9"/>
  <c r="R64" i="9"/>
  <c r="R68" i="9"/>
  <c r="R94" i="9"/>
  <c r="R35" i="9"/>
  <c r="R37" i="9"/>
  <c r="R91" i="9"/>
  <c r="R44" i="9"/>
  <c r="R92" i="9"/>
  <c r="R36" i="9"/>
  <c r="R67" i="9"/>
  <c r="R26" i="9"/>
  <c r="R15" i="9"/>
  <c r="R87" i="9"/>
  <c r="R28" i="9"/>
  <c r="R7" i="9"/>
  <c r="R90" i="9"/>
  <c r="R55" i="9"/>
  <c r="R25" i="9"/>
  <c r="R57" i="9"/>
  <c r="R9" i="9"/>
  <c r="R11" i="9"/>
  <c r="R32" i="9"/>
  <c r="R23" i="9"/>
  <c r="R8" i="9"/>
  <c r="R38" i="9"/>
  <c r="R39" i="9"/>
  <c r="R77" i="9"/>
  <c r="R93" i="9"/>
  <c r="R76" i="9"/>
  <c r="O122" i="8"/>
  <c r="P29" i="8"/>
  <c r="O85" i="8"/>
  <c r="O169" i="8"/>
  <c r="O214" i="8" s="1"/>
  <c r="M38" i="8" l="1"/>
  <c r="M60" i="8"/>
  <c r="M175" i="8"/>
  <c r="M173" i="8"/>
  <c r="N114" i="8"/>
  <c r="N162" i="8"/>
  <c r="N57" i="8"/>
  <c r="N94" i="8"/>
  <c r="N111" i="8"/>
  <c r="N46" i="8"/>
  <c r="N75" i="8"/>
  <c r="N97" i="8"/>
  <c r="O32" i="8"/>
  <c r="O102" i="8"/>
  <c r="O154" i="8" s="1"/>
  <c r="O119" i="8"/>
  <c r="N40" i="8"/>
  <c r="M126" i="8"/>
  <c r="M151" i="8" s="1"/>
  <c r="Q196" i="8"/>
  <c r="M172" i="8"/>
  <c r="M171" i="8" s="1"/>
  <c r="N174" i="8"/>
  <c r="N37" i="8"/>
  <c r="E98" i="8"/>
  <c r="H98" i="8" s="1"/>
  <c r="E41" i="8"/>
  <c r="H41" i="8" s="1"/>
  <c r="E44" i="8"/>
  <c r="E171" i="8"/>
  <c r="E92" i="8"/>
  <c r="H92" i="8" s="1"/>
  <c r="E115" i="8"/>
  <c r="F32" i="8"/>
  <c r="F172" i="8" s="1"/>
  <c r="O34" i="8"/>
  <c r="O43" i="8"/>
  <c r="P169" i="8"/>
  <c r="P214" i="8" s="1"/>
  <c r="Q29" i="8"/>
  <c r="P85" i="8"/>
  <c r="P122" i="8"/>
  <c r="N60" i="8" l="1"/>
  <c r="N173" i="8"/>
  <c r="N175" i="8"/>
  <c r="O114" i="8"/>
  <c r="O57" i="8"/>
  <c r="O97" i="8"/>
  <c r="O75" i="8"/>
  <c r="O162" i="8"/>
  <c r="O40" i="8"/>
  <c r="N126" i="8"/>
  <c r="N151" i="8" s="1"/>
  <c r="O37" i="8"/>
  <c r="O94" i="8"/>
  <c r="O111" i="8"/>
  <c r="P32" i="8"/>
  <c r="P102" i="8"/>
  <c r="P154" i="8" s="1"/>
  <c r="P119" i="8"/>
  <c r="O46" i="8"/>
  <c r="I92" i="8"/>
  <c r="J92" i="8" s="1"/>
  <c r="H91" i="8"/>
  <c r="H129" i="8" s="1"/>
  <c r="I41" i="8"/>
  <c r="J41" i="8" s="1"/>
  <c r="I98" i="8"/>
  <c r="J98" i="8" s="1"/>
  <c r="Q22" i="11"/>
  <c r="Q32" i="19" s="1"/>
  <c r="O174" i="8"/>
  <c r="N172" i="8"/>
  <c r="N171" i="8" s="1"/>
  <c r="N38" i="8"/>
  <c r="P34" i="8"/>
  <c r="P43" i="8"/>
  <c r="Q169" i="8"/>
  <c r="Q214" i="8" s="1"/>
  <c r="Q85" i="8"/>
  <c r="Q122" i="8"/>
  <c r="O60" i="8" l="1"/>
  <c r="O173" i="8"/>
  <c r="O175" i="8"/>
  <c r="P114" i="8"/>
  <c r="P57" i="8"/>
  <c r="P40" i="8"/>
  <c r="O126" i="8"/>
  <c r="O151" i="8" s="1"/>
  <c r="P162" i="8"/>
  <c r="P37" i="8"/>
  <c r="P94" i="8"/>
  <c r="P111" i="8"/>
  <c r="Q32" i="8"/>
  <c r="Q119" i="8"/>
  <c r="Q102" i="8"/>
  <c r="Q154" i="8" s="1"/>
  <c r="P46" i="8"/>
  <c r="P75" i="8"/>
  <c r="O38" i="8"/>
  <c r="P97" i="8"/>
  <c r="P174" i="8"/>
  <c r="J91" i="8"/>
  <c r="K92" i="8"/>
  <c r="K91" i="8" s="1"/>
  <c r="K98" i="8"/>
  <c r="L98" i="8" s="1"/>
  <c r="K41" i="8"/>
  <c r="L41" i="8" s="1"/>
  <c r="I91" i="8"/>
  <c r="I129" i="8" s="1"/>
  <c r="R33" i="11"/>
  <c r="R36" i="11" s="1"/>
  <c r="R41" i="19" s="1"/>
  <c r="O172" i="8"/>
  <c r="O171" i="8" s="1"/>
  <c r="Q34" i="8"/>
  <c r="Q43" i="8"/>
  <c r="Q33" i="11"/>
  <c r="Q36" i="11" s="1"/>
  <c r="P60" i="8" l="1"/>
  <c r="Q114" i="8"/>
  <c r="P172" i="8"/>
  <c r="P171" i="8" s="1"/>
  <c r="P175" i="8"/>
  <c r="P173" i="8"/>
  <c r="Q57" i="8"/>
  <c r="Q97" i="8"/>
  <c r="Q46" i="8"/>
  <c r="Q162" i="8"/>
  <c r="Q75" i="8"/>
  <c r="Q40" i="8"/>
  <c r="Q126" i="8" s="1"/>
  <c r="Q151" i="8" s="1"/>
  <c r="P126" i="8"/>
  <c r="P151" i="8" s="1"/>
  <c r="Q94" i="8"/>
  <c r="Q111" i="8"/>
  <c r="P38" i="8"/>
  <c r="L92" i="8"/>
  <c r="L91" i="8" s="1"/>
  <c r="L129" i="8" s="1"/>
  <c r="M41" i="8"/>
  <c r="N41" i="8" s="1"/>
  <c r="M98" i="8"/>
  <c r="N98" i="8" s="1"/>
  <c r="K129" i="8"/>
  <c r="J129" i="8"/>
  <c r="Q174" i="8"/>
  <c r="E16" i="27"/>
  <c r="Q41" i="19"/>
  <c r="H237" i="8"/>
  <c r="Q37" i="8"/>
  <c r="R22" i="11"/>
  <c r="R32" i="19" s="1"/>
  <c r="Q60" i="8" l="1"/>
  <c r="Q175" i="8"/>
  <c r="Q173" i="8"/>
  <c r="O41" i="8"/>
  <c r="P41" i="8" s="1"/>
  <c r="M92" i="8"/>
  <c r="M91" i="8" s="1"/>
  <c r="M129" i="8" s="1"/>
  <c r="O98" i="8"/>
  <c r="P98" i="8" s="1"/>
  <c r="Q98" i="8" s="1"/>
  <c r="Q172" i="8"/>
  <c r="Q171" i="8" s="1"/>
  <c r="F16" i="27"/>
  <c r="D16" i="27"/>
  <c r="I187" i="8"/>
  <c r="H187" i="8"/>
  <c r="I49" i="8"/>
  <c r="R18" i="11" s="1"/>
  <c r="R29" i="19" s="1"/>
  <c r="Q38" i="8"/>
  <c r="N92" i="8" l="1"/>
  <c r="N91" i="8" s="1"/>
  <c r="N129" i="8" s="1"/>
  <c r="Q41" i="8"/>
  <c r="I237" i="8"/>
  <c r="J187" i="8"/>
  <c r="J237" i="8"/>
  <c r="O92" i="8" l="1"/>
  <c r="O91" i="8" s="1"/>
  <c r="O129" i="8" s="1"/>
  <c r="K187" i="8"/>
  <c r="K237" i="8"/>
  <c r="P92" i="8" l="1"/>
  <c r="Q92" i="8" s="1"/>
  <c r="Q91" i="8" s="1"/>
  <c r="L187" i="8"/>
  <c r="L237" i="8"/>
  <c r="P91" i="8" l="1"/>
  <c r="P129" i="8" s="1"/>
  <c r="M187" i="8"/>
  <c r="M237" i="8"/>
  <c r="Q129" i="8" l="1"/>
  <c r="N187" i="8"/>
  <c r="N237" i="8"/>
  <c r="O187" i="8" l="1"/>
  <c r="O237" i="8"/>
  <c r="Q187" i="8" l="1"/>
  <c r="Q237" i="8"/>
  <c r="P187" i="8"/>
  <c r="P237" i="8"/>
  <c r="G60" i="9" l="1"/>
  <c r="R53" i="9"/>
  <c r="R54" i="9"/>
  <c r="K60" i="9"/>
  <c r="H60" i="9"/>
  <c r="L60" i="9"/>
  <c r="O60" i="9"/>
  <c r="J60" i="9"/>
  <c r="N60" i="9"/>
  <c r="P60" i="9"/>
  <c r="O42" i="11" s="1"/>
  <c r="O48" i="19" s="1"/>
  <c r="M60" i="9"/>
  <c r="Q60" i="9"/>
  <c r="P42" i="11" s="1"/>
  <c r="P48" i="19" s="1"/>
  <c r="R58" i="9"/>
  <c r="R59" i="9"/>
  <c r="I60" i="9"/>
  <c r="G80" i="9"/>
  <c r="G85" i="9" s="1"/>
  <c r="H80" i="9"/>
  <c r="I80" i="9"/>
  <c r="J80" i="9"/>
  <c r="K80" i="9"/>
  <c r="L80" i="9"/>
  <c r="N80" i="9"/>
  <c r="O80" i="9"/>
  <c r="P80" i="9"/>
  <c r="Q80" i="9"/>
  <c r="Q210" i="9" s="1"/>
  <c r="O191" i="9" l="1"/>
  <c r="O210" i="9"/>
  <c r="N191" i="9"/>
  <c r="N210" i="9"/>
  <c r="P191" i="9"/>
  <c r="P210" i="9"/>
  <c r="L191" i="9"/>
  <c r="L210" i="9"/>
  <c r="K191" i="9"/>
  <c r="K210" i="9"/>
  <c r="J191" i="9"/>
  <c r="J210" i="9"/>
  <c r="I191" i="9"/>
  <c r="I210" i="9"/>
  <c r="H191" i="9"/>
  <c r="H210" i="9"/>
  <c r="Q211" i="9"/>
  <c r="Q215" i="9"/>
  <c r="G142" i="8"/>
  <c r="Q191" i="9"/>
  <c r="R60" i="9"/>
  <c r="Q61" i="9"/>
  <c r="P40" i="11" s="1"/>
  <c r="AF9" i="8"/>
  <c r="AG9" i="8" s="1"/>
  <c r="P61" i="9"/>
  <c r="R80" i="9"/>
  <c r="Q85" i="9"/>
  <c r="P85" i="9"/>
  <c r="O85" i="9"/>
  <c r="N85" i="9"/>
  <c r="M85" i="9"/>
  <c r="L85" i="9"/>
  <c r="K85" i="9"/>
  <c r="J85" i="9"/>
  <c r="I85" i="9"/>
  <c r="H85" i="9"/>
  <c r="R95" i="9"/>
  <c r="R86" i="9"/>
  <c r="E142" i="8"/>
  <c r="F142" i="8"/>
  <c r="K215" i="9" l="1"/>
  <c r="K211" i="9"/>
  <c r="J211" i="9"/>
  <c r="J215" i="9"/>
  <c r="L211" i="9"/>
  <c r="L215" i="9"/>
  <c r="P211" i="9"/>
  <c r="P215" i="9"/>
  <c r="N211" i="9"/>
  <c r="N215" i="9"/>
  <c r="R215" i="9" s="1"/>
  <c r="H215" i="9"/>
  <c r="H211" i="9"/>
  <c r="I211" i="9"/>
  <c r="I215" i="9"/>
  <c r="O211" i="9"/>
  <c r="O215" i="9"/>
  <c r="H142" i="8"/>
  <c r="H219" i="9" s="1"/>
  <c r="O11" i="11"/>
  <c r="O23" i="19" s="1"/>
  <c r="O40" i="11"/>
  <c r="O46" i="19" s="1"/>
  <c r="O41" i="11"/>
  <c r="O47" i="19" s="1"/>
  <c r="P41" i="11"/>
  <c r="P47" i="19" s="1"/>
  <c r="P46" i="19"/>
  <c r="P11" i="11"/>
  <c r="P23" i="19" s="1"/>
  <c r="R85" i="9"/>
  <c r="F144" i="8"/>
  <c r="D122" i="17"/>
  <c r="G144" i="8"/>
  <c r="E144" i="8"/>
  <c r="H220" i="9" l="1"/>
  <c r="I142" i="8"/>
  <c r="J142" i="8" s="1"/>
  <c r="H144" i="8"/>
  <c r="I144" i="8" s="1"/>
  <c r="I29" i="19"/>
  <c r="H191" i="8"/>
  <c r="H148" i="8" l="1"/>
  <c r="H222" i="9"/>
  <c r="H221" i="9"/>
  <c r="H225" i="9"/>
  <c r="K142" i="8"/>
  <c r="H146" i="8"/>
  <c r="J144" i="8"/>
  <c r="K144" i="8" s="1"/>
  <c r="H241" i="8"/>
  <c r="H226" i="9" l="1"/>
  <c r="H157" i="8"/>
  <c r="H117" i="8" s="1"/>
  <c r="H227" i="9"/>
  <c r="L142" i="8"/>
  <c r="L144" i="8"/>
  <c r="I135" i="8"/>
  <c r="I219" i="9" l="1"/>
  <c r="I220" i="9" s="1"/>
  <c r="M142" i="8"/>
  <c r="I30" i="19"/>
  <c r="I146" i="8"/>
  <c r="M144" i="8"/>
  <c r="I101" i="8"/>
  <c r="I104" i="8" s="1"/>
  <c r="I191" i="8"/>
  <c r="I241" i="8" s="1"/>
  <c r="I231" i="8"/>
  <c r="I148" i="8" l="1"/>
  <c r="I225" i="9"/>
  <c r="I221" i="9"/>
  <c r="N142" i="8"/>
  <c r="O142" i="8" s="1"/>
  <c r="P142" i="8" s="1"/>
  <c r="Q142" i="8" s="1"/>
  <c r="N144" i="8"/>
  <c r="O144" i="8" s="1"/>
  <c r="I100" i="8"/>
  <c r="J139" i="8"/>
  <c r="J135" i="8" s="1"/>
  <c r="J54" i="8"/>
  <c r="J51" i="8" s="1"/>
  <c r="J48" i="8" s="1"/>
  <c r="J49" i="8" s="1"/>
  <c r="I124" i="8"/>
  <c r="I61" i="8"/>
  <c r="I226" i="9" l="1"/>
  <c r="I157" i="8"/>
  <c r="I117" i="8" s="1"/>
  <c r="AF10" i="8" s="1"/>
  <c r="AF11" i="8" s="1"/>
  <c r="I227" i="9"/>
  <c r="J146" i="8"/>
  <c r="J219" i="9"/>
  <c r="J52" i="8"/>
  <c r="P144" i="8"/>
  <c r="Q144" i="8" s="1"/>
  <c r="J101" i="8"/>
  <c r="J104" i="8" s="1"/>
  <c r="I31" i="19"/>
  <c r="J231" i="8"/>
  <c r="J191" i="8"/>
  <c r="J241" i="8" s="1"/>
  <c r="F30" i="19"/>
  <c r="I180" i="8"/>
  <c r="J124" i="8"/>
  <c r="I235" i="8"/>
  <c r="I185" i="8"/>
  <c r="R19" i="11"/>
  <c r="R30" i="19" s="1"/>
  <c r="I181" i="8" l="1"/>
  <c r="I179" i="8"/>
  <c r="J220" i="9"/>
  <c r="J100" i="8"/>
  <c r="K139" i="8"/>
  <c r="K135" i="8" s="1"/>
  <c r="K219" i="9" s="1"/>
  <c r="J61" i="8"/>
  <c r="F31" i="19" s="1"/>
  <c r="K54" i="8"/>
  <c r="K51" i="8" s="1"/>
  <c r="K48" i="8" s="1"/>
  <c r="K49" i="8" s="1"/>
  <c r="I178" i="8"/>
  <c r="J185" i="8"/>
  <c r="J235" i="8"/>
  <c r="J148" i="8" l="1"/>
  <c r="J225" i="9"/>
  <c r="J221" i="9"/>
  <c r="K220" i="9" s="1"/>
  <c r="K52" i="8"/>
  <c r="K101" i="8"/>
  <c r="K146" i="8"/>
  <c r="J180" i="8"/>
  <c r="K191" i="8"/>
  <c r="K241" i="8" s="1"/>
  <c r="I32" i="19"/>
  <c r="I177" i="8"/>
  <c r="K148" i="8" l="1"/>
  <c r="J181" i="8"/>
  <c r="J179" i="8"/>
  <c r="J226" i="9"/>
  <c r="K225" i="9" s="1"/>
  <c r="J157" i="8"/>
  <c r="J117" i="8" s="1"/>
  <c r="J227" i="9"/>
  <c r="K221" i="9"/>
  <c r="L139" i="8"/>
  <c r="L135" i="8" s="1"/>
  <c r="K104" i="8"/>
  <c r="K100" i="8" s="1"/>
  <c r="J178" i="8"/>
  <c r="J177" i="8" s="1"/>
  <c r="L54" i="8"/>
  <c r="L51" i="8" s="1"/>
  <c r="L48" i="8" s="1"/>
  <c r="L49" i="8" s="1"/>
  <c r="K231" i="8"/>
  <c r="K124" i="8"/>
  <c r="K61" i="8"/>
  <c r="K226" i="9" l="1"/>
  <c r="K157" i="8"/>
  <c r="K117" i="8" s="1"/>
  <c r="K227" i="9"/>
  <c r="I33" i="19"/>
  <c r="L219" i="9"/>
  <c r="L52" i="8"/>
  <c r="L101" i="8"/>
  <c r="L146" i="8"/>
  <c r="L191" i="8"/>
  <c r="L241" i="8" s="1"/>
  <c r="F32" i="19"/>
  <c r="K180" i="8"/>
  <c r="K185" i="8"/>
  <c r="K235" i="8"/>
  <c r="K181" i="8" l="1"/>
  <c r="K179" i="8"/>
  <c r="L220" i="9"/>
  <c r="M139" i="8"/>
  <c r="M135" i="8" s="1"/>
  <c r="M219" i="9" s="1"/>
  <c r="L104" i="8"/>
  <c r="L100" i="8" s="1"/>
  <c r="M54" i="8"/>
  <c r="M51" i="8" s="1"/>
  <c r="M48" i="8" s="1"/>
  <c r="M49" i="8" s="1"/>
  <c r="K178" i="8"/>
  <c r="L231" i="8"/>
  <c r="L148" i="8" l="1"/>
  <c r="L225" i="9"/>
  <c r="L221" i="9"/>
  <c r="M220" i="9" s="1"/>
  <c r="M52" i="8"/>
  <c r="M101" i="8"/>
  <c r="M146" i="8"/>
  <c r="M191" i="8"/>
  <c r="M241" i="8" s="1"/>
  <c r="K177" i="8"/>
  <c r="L124" i="8"/>
  <c r="L61" i="8"/>
  <c r="M148" i="8" l="1"/>
  <c r="L226" i="9"/>
  <c r="M225" i="9" s="1"/>
  <c r="L157" i="8"/>
  <c r="L117" i="8" s="1"/>
  <c r="L227" i="9"/>
  <c r="M221" i="9"/>
  <c r="N139" i="8"/>
  <c r="N135" i="8" s="1"/>
  <c r="N219" i="9" s="1"/>
  <c r="M104" i="8"/>
  <c r="N54" i="8"/>
  <c r="N51" i="8" s="1"/>
  <c r="N48" i="8" s="1"/>
  <c r="N49" i="8" s="1"/>
  <c r="F33" i="19"/>
  <c r="L180" i="8"/>
  <c r="L185" i="8"/>
  <c r="L235" i="8"/>
  <c r="L179" i="8" l="1"/>
  <c r="L181" i="8"/>
  <c r="M226" i="9"/>
  <c r="M157" i="8"/>
  <c r="M117" i="8" s="1"/>
  <c r="M227" i="9"/>
  <c r="N220" i="9"/>
  <c r="N101" i="8"/>
  <c r="N146" i="8"/>
  <c r="N191" i="8"/>
  <c r="N241" i="8" s="1"/>
  <c r="L178" i="8"/>
  <c r="M231" i="8"/>
  <c r="M100" i="8"/>
  <c r="N52" i="8" s="1"/>
  <c r="N148" i="8" l="1"/>
  <c r="N225" i="9"/>
  <c r="N221" i="9"/>
  <c r="O139" i="8"/>
  <c r="O135" i="8" s="1"/>
  <c r="O219" i="9" s="1"/>
  <c r="N104" i="8"/>
  <c r="O54" i="8"/>
  <c r="O51" i="8" s="1"/>
  <c r="O48" i="8" s="1"/>
  <c r="O49" i="8" s="1"/>
  <c r="L177" i="8"/>
  <c r="M124" i="8"/>
  <c r="M61" i="8"/>
  <c r="M180" i="8" s="1"/>
  <c r="M179" i="8" l="1"/>
  <c r="M181" i="8"/>
  <c r="N226" i="9"/>
  <c r="N157" i="8"/>
  <c r="N117" i="8" s="1"/>
  <c r="N227" i="9"/>
  <c r="O220" i="9"/>
  <c r="O101" i="8"/>
  <c r="O146" i="8"/>
  <c r="O191" i="8"/>
  <c r="O241" i="8" s="1"/>
  <c r="M235" i="8"/>
  <c r="M185" i="8"/>
  <c r="M178" i="8"/>
  <c r="O148" i="8" l="1"/>
  <c r="O225" i="9"/>
  <c r="O221" i="9"/>
  <c r="P139" i="8"/>
  <c r="P135" i="8" s="1"/>
  <c r="P219" i="9" s="1"/>
  <c r="O104" i="8"/>
  <c r="P54" i="8"/>
  <c r="P51" i="8" s="1"/>
  <c r="P48" i="8" s="1"/>
  <c r="P49" i="8" s="1"/>
  <c r="M177" i="8"/>
  <c r="N231" i="8"/>
  <c r="N100" i="8"/>
  <c r="O52" i="8" s="1"/>
  <c r="O226" i="9" l="1"/>
  <c r="O157" i="8"/>
  <c r="O117" i="8" s="1"/>
  <c r="O227" i="9"/>
  <c r="P220" i="9"/>
  <c r="P101" i="8"/>
  <c r="P146" i="8"/>
  <c r="P191" i="8"/>
  <c r="P241" i="8" s="1"/>
  <c r="N124" i="8"/>
  <c r="N61" i="8"/>
  <c r="N180" i="8" s="1"/>
  <c r="P148" i="8" l="1"/>
  <c r="N179" i="8"/>
  <c r="N181" i="8"/>
  <c r="P225" i="9"/>
  <c r="P221" i="9"/>
  <c r="Q139" i="8"/>
  <c r="Q135" i="8" s="1"/>
  <c r="Q219" i="9" s="1"/>
  <c r="P104" i="8"/>
  <c r="Q54" i="8"/>
  <c r="Q51" i="8" s="1"/>
  <c r="Q48" i="8" s="1"/>
  <c r="Q49" i="8" s="1"/>
  <c r="N235" i="8"/>
  <c r="N185" i="8"/>
  <c r="N178" i="8"/>
  <c r="P226" i="9" l="1"/>
  <c r="P157" i="8"/>
  <c r="P117" i="8" s="1"/>
  <c r="P227" i="9"/>
  <c r="Q220" i="9"/>
  <c r="Q101" i="8"/>
  <c r="Q104" i="8" s="1"/>
  <c r="Q146" i="8"/>
  <c r="Q191" i="8"/>
  <c r="Q241" i="8" s="1"/>
  <c r="N177" i="8"/>
  <c r="O231" i="8"/>
  <c r="O100" i="8"/>
  <c r="P52" i="8" s="1"/>
  <c r="Q148" i="8" l="1"/>
  <c r="Q225" i="9"/>
  <c r="Q221" i="9"/>
  <c r="O124" i="8"/>
  <c r="O61" i="8"/>
  <c r="O180" i="8" s="1"/>
  <c r="O181" i="8" l="1"/>
  <c r="O179" i="8"/>
  <c r="Q226" i="9"/>
  <c r="Q157" i="8"/>
  <c r="Q117" i="8" s="1"/>
  <c r="Q227" i="9"/>
  <c r="O235" i="8"/>
  <c r="O185" i="8"/>
  <c r="O178" i="8"/>
  <c r="O177" i="8" l="1"/>
  <c r="P231" i="8"/>
  <c r="P100" i="8"/>
  <c r="Q52" i="8" s="1"/>
  <c r="P124" i="8" l="1"/>
  <c r="P61" i="8"/>
  <c r="P180" i="8" s="1"/>
  <c r="P179" i="8" l="1"/>
  <c r="P181" i="8"/>
  <c r="P235" i="8"/>
  <c r="P185" i="8"/>
  <c r="P178" i="8"/>
  <c r="P177" i="8" l="1"/>
  <c r="Q231" i="8"/>
  <c r="Q100" i="8"/>
  <c r="Q124" i="8" l="1"/>
  <c r="Q61" i="8"/>
  <c r="Q180" i="8" l="1"/>
  <c r="C18" i="27"/>
  <c r="Q235" i="8"/>
  <c r="Q185" i="8"/>
  <c r="Q179" i="8" l="1"/>
  <c r="Q181" i="8"/>
  <c r="Q178" i="8"/>
  <c r="Q177" i="8" s="1"/>
  <c r="C19" i="27"/>
  <c r="C17" i="27"/>
  <c r="H189" i="8" l="1"/>
  <c r="H239" i="8" s="1"/>
  <c r="J115" i="8"/>
  <c r="K115" i="8"/>
  <c r="L115" i="8"/>
  <c r="M115" i="8"/>
  <c r="N115" i="8"/>
  <c r="O115" i="8"/>
  <c r="P115" i="8"/>
  <c r="I115" i="8"/>
  <c r="Q115" i="8"/>
  <c r="Q189" i="8" l="1"/>
  <c r="L189" i="8"/>
  <c r="K189" i="8"/>
  <c r="J189" i="8"/>
  <c r="P189" i="8"/>
  <c r="O189" i="8"/>
  <c r="N189" i="8"/>
  <c r="I189" i="8"/>
  <c r="M189" i="8"/>
  <c r="Q239" i="8" l="1"/>
  <c r="J239" i="8"/>
  <c r="K239" i="8"/>
  <c r="P239" i="8"/>
  <c r="M239" i="8"/>
  <c r="L239" i="8"/>
  <c r="N239" i="8"/>
  <c r="O239" i="8"/>
  <c r="I239" i="8"/>
  <c r="F58" i="8" l="1"/>
  <c r="O43" i="9"/>
  <c r="O144" i="9" l="1"/>
  <c r="O47" i="9" s="1"/>
  <c r="O48" i="9" s="1"/>
  <c r="N43" i="9"/>
  <c r="M43" i="9"/>
  <c r="L43" i="9"/>
  <c r="L144" i="9" s="1"/>
  <c r="L47" i="9" s="1"/>
  <c r="L48" i="9" s="1"/>
  <c r="K43" i="9"/>
  <c r="K144" i="9" s="1"/>
  <c r="K47" i="9" s="1"/>
  <c r="K48" i="9" s="1"/>
  <c r="J43" i="9"/>
  <c r="I43" i="9"/>
  <c r="I144" i="9" s="1"/>
  <c r="I47" i="9" s="1"/>
  <c r="I48" i="9" s="1"/>
  <c r="H43" i="9"/>
  <c r="H144" i="9" s="1"/>
  <c r="H47" i="9" s="1"/>
  <c r="H48" i="9" s="1"/>
  <c r="G43" i="9"/>
  <c r="I46" i="9" l="1"/>
  <c r="J42" i="11"/>
  <c r="K61" i="9"/>
  <c r="J40" i="11" s="1"/>
  <c r="K46" i="9"/>
  <c r="L46" i="9"/>
  <c r="N42" i="11"/>
  <c r="N48" i="19" s="1"/>
  <c r="O61" i="9"/>
  <c r="N40" i="11" s="1"/>
  <c r="K42" i="11"/>
  <c r="L61" i="9"/>
  <c r="K40" i="11" s="1"/>
  <c r="H42" i="11"/>
  <c r="I61" i="9"/>
  <c r="H40" i="11" s="1"/>
  <c r="O46" i="9"/>
  <c r="M144" i="9"/>
  <c r="M47" i="9" s="1"/>
  <c r="M48" i="9" s="1"/>
  <c r="J144" i="9"/>
  <c r="J47" i="9" s="1"/>
  <c r="J48" i="9" s="1"/>
  <c r="N144" i="9"/>
  <c r="N47" i="9" s="1"/>
  <c r="N48" i="9" s="1"/>
  <c r="R43" i="9"/>
  <c r="G144" i="9"/>
  <c r="G47" i="9" s="1"/>
  <c r="H46" i="9"/>
  <c r="G42" i="11"/>
  <c r="H61" i="9"/>
  <c r="G40" i="11" s="1"/>
  <c r="K11" i="11" l="1"/>
  <c r="K41" i="11"/>
  <c r="H41" i="11"/>
  <c r="H11" i="11"/>
  <c r="I42" i="11"/>
  <c r="J61" i="9"/>
  <c r="I40" i="11" s="1"/>
  <c r="J46" i="9"/>
  <c r="M42" i="11"/>
  <c r="N61" i="9"/>
  <c r="M40" i="11" s="1"/>
  <c r="N46" i="9"/>
  <c r="N11" i="11"/>
  <c r="N23" i="19" s="1"/>
  <c r="N41" i="11"/>
  <c r="N47" i="19" s="1"/>
  <c r="N46" i="19"/>
  <c r="L42" i="11"/>
  <c r="M61" i="9"/>
  <c r="L40" i="11" s="1"/>
  <c r="M46" i="9"/>
  <c r="J11" i="11"/>
  <c r="J41" i="11"/>
  <c r="G41" i="11"/>
  <c r="G11" i="11"/>
  <c r="G48" i="9"/>
  <c r="R47" i="9"/>
  <c r="G46" i="9"/>
  <c r="R46" i="9" s="1"/>
  <c r="M41" i="11" l="1"/>
  <c r="M11" i="11"/>
  <c r="L41" i="11"/>
  <c r="L11" i="11"/>
  <c r="I11" i="11"/>
  <c r="I41" i="11"/>
  <c r="F15" i="11"/>
  <c r="R48" i="9"/>
  <c r="F42" i="11"/>
  <c r="G61" i="9"/>
  <c r="F40" i="11" s="1"/>
  <c r="R61" i="9" l="1"/>
  <c r="F17" i="11"/>
  <c r="F41" i="11"/>
  <c r="F11" i="11"/>
  <c r="F16" i="11"/>
  <c r="I22" i="9"/>
  <c r="I118" i="9" s="1"/>
  <c r="I119" i="9" s="1"/>
  <c r="H20" i="11"/>
  <c r="F60" i="8"/>
  <c r="F61" i="8" s="1"/>
  <c r="E60" i="8"/>
  <c r="E177" i="8" s="1"/>
  <c r="N22" i="9"/>
  <c r="N118" i="9" s="1"/>
  <c r="N119" i="9" s="1"/>
  <c r="D101" i="17"/>
  <c r="D42" i="17" s="1"/>
  <c r="O42" i="17" s="1"/>
  <c r="O22" i="9"/>
  <c r="N20" i="11" s="1"/>
  <c r="J22" i="9"/>
  <c r="I20" i="11" s="1"/>
  <c r="J24" i="9"/>
  <c r="J66" i="9" s="1"/>
  <c r="O20" i="11"/>
  <c r="P22" i="9"/>
  <c r="F77" i="8" s="1"/>
  <c r="F79" i="8" s="1"/>
  <c r="H22" i="9"/>
  <c r="H24" i="9" s="1"/>
  <c r="H118" i="9"/>
  <c r="H119" i="9" s="1"/>
  <c r="G60" i="8"/>
  <c r="G177" i="8" s="1"/>
  <c r="K22" i="9"/>
  <c r="J20" i="11" s="1"/>
  <c r="L22" i="9"/>
  <c r="K20" i="11" s="1"/>
  <c r="M22" i="9"/>
  <c r="M118" i="9" s="1"/>
  <c r="M119" i="9" s="1"/>
  <c r="Q22" i="9"/>
  <c r="G77" i="8" s="1"/>
  <c r="G79" i="8" s="1"/>
  <c r="J45" i="11"/>
  <c r="P45" i="11"/>
  <c r="R16" i="9"/>
  <c r="P19" i="11"/>
  <c r="P30" i="19" s="1"/>
  <c r="P49" i="11"/>
  <c r="P54" i="19" s="1"/>
  <c r="Q12" i="9"/>
  <c r="P51" i="11" s="1"/>
  <c r="P56" i="19" s="1"/>
  <c r="P9" i="11"/>
  <c r="P21" i="19" s="1"/>
  <c r="O9" i="11"/>
  <c r="O21" i="19" s="1"/>
  <c r="O19" i="11"/>
  <c r="O30" i="19" s="1"/>
  <c r="P12" i="9"/>
  <c r="O50" i="11" s="1"/>
  <c r="O55" i="19" s="1"/>
  <c r="O49" i="11"/>
  <c r="O54" i="19" s="1"/>
  <c r="N49" i="11"/>
  <c r="N54" i="19" s="1"/>
  <c r="N19" i="11"/>
  <c r="N30" i="19" s="1"/>
  <c r="O12" i="9"/>
  <c r="E48" i="8" s="1"/>
  <c r="E49" i="8" s="1"/>
  <c r="N9" i="11"/>
  <c r="N21" i="19" s="1"/>
  <c r="M19" i="11"/>
  <c r="M49" i="11"/>
  <c r="N12" i="9"/>
  <c r="M8" i="11" s="1"/>
  <c r="M9" i="11"/>
  <c r="L49" i="11"/>
  <c r="L19" i="11"/>
  <c r="M12" i="9"/>
  <c r="L9" i="11"/>
  <c r="K49" i="11"/>
  <c r="K19" i="11"/>
  <c r="L12" i="9"/>
  <c r="K18" i="11" s="1"/>
  <c r="K9" i="11"/>
  <c r="J49" i="11"/>
  <c r="J19" i="11"/>
  <c r="K12" i="9"/>
  <c r="J9" i="11"/>
  <c r="I19" i="11"/>
  <c r="I49" i="11"/>
  <c r="J12" i="9"/>
  <c r="I51" i="11" s="1"/>
  <c r="I9" i="11"/>
  <c r="H9" i="11"/>
  <c r="H19" i="11"/>
  <c r="I12" i="9"/>
  <c r="H45" i="11" s="1"/>
  <c r="H49" i="11"/>
  <c r="G19" i="11"/>
  <c r="G49" i="11"/>
  <c r="H12" i="9"/>
  <c r="G51" i="11" s="1"/>
  <c r="G9" i="11"/>
  <c r="K50" i="11" l="1"/>
  <c r="I45" i="11"/>
  <c r="N45" i="11"/>
  <c r="L51" i="11"/>
  <c r="N24" i="9"/>
  <c r="N18" i="11"/>
  <c r="N29" i="19" s="1"/>
  <c r="H8" i="11"/>
  <c r="H18" i="11"/>
  <c r="I56" i="11"/>
  <c r="G45" i="11"/>
  <c r="O118" i="9"/>
  <c r="O119" i="9" s="1"/>
  <c r="G50" i="11"/>
  <c r="N8" i="11"/>
  <c r="N20" i="19" s="1"/>
  <c r="J118" i="9"/>
  <c r="J119" i="9" s="1"/>
  <c r="H50" i="11"/>
  <c r="H51" i="11"/>
  <c r="G18" i="11"/>
  <c r="M51" i="11"/>
  <c r="P20" i="11"/>
  <c r="I10" i="11"/>
  <c r="L8" i="11"/>
  <c r="J8" i="11"/>
  <c r="I24" i="9"/>
  <c r="I66" i="9" s="1"/>
  <c r="N50" i="11"/>
  <c r="N55" i="19" s="1"/>
  <c r="K51" i="11"/>
  <c r="I18" i="11"/>
  <c r="N51" i="11"/>
  <c r="N56" i="19" s="1"/>
  <c r="K45" i="11"/>
  <c r="I16" i="11"/>
  <c r="I23" i="11"/>
  <c r="M16" i="11"/>
  <c r="E61" i="8"/>
  <c r="E231" i="8"/>
  <c r="D31" i="17"/>
  <c r="O31" i="17" s="1"/>
  <c r="G231" i="8"/>
  <c r="G23" i="11"/>
  <c r="H66" i="9"/>
  <c r="G16" i="11"/>
  <c r="G15" i="11"/>
  <c r="G10" i="11"/>
  <c r="G57" i="11"/>
  <c r="G56" i="11"/>
  <c r="J75" i="9"/>
  <c r="I63" i="11"/>
  <c r="F27" i="19"/>
  <c r="F178" i="8"/>
  <c r="G183" i="8"/>
  <c r="O18" i="11"/>
  <c r="O29" i="19" s="1"/>
  <c r="M18" i="11"/>
  <c r="L118" i="9"/>
  <c r="L119" i="9" s="1"/>
  <c r="Q24" i="9"/>
  <c r="N66" i="9"/>
  <c r="P18" i="11"/>
  <c r="P29" i="19" s="1"/>
  <c r="M45" i="11"/>
  <c r="K8" i="11"/>
  <c r="R22" i="9"/>
  <c r="G20" i="11"/>
  <c r="D95" i="17"/>
  <c r="E77" i="8"/>
  <c r="F48" i="8"/>
  <c r="F49" i="8" s="1"/>
  <c r="P118" i="9"/>
  <c r="P119" i="9" s="1"/>
  <c r="M24" i="9"/>
  <c r="P24" i="9"/>
  <c r="H56" i="11"/>
  <c r="O51" i="11"/>
  <c r="O56" i="19" s="1"/>
  <c r="I50" i="11"/>
  <c r="I57" i="11"/>
  <c r="D100" i="17"/>
  <c r="P50" i="11"/>
  <c r="P55" i="19" s="1"/>
  <c r="I8" i="11"/>
  <c r="L18" i="11"/>
  <c r="J50" i="11"/>
  <c r="L20" i="11"/>
  <c r="G48" i="8"/>
  <c r="G49" i="8" s="1"/>
  <c r="M23" i="11"/>
  <c r="F231" i="8"/>
  <c r="H23" i="11"/>
  <c r="Q118" i="9"/>
  <c r="L50" i="11"/>
  <c r="O45" i="11"/>
  <c r="J51" i="11"/>
  <c r="K118" i="9"/>
  <c r="K119" i="9" s="1"/>
  <c r="L24" i="9"/>
  <c r="I15" i="11"/>
  <c r="M20" i="11"/>
  <c r="G61" i="8"/>
  <c r="F177" i="8"/>
  <c r="F183" i="8" s="1"/>
  <c r="O8" i="11"/>
  <c r="O20" i="19" s="1"/>
  <c r="M57" i="11"/>
  <c r="K24" i="9"/>
  <c r="O24" i="9"/>
  <c r="P8" i="11"/>
  <c r="P20" i="19" s="1"/>
  <c r="L45" i="11"/>
  <c r="M50" i="11"/>
  <c r="J18" i="11"/>
  <c r="M10" i="11"/>
  <c r="D103" i="17"/>
  <c r="G8" i="11"/>
  <c r="R12" i="9"/>
  <c r="H80" i="8" l="1"/>
  <c r="E79" i="8"/>
  <c r="H15" i="11"/>
  <c r="H10" i="11"/>
  <c r="M15" i="11"/>
  <c r="M56" i="11"/>
  <c r="H16" i="11"/>
  <c r="H57" i="11"/>
  <c r="E178" i="8"/>
  <c r="F26" i="19"/>
  <c r="E183" i="8"/>
  <c r="E193" i="8" s="1"/>
  <c r="X7" i="8" s="1"/>
  <c r="G26" i="19" s="1"/>
  <c r="K16" i="11"/>
  <c r="K15" i="11"/>
  <c r="K10" i="11"/>
  <c r="L66" i="9"/>
  <c r="K23" i="11"/>
  <c r="K56" i="11"/>
  <c r="K57" i="11"/>
  <c r="N10" i="11"/>
  <c r="N22" i="19" s="1"/>
  <c r="N23" i="11"/>
  <c r="N33" i="19" s="1"/>
  <c r="N57" i="11"/>
  <c r="E82" i="8"/>
  <c r="N56" i="11"/>
  <c r="N16" i="11"/>
  <c r="N27" i="19" s="1"/>
  <c r="O66" i="9"/>
  <c r="N15" i="11"/>
  <c r="N26" i="19" s="1"/>
  <c r="G178" i="8"/>
  <c r="F28" i="19"/>
  <c r="O16" i="11"/>
  <c r="O27" i="19" s="1"/>
  <c r="O10" i="11"/>
  <c r="O22" i="19" s="1"/>
  <c r="D96" i="17"/>
  <c r="O15" i="11"/>
  <c r="O26" i="19" s="1"/>
  <c r="O57" i="11"/>
  <c r="O56" i="11"/>
  <c r="F82" i="8"/>
  <c r="O23" i="11"/>
  <c r="O33" i="19" s="1"/>
  <c r="P66" i="9"/>
  <c r="P15" i="11"/>
  <c r="P26" i="19" s="1"/>
  <c r="Q66" i="9"/>
  <c r="R24" i="9"/>
  <c r="P16" i="11"/>
  <c r="P27" i="19" s="1"/>
  <c r="D105" i="17"/>
  <c r="P23" i="11"/>
  <c r="P33" i="19" s="1"/>
  <c r="P56" i="11"/>
  <c r="G82" i="8"/>
  <c r="P57" i="11"/>
  <c r="P10" i="11"/>
  <c r="P22" i="19" s="1"/>
  <c r="G21" i="6"/>
  <c r="G14" i="6" s="1"/>
  <c r="G11" i="6" s="1"/>
  <c r="G25" i="6" s="1"/>
  <c r="I75" i="9"/>
  <c r="H63" i="11"/>
  <c r="AB9" i="8"/>
  <c r="H28" i="19" s="1"/>
  <c r="G193" i="8"/>
  <c r="X9" i="8" s="1"/>
  <c r="G28" i="19" s="1"/>
  <c r="H75" i="9"/>
  <c r="G63" i="11"/>
  <c r="M66" i="9"/>
  <c r="L16" i="11"/>
  <c r="L15" i="11"/>
  <c r="L10" i="11"/>
  <c r="L56" i="11"/>
  <c r="L57" i="11"/>
  <c r="L23" i="11"/>
  <c r="M63" i="11"/>
  <c r="N75" i="9"/>
  <c r="J15" i="11"/>
  <c r="J10" i="11"/>
  <c r="J57" i="11"/>
  <c r="J56" i="11"/>
  <c r="J23" i="11"/>
  <c r="K66" i="9"/>
  <c r="J16" i="11"/>
  <c r="AB8" i="8"/>
  <c r="H27" i="19" s="1"/>
  <c r="F193" i="8"/>
  <c r="X8" i="8" s="1"/>
  <c r="G27" i="19" s="1"/>
  <c r="Q119" i="9"/>
  <c r="R118" i="9"/>
  <c r="G6" i="17"/>
  <c r="G18" i="17" s="1"/>
  <c r="G19" i="17" s="1"/>
  <c r="F6" i="17"/>
  <c r="F18" i="17" s="1"/>
  <c r="F19" i="17" s="1"/>
  <c r="I80" i="8"/>
  <c r="E272" i="8" l="1"/>
  <c r="E273" i="8"/>
  <c r="G273" i="8"/>
  <c r="G272" i="8"/>
  <c r="F272" i="8"/>
  <c r="F273" i="8"/>
  <c r="AB7" i="8"/>
  <c r="H26" i="19" s="1"/>
  <c r="I8" i="17"/>
  <c r="O6" i="17" a="1"/>
  <c r="O6" i="17" s="1"/>
  <c r="D63" i="17"/>
  <c r="O63" i="17" s="1"/>
  <c r="D33" i="17"/>
  <c r="O33" i="17" s="1"/>
  <c r="I6" i="17"/>
  <c r="D32" i="17"/>
  <c r="O32" i="17" s="1"/>
  <c r="D35" i="17"/>
  <c r="O35" i="17" s="1"/>
  <c r="E83" i="8"/>
  <c r="E233" i="8"/>
  <c r="E245" i="8" s="1"/>
  <c r="I183" i="8"/>
  <c r="Q75" i="9"/>
  <c r="P63" i="11"/>
  <c r="P42" i="19" s="1"/>
  <c r="R66" i="9"/>
  <c r="N6" i="17" a="1"/>
  <c r="N6" i="17" s="1"/>
  <c r="D62" i="17"/>
  <c r="O62" i="17" s="1"/>
  <c r="H6" i="17"/>
  <c r="J63" i="11"/>
  <c r="K75" i="9"/>
  <c r="M75" i="9"/>
  <c r="L63" i="11"/>
  <c r="O63" i="11"/>
  <c r="O42" i="19" s="1"/>
  <c r="P75" i="9"/>
  <c r="F131" i="8" s="1"/>
  <c r="F233" i="8"/>
  <c r="F245" i="8" s="1"/>
  <c r="F83" i="8"/>
  <c r="L75" i="9"/>
  <c r="K63" i="11"/>
  <c r="R119" i="9"/>
  <c r="G83" i="8"/>
  <c r="G233" i="8"/>
  <c r="G245" i="8" s="1"/>
  <c r="O75" i="9"/>
  <c r="E131" i="8" s="1"/>
  <c r="N63" i="11"/>
  <c r="N42" i="19" s="1"/>
  <c r="J80" i="8"/>
  <c r="K80" i="8" s="1"/>
  <c r="E259" i="8" l="1"/>
  <c r="E260" i="8" s="1"/>
  <c r="F259" i="8"/>
  <c r="F260" i="8" s="1"/>
  <c r="G259" i="8"/>
  <c r="G260" i="8" s="1"/>
  <c r="I9" i="8"/>
  <c r="K183" i="8"/>
  <c r="E160" i="8"/>
  <c r="Y7" i="8"/>
  <c r="Y9" i="8"/>
  <c r="G160" i="8"/>
  <c r="H18" i="17"/>
  <c r="H19" i="17" s="1"/>
  <c r="N18" i="17"/>
  <c r="N19" i="17" s="1"/>
  <c r="G131" i="8"/>
  <c r="R75" i="9"/>
  <c r="I18" i="17"/>
  <c r="I19" i="17" s="1"/>
  <c r="J183" i="8"/>
  <c r="I193" i="8"/>
  <c r="AB11" i="8"/>
  <c r="Y8" i="8"/>
  <c r="F160" i="8"/>
  <c r="L80" i="8"/>
  <c r="M80" i="8" s="1"/>
  <c r="F24" i="17"/>
  <c r="L24" i="17" s="1"/>
  <c r="O24" i="17" s="1" a="1"/>
  <c r="O24" i="17" s="1"/>
  <c r="F26" i="17"/>
  <c r="L26" i="17" s="1"/>
  <c r="O26" i="17" s="1" a="1"/>
  <c r="O26" i="17" s="1"/>
  <c r="F27" i="17"/>
  <c r="L27" i="17" s="1"/>
  <c r="O27" i="17" s="1" a="1"/>
  <c r="O27" i="17" s="1"/>
  <c r="F25" i="17"/>
  <c r="L25" i="17" s="1"/>
  <c r="O25" i="17" s="1" a="1"/>
  <c r="O25" i="17" s="1"/>
  <c r="O18" i="17"/>
  <c r="O19" i="17" s="1"/>
  <c r="C12" i="8" l="1"/>
  <c r="F9" i="8"/>
  <c r="L9" i="8"/>
  <c r="H229" i="9"/>
  <c r="Q61" i="11"/>
  <c r="H243" i="8"/>
  <c r="X11" i="8"/>
  <c r="I216" i="8"/>
  <c r="H131" i="8"/>
  <c r="I131" i="8" s="1"/>
  <c r="M183" i="8"/>
  <c r="M193" i="8" s="1"/>
  <c r="J193" i="8"/>
  <c r="AB12" i="8"/>
  <c r="L183" i="8"/>
  <c r="N80" i="8"/>
  <c r="AB13" i="8"/>
  <c r="K193" i="8"/>
  <c r="I194" i="8" l="1"/>
  <c r="H66" i="8"/>
  <c r="H63" i="8" s="1"/>
  <c r="L199" i="8"/>
  <c r="L200" i="8" s="1"/>
  <c r="AR288" i="8"/>
  <c r="F6" i="27" s="1"/>
  <c r="T194" i="8"/>
  <c r="G44" i="11"/>
  <c r="G43" i="11"/>
  <c r="G17" i="11"/>
  <c r="G30" i="19"/>
  <c r="N183" i="8"/>
  <c r="N193" i="8" s="1"/>
  <c r="K194" i="8"/>
  <c r="V194" i="8"/>
  <c r="V193" i="8"/>
  <c r="K216" i="8"/>
  <c r="X13" i="8"/>
  <c r="O80" i="8"/>
  <c r="U193" i="8"/>
  <c r="J194" i="8"/>
  <c r="J216" i="8"/>
  <c r="X12" i="8"/>
  <c r="U194" i="8"/>
  <c r="AC10" i="8"/>
  <c r="R43" i="11"/>
  <c r="R49" i="19" s="1"/>
  <c r="R205" i="8"/>
  <c r="R44" i="11"/>
  <c r="M216" i="8"/>
  <c r="X193" i="8"/>
  <c r="M194" i="8"/>
  <c r="X194" i="8"/>
  <c r="AB14" i="8"/>
  <c r="L193" i="8"/>
  <c r="J131" i="8"/>
  <c r="Q49" i="11" l="1"/>
  <c r="Q54" i="19" s="1"/>
  <c r="I67" i="8"/>
  <c r="H217" i="8"/>
  <c r="Z7" i="8" s="1"/>
  <c r="H64" i="8"/>
  <c r="O183" i="8"/>
  <c r="O193" i="8" s="1"/>
  <c r="K131" i="8"/>
  <c r="R51" i="19"/>
  <c r="R50" i="19"/>
  <c r="X14" i="8"/>
  <c r="W193" i="8"/>
  <c r="W194" i="8"/>
  <c r="L194" i="8"/>
  <c r="L216" i="8"/>
  <c r="Y193" i="8"/>
  <c r="N216" i="8"/>
  <c r="N194" i="8"/>
  <c r="Y194" i="8"/>
  <c r="P80" i="8"/>
  <c r="Q80" i="8" s="1"/>
  <c r="R61" i="11" l="1"/>
  <c r="P183" i="8"/>
  <c r="P193" i="8" s="1"/>
  <c r="L131" i="8"/>
  <c r="I243" i="8"/>
  <c r="I229" i="9"/>
  <c r="AA194" i="8"/>
  <c r="O216" i="8"/>
  <c r="O194" i="8"/>
  <c r="AA193" i="8"/>
  <c r="Q183" i="8"/>
  <c r="Q193" i="8" s="1"/>
  <c r="I66" i="8" l="1"/>
  <c r="J67" i="8" s="1"/>
  <c r="H258" i="8"/>
  <c r="H164" i="8"/>
  <c r="H17" i="11"/>
  <c r="H44" i="11"/>
  <c r="H43" i="11"/>
  <c r="S205" i="8"/>
  <c r="AC194" i="8"/>
  <c r="Q194" i="8"/>
  <c r="AC193" i="8"/>
  <c r="Q216" i="8"/>
  <c r="Q219" i="8"/>
  <c r="Q220" i="8" s="1"/>
  <c r="Q199" i="8"/>
  <c r="AB193" i="8"/>
  <c r="AB194" i="8"/>
  <c r="P194" i="8"/>
  <c r="P216" i="8"/>
  <c r="AC11" i="8"/>
  <c r="M131" i="8"/>
  <c r="I63" i="8" l="1"/>
  <c r="R50" i="11"/>
  <c r="R55" i="19" s="1"/>
  <c r="R51" i="11"/>
  <c r="R56" i="19" s="1"/>
  <c r="R49" i="11"/>
  <c r="R54" i="19" s="1"/>
  <c r="I217" i="8"/>
  <c r="Z8" i="8" s="1"/>
  <c r="AA10" i="8"/>
  <c r="H262" i="8"/>
  <c r="Q200" i="8"/>
  <c r="R200" i="8"/>
  <c r="R201" i="8" s="1"/>
  <c r="S200" i="8"/>
  <c r="S201" i="8" s="1"/>
  <c r="N131" i="8"/>
  <c r="I77" i="8" l="1"/>
  <c r="I79" i="8" s="1"/>
  <c r="I64" i="8"/>
  <c r="Q6" i="11"/>
  <c r="Q18" i="19" s="1"/>
  <c r="R6" i="11"/>
  <c r="R18" i="19" s="1"/>
  <c r="R9" i="11"/>
  <c r="R21" i="19" s="1"/>
  <c r="R8" i="11"/>
  <c r="R20" i="19" s="1"/>
  <c r="O131" i="8"/>
  <c r="J243" i="8"/>
  <c r="J229" i="9"/>
  <c r="J66" i="8" l="1"/>
  <c r="K67" i="8" s="1"/>
  <c r="R20" i="11"/>
  <c r="I82" i="8"/>
  <c r="I43" i="11"/>
  <c r="I44" i="11"/>
  <c r="I17" i="11"/>
  <c r="P131" i="8"/>
  <c r="AC12" i="8"/>
  <c r="J217" i="8" l="1"/>
  <c r="Z9" i="8" s="1"/>
  <c r="J63" i="8"/>
  <c r="J77" i="8" s="1"/>
  <c r="J79" i="8" s="1"/>
  <c r="J82" i="8" s="1"/>
  <c r="I233" i="8"/>
  <c r="I245" i="8" s="1"/>
  <c r="I83" i="8"/>
  <c r="R23" i="11" s="1"/>
  <c r="R33" i="19" s="1"/>
  <c r="I133" i="8"/>
  <c r="R63" i="11" s="1"/>
  <c r="R42" i="19" s="1"/>
  <c r="Q131" i="8"/>
  <c r="J64" i="8" l="1"/>
  <c r="J233" i="8"/>
  <c r="J245" i="8" s="1"/>
  <c r="J83" i="8"/>
  <c r="J133" i="8"/>
  <c r="J258" i="8"/>
  <c r="J164" i="8"/>
  <c r="R55" i="11"/>
  <c r="R57" i="11"/>
  <c r="R58" i="11"/>
  <c r="R59" i="11"/>
  <c r="R60" i="11"/>
  <c r="I246" i="8"/>
  <c r="Y11" i="8"/>
  <c r="I258" i="8"/>
  <c r="I164" i="8"/>
  <c r="R62" i="11" s="1"/>
  <c r="K243" i="8"/>
  <c r="K229" i="9"/>
  <c r="K66" i="8" s="1"/>
  <c r="J166" i="8" l="1"/>
  <c r="J246" i="8"/>
  <c r="Y12" i="8"/>
  <c r="L67" i="8"/>
  <c r="K63" i="8"/>
  <c r="K77" i="8" s="1"/>
  <c r="K217" i="8"/>
  <c r="J262" i="8"/>
  <c r="AA12" i="8"/>
  <c r="G31" i="19" s="1"/>
  <c r="I262" i="8"/>
  <c r="AA11" i="8"/>
  <c r="I166" i="8"/>
  <c r="J44" i="11"/>
  <c r="J43" i="11"/>
  <c r="J17" i="11"/>
  <c r="AC13" i="8"/>
  <c r="K79" i="8" l="1"/>
  <c r="K82" i="8" s="1"/>
  <c r="K64" i="8"/>
  <c r="Z10" i="8"/>
  <c r="R56" i="11"/>
  <c r="R64" i="11"/>
  <c r="R43" i="19" s="1"/>
  <c r="K83" i="8" l="1"/>
  <c r="K133" i="8"/>
  <c r="K233" i="8"/>
  <c r="K245" i="8" s="1"/>
  <c r="K246" i="8" s="1"/>
  <c r="K258" i="8"/>
  <c r="K164" i="8"/>
  <c r="L243" i="8"/>
  <c r="L229" i="9"/>
  <c r="K166" i="8" l="1"/>
  <c r="Y13" i="8"/>
  <c r="L66" i="8"/>
  <c r="K262" i="8"/>
  <c r="AA13" i="8"/>
  <c r="G32" i="19" s="1"/>
  <c r="K44" i="11"/>
  <c r="K43" i="11"/>
  <c r="K17" i="11"/>
  <c r="AC14" i="8"/>
  <c r="L63" i="8" l="1"/>
  <c r="L217" i="8"/>
  <c r="M67" i="8"/>
  <c r="Z11" i="8" l="1"/>
  <c r="L77" i="8"/>
  <c r="L64" i="8"/>
  <c r="M243" i="8"/>
  <c r="M229" i="9"/>
  <c r="L79" i="8" l="1"/>
  <c r="L82" i="8" s="1"/>
  <c r="M66" i="8"/>
  <c r="L43" i="11"/>
  <c r="L17" i="11"/>
  <c r="L44" i="11"/>
  <c r="L233" i="8" l="1"/>
  <c r="L245" i="8" s="1"/>
  <c r="L246" i="8" s="1"/>
  <c r="L83" i="8"/>
  <c r="L133" i="8"/>
  <c r="M63" i="8"/>
  <c r="M217" i="8"/>
  <c r="L258" i="8"/>
  <c r="L164" i="8"/>
  <c r="N67" i="8"/>
  <c r="N243" i="8"/>
  <c r="N229" i="9"/>
  <c r="L166" i="8" l="1"/>
  <c r="Y14" i="8"/>
  <c r="N66" i="8"/>
  <c r="N63" i="8" s="1"/>
  <c r="N77" i="8" s="1"/>
  <c r="AA14" i="8"/>
  <c r="G33" i="19" s="1"/>
  <c r="L262" i="8"/>
  <c r="Z12" i="8"/>
  <c r="M77" i="8"/>
  <c r="M64" i="8"/>
  <c r="M43" i="11"/>
  <c r="M17" i="11"/>
  <c r="M44" i="11"/>
  <c r="O67" i="8" l="1"/>
  <c r="N217" i="8"/>
  <c r="Z13" i="8" s="1"/>
  <c r="M79" i="8"/>
  <c r="M82" i="8" s="1"/>
  <c r="N79" i="8"/>
  <c r="N82" i="8" s="1"/>
  <c r="N64" i="8"/>
  <c r="O243" i="8"/>
  <c r="O229" i="9"/>
  <c r="O66" i="8" l="1"/>
  <c r="O63" i="8" s="1"/>
  <c r="O77" i="8" s="1"/>
  <c r="N83" i="8"/>
  <c r="N133" i="8"/>
  <c r="N233" i="8"/>
  <c r="N245" i="8" s="1"/>
  <c r="N246" i="8" s="1"/>
  <c r="M133" i="8"/>
  <c r="M233" i="8"/>
  <c r="M245" i="8" s="1"/>
  <c r="M246" i="8" s="1"/>
  <c r="M83" i="8"/>
  <c r="M258" i="8"/>
  <c r="M262" i="8" s="1"/>
  <c r="M164" i="8"/>
  <c r="N258" i="8"/>
  <c r="N262" i="8" s="1"/>
  <c r="N164" i="8"/>
  <c r="N44" i="11"/>
  <c r="N43" i="11"/>
  <c r="N49" i="19" s="1"/>
  <c r="N17" i="11"/>
  <c r="N28" i="19" s="1"/>
  <c r="P67" i="8" l="1"/>
  <c r="O217" i="8"/>
  <c r="Z14" i="8" s="1"/>
  <c r="M166" i="8"/>
  <c r="O79" i="8"/>
  <c r="O82" i="8" s="1"/>
  <c r="O64" i="8"/>
  <c r="N166" i="8"/>
  <c r="N50" i="19"/>
  <c r="N51" i="19"/>
  <c r="P243" i="8"/>
  <c r="P229" i="9"/>
  <c r="O233" i="8" l="1"/>
  <c r="O245" i="8" s="1"/>
  <c r="O246" i="8" s="1"/>
  <c r="O83" i="8"/>
  <c r="O133" i="8"/>
  <c r="O258" i="8"/>
  <c r="O262" i="8" s="1"/>
  <c r="O164" i="8"/>
  <c r="P66" i="8"/>
  <c r="O44" i="11"/>
  <c r="O43" i="11"/>
  <c r="O49" i="19" s="1"/>
  <c r="O17" i="11"/>
  <c r="O28" i="19" s="1"/>
  <c r="O166" i="8" l="1"/>
  <c r="P63" i="8"/>
  <c r="P217" i="8"/>
  <c r="Q67" i="8"/>
  <c r="O51" i="19"/>
  <c r="O50" i="19"/>
  <c r="Q243" i="8"/>
  <c r="P77" i="8" l="1"/>
  <c r="P64" i="8"/>
  <c r="Q229" i="9"/>
  <c r="Q66" i="8" l="1"/>
  <c r="Q63" i="8" s="1"/>
  <c r="P79" i="8"/>
  <c r="P82" i="8" s="1"/>
  <c r="D121" i="17"/>
  <c r="P43" i="11"/>
  <c r="P49" i="19" s="1"/>
  <c r="P44" i="11"/>
  <c r="P17" i="11"/>
  <c r="P28" i="19" s="1"/>
  <c r="Q217" i="8" l="1"/>
  <c r="Q221" i="8" s="1"/>
  <c r="Q222" i="8" s="1"/>
  <c r="P133" i="8"/>
  <c r="P83" i="8"/>
  <c r="P233" i="8"/>
  <c r="P245" i="8" s="1"/>
  <c r="P246" i="8" s="1"/>
  <c r="P258" i="8"/>
  <c r="P262" i="8" s="1"/>
  <c r="P164" i="8"/>
  <c r="Q77" i="8"/>
  <c r="Q64" i="8"/>
  <c r="P50" i="19"/>
  <c r="P51" i="19"/>
  <c r="K6" i="17" a="1"/>
  <c r="K6" i="17" s="1"/>
  <c r="J6" i="17" a="1"/>
  <c r="J6" i="17" s="1"/>
  <c r="J18" i="17" s="1"/>
  <c r="J19" i="17" s="1"/>
  <c r="D40" i="17"/>
  <c r="O40" i="17" s="1"/>
  <c r="D41" i="17"/>
  <c r="O41" i="17" s="1"/>
  <c r="M6" i="17" a="1"/>
  <c r="M6" i="17" s="1"/>
  <c r="L6" i="17" a="1"/>
  <c r="L6" i="17" s="1"/>
  <c r="L18" i="17" s="1"/>
  <c r="L19" i="17" s="1"/>
  <c r="D75" i="17"/>
  <c r="O75" i="17" s="1"/>
  <c r="D34" i="17"/>
  <c r="O34" i="17" s="1"/>
  <c r="D36" i="17"/>
  <c r="O36" i="17" s="1"/>
  <c r="P166" i="8" l="1"/>
  <c r="Q79" i="8"/>
  <c r="Q82" i="8" s="1"/>
  <c r="M18" i="17"/>
  <c r="M19" i="17" s="1"/>
  <c r="E27" i="17"/>
  <c r="K27" i="17" s="1"/>
  <c r="N27" i="17" s="1" a="1"/>
  <c r="N27" i="17" s="1"/>
  <c r="E26" i="17"/>
  <c r="K26" i="17" s="1"/>
  <c r="N26" i="17" s="1" a="1"/>
  <c r="N26" i="17" s="1"/>
  <c r="E25" i="17"/>
  <c r="K25" i="17" s="1"/>
  <c r="N25" i="17" s="1" a="1"/>
  <c r="N25" i="17" s="1"/>
  <c r="E24" i="17"/>
  <c r="K24" i="17" s="1"/>
  <c r="N24" i="17" s="1" a="1"/>
  <c r="N24" i="17" s="1"/>
  <c r="D24" i="17"/>
  <c r="J24" i="17" s="1"/>
  <c r="M24" i="17" s="1" a="1"/>
  <c r="M24" i="17" s="1"/>
  <c r="D26" i="17"/>
  <c r="J26" i="17" s="1"/>
  <c r="M26" i="17" s="1" a="1"/>
  <c r="M26" i="17" s="1"/>
  <c r="D25" i="17"/>
  <c r="J25" i="17" s="1"/>
  <c r="M25" i="17" s="1" a="1"/>
  <c r="M25" i="17" s="1"/>
  <c r="K18" i="17"/>
  <c r="K19" i="17" s="1"/>
  <c r="D27" i="17"/>
  <c r="J27" i="17" s="1"/>
  <c r="M27" i="17" s="1" a="1"/>
  <c r="M27" i="17" s="1"/>
  <c r="Q83" i="8" l="1"/>
  <c r="Q233" i="8"/>
  <c r="Q245" i="8" s="1"/>
  <c r="Q248" i="8" s="1"/>
  <c r="Q249" i="8" s="1"/>
  <c r="Q133" i="8"/>
  <c r="Q258" i="8"/>
  <c r="Q164" i="8"/>
  <c r="Q262" i="8" l="1"/>
  <c r="Q264" i="8" s="1"/>
  <c r="Q265" i="8" s="1"/>
  <c r="Q166" i="8"/>
  <c r="Q246" i="8"/>
  <c r="Q266" i="8" l="1"/>
  <c r="Q268" i="8"/>
  <c r="Q270" i="8" s="1"/>
  <c r="H33" i="19"/>
  <c r="H32" i="19"/>
  <c r="H31" i="19"/>
  <c r="H30" i="19"/>
  <c r="Q9" i="11"/>
  <c r="Q21" i="19" s="1"/>
  <c r="H231" i="8"/>
  <c r="H77" i="8"/>
  <c r="Q20" i="11" s="1"/>
  <c r="H48" i="8"/>
  <c r="Q51" i="11" s="1"/>
  <c r="Q56" i="19" s="1"/>
  <c r="H61" i="8"/>
  <c r="Q19" i="11" s="1"/>
  <c r="Q30" i="19" s="1"/>
  <c r="Q45" i="11" l="1"/>
  <c r="H79" i="8"/>
  <c r="H82" i="8" s="1"/>
  <c r="H233" i="8" s="1"/>
  <c r="H245" i="8" s="1"/>
  <c r="H180" i="8"/>
  <c r="F29" i="19"/>
  <c r="H49" i="8"/>
  <c r="Q18" i="11" s="1"/>
  <c r="Q29" i="19" s="1"/>
  <c r="Q50" i="11"/>
  <c r="Q55" i="19" s="1"/>
  <c r="Q8" i="11"/>
  <c r="Q20" i="19" s="1"/>
  <c r="Q44" i="11"/>
  <c r="Q43" i="11"/>
  <c r="Q49" i="19" s="1"/>
  <c r="H83" i="8" l="1"/>
  <c r="Q23" i="11" s="1"/>
  <c r="Q33" i="19" s="1"/>
  <c r="H133" i="8"/>
  <c r="Q63" i="11" s="1"/>
  <c r="Q42" i="19" s="1"/>
  <c r="H179" i="8"/>
  <c r="H181" i="8"/>
  <c r="H178" i="8"/>
  <c r="H177" i="8" s="1"/>
  <c r="H183" i="8" s="1"/>
  <c r="Q51" i="19"/>
  <c r="Q50" i="19"/>
  <c r="Q62" i="11"/>
  <c r="Q58" i="11"/>
  <c r="Q55" i="11"/>
  <c r="Q60" i="11"/>
  <c r="Y10" i="8"/>
  <c r="H246" i="8"/>
  <c r="Q250" i="8" s="1"/>
  <c r="Q252" i="8" s="1"/>
  <c r="Q254" i="8" s="1"/>
  <c r="Q57" i="11" l="1"/>
  <c r="Q59" i="11"/>
  <c r="H166" i="8"/>
  <c r="H89" i="8" s="1"/>
  <c r="AB10" i="8"/>
  <c r="H29" i="19" s="1"/>
  <c r="H193" i="8"/>
  <c r="Q64" i="11" l="1"/>
  <c r="Q43" i="19" s="1"/>
  <c r="Q56" i="11"/>
  <c r="H194" i="8"/>
  <c r="Q201" i="8" s="1"/>
  <c r="Q206" i="8" s="1"/>
  <c r="Q209" i="8" s="1"/>
  <c r="H216" i="8"/>
  <c r="Q223" i="8" s="1"/>
  <c r="Q224" i="8" s="1"/>
  <c r="Q225" i="8" s="1"/>
  <c r="Q227" i="8" s="1"/>
  <c r="X10" i="8"/>
  <c r="G29" i="19" s="1"/>
  <c r="Q28" i="11"/>
  <c r="Q37" i="19" s="1"/>
  <c r="I89" i="8"/>
  <c r="I222" i="9"/>
  <c r="AI10" i="8"/>
  <c r="AE10" i="8"/>
  <c r="Q27" i="11"/>
  <c r="Q36" i="19" s="1"/>
  <c r="R45" i="11"/>
  <c r="R202" i="8"/>
  <c r="R206" i="8" s="1"/>
  <c r="AD10" i="8"/>
  <c r="AO288" i="8" l="1"/>
  <c r="C6" i="27" s="1"/>
  <c r="Q212" i="8"/>
  <c r="U11" i="19" s="1"/>
  <c r="U10" i="19"/>
  <c r="AO298" i="8"/>
  <c r="Q11" i="11"/>
  <c r="Q23" i="19" s="1"/>
  <c r="Q7" i="11"/>
  <c r="Q19" i="19" s="1"/>
  <c r="Q10" i="11"/>
  <c r="Q22" i="19" s="1"/>
  <c r="R29" i="11"/>
  <c r="R38" i="19" s="1"/>
  <c r="Q29" i="11"/>
  <c r="Q38" i="19" s="1"/>
  <c r="Q42" i="11"/>
  <c r="Q48" i="19" s="1"/>
  <c r="AG10" i="8"/>
  <c r="R15" i="11"/>
  <c r="R26" i="19" s="1"/>
  <c r="R42" i="11"/>
  <c r="R48" i="19" s="1"/>
  <c r="AE11" i="8"/>
  <c r="AG11" i="8" s="1"/>
  <c r="Q15" i="11"/>
  <c r="Q26" i="19" s="1"/>
  <c r="S202" i="8"/>
  <c r="S206" i="8" s="1"/>
  <c r="R28" i="11"/>
  <c r="R37" i="19" s="1"/>
  <c r="J222" i="9"/>
  <c r="AD11" i="8"/>
  <c r="J89" i="8"/>
  <c r="AI11" i="8"/>
  <c r="R27" i="11"/>
  <c r="R36" i="19" s="1"/>
  <c r="Q41" i="11" l="1"/>
  <c r="Q47" i="19" s="1"/>
  <c r="R16" i="11"/>
  <c r="R27" i="19" s="1"/>
  <c r="R41" i="11"/>
  <c r="R47" i="19" s="1"/>
  <c r="Q40" i="11"/>
  <c r="Q46" i="19" s="1"/>
  <c r="R40" i="11"/>
  <c r="R46" i="19" s="1"/>
  <c r="R17" i="11"/>
  <c r="R28" i="19" s="1"/>
  <c r="Q16" i="11"/>
  <c r="Q27" i="19" s="1"/>
  <c r="Q17" i="11"/>
  <c r="Q28" i="19" s="1"/>
  <c r="K89" i="8"/>
  <c r="K222" i="9"/>
  <c r="AD12" i="8"/>
  <c r="R7" i="11"/>
  <c r="R19" i="19" s="1"/>
  <c r="R11" i="11"/>
  <c r="R23" i="19" s="1"/>
  <c r="R10" i="11"/>
  <c r="R22" i="19" s="1"/>
  <c r="L222" i="9" l="1"/>
  <c r="AD13" i="8"/>
  <c r="L89" i="8"/>
  <c r="M222" i="9" l="1"/>
  <c r="AD14" i="8"/>
  <c r="M89" i="8"/>
  <c r="N222" i="9" l="1"/>
  <c r="N89" i="8"/>
  <c r="O89" i="8" l="1"/>
  <c r="O222" i="9"/>
  <c r="P89" i="8" l="1"/>
  <c r="P222" i="9"/>
  <c r="Q89" i="8" l="1"/>
  <c r="Q22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João Francisco da Silva Garcia</author>
  </authors>
  <commentList>
    <comment ref="P18" authorId="0" shapeId="0" xr:uid="{CA0AE068-1CD3-4081-A02F-80CDBCE26AFC}">
      <text>
        <r>
          <rPr>
            <sz val="11"/>
            <color theme="1"/>
            <rFont val="Arial"/>
            <family val="2"/>
          </rPr>
          <t>Check graph and Net Sales YoY</t>
        </r>
      </text>
    </comment>
    <comment ref="P22" authorId="0" shapeId="0" xr:uid="{641A15EE-4F77-45DA-BC15-D138D3AADB7C}">
      <text>
        <r>
          <rPr>
            <sz val="11"/>
            <color theme="1"/>
            <rFont val="Arial"/>
            <family val="2"/>
          </rPr>
          <t>Around the average for IT Services companies in the US</t>
        </r>
      </text>
    </comment>
    <comment ref="P23" authorId="0" shapeId="0" xr:uid="{6E074B0D-3669-4E4A-BDF7-9BA5C30C6425}">
      <text>
        <r>
          <rPr>
            <sz val="11"/>
            <color theme="1"/>
            <rFont val="Arial"/>
            <family val="2"/>
          </rPr>
          <t>Average for sector is 4,55, but value is not alarming since bigger companies tend to have a bigger market valuation</t>
        </r>
      </text>
    </comment>
    <comment ref="O27" authorId="0" shapeId="0" xr:uid="{F5308573-3D99-41A3-8795-02455D1ECA59}">
      <text>
        <r>
          <rPr>
            <sz val="11"/>
            <color theme="1"/>
            <rFont val="Arial"/>
            <family val="2"/>
          </rPr>
          <t>Big bomp on net income after paying a one time big cash setlement in 2022</t>
        </r>
      </text>
    </comment>
    <comment ref="P37" authorId="0" shapeId="0" xr:uid="{DCEC37CC-3133-40B7-9E0C-EAD16D6C92AC}">
      <text>
        <r>
          <rPr>
            <sz val="11"/>
            <color theme="1"/>
            <rFont val="Arial"/>
            <family val="2"/>
          </rPr>
          <t>Correlates to negative capex in the last few years.</t>
        </r>
      </text>
    </comment>
    <comment ref="P38" authorId="0" shapeId="0" xr:uid="{F579D571-5750-41D8-B2C7-64DDFE33DFD6}">
      <text>
        <r>
          <rPr>
            <sz val="11"/>
            <color theme="1"/>
            <rFont val="Arial"/>
            <family val="2"/>
          </rPr>
          <t>Ratio is now above 1, signaling no liquidity ratios.</t>
        </r>
      </text>
    </comment>
    <comment ref="P46" authorId="0" shapeId="0" xr:uid="{BCFB926D-DD40-4737-8424-254F856CA5BC}">
      <text>
        <r>
          <rPr>
            <sz val="11"/>
            <color theme="1"/>
            <rFont val="Arial"/>
            <family val="2"/>
          </rPr>
          <t xml:space="preserve">Could be vulnerable to high interest rates </t>
        </r>
      </text>
    </comment>
    <comment ref="P49" authorId="0" shapeId="0" xr:uid="{E545A2B0-B6AD-4733-A364-764BE9F6CA53}">
      <text>
        <r>
          <rPr>
            <sz val="11"/>
            <color theme="1"/>
            <rFont val="Arial"/>
            <family val="2"/>
          </rPr>
          <t>High value, not a good sign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Lucas Alves</author>
  </authors>
  <commentList>
    <comment ref="E7" authorId="0" shapeId="0" xr:uid="{83276809-1C6F-4016-8586-56A63BA393D4}">
      <text>
        <r>
          <rPr>
            <b/>
            <sz val="9"/>
            <color indexed="81"/>
            <rFont val="Tahoma"/>
            <family val="2"/>
          </rPr>
          <t>Lucas Alves:</t>
        </r>
        <r>
          <rPr>
            <sz val="9"/>
            <color indexed="81"/>
            <rFont val="Tahoma"/>
            <family val="2"/>
          </rPr>
          <t xml:space="preserve">
5680 correspond to Japan that represented more than 10% of revenue until 2021</t>
        </r>
      </text>
    </comment>
    <comment ref="F7" authorId="0" shapeId="0" xr:uid="{A2B39DDA-E1EC-42F9-9376-554AC5EF7B94}">
      <text>
        <r>
          <rPr>
            <b/>
            <sz val="9"/>
            <color indexed="81"/>
            <rFont val="Tahoma"/>
            <family val="2"/>
          </rPr>
          <t>Lucas Alves:</t>
        </r>
        <r>
          <rPr>
            <sz val="9"/>
            <color indexed="81"/>
            <rFont val="Tahoma"/>
            <family val="2"/>
          </rPr>
          <t xml:space="preserve">
5648 correspond to Japan that represented more than 10% of revenue until 2021</t>
        </r>
      </text>
    </comment>
    <comment ref="D52" authorId="0" shapeId="0" xr:uid="{E6C307A7-D89E-49C5-B0D1-1EA9D18785CC}">
      <text>
        <r>
          <rPr>
            <b/>
            <sz val="9"/>
            <color indexed="81"/>
            <rFont val="Tahoma"/>
            <family val="2"/>
          </rPr>
          <t>Lucas Alves:</t>
        </r>
        <r>
          <rPr>
            <sz val="9"/>
            <color indexed="81"/>
            <rFont val="Tahoma"/>
            <family val="2"/>
          </rPr>
          <t xml:space="preserve">
further explanaition in Industry key drivers.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Lucas Alves</author>
  </authors>
  <commentList>
    <comment ref="R6" authorId="0" shapeId="0" xr:uid="{473E7022-9075-4099-8498-83B5E31F97EC}">
      <text>
        <r>
          <rPr>
            <b/>
            <sz val="9"/>
            <color indexed="81"/>
            <rFont val="Tahoma"/>
            <family val="2"/>
          </rPr>
          <t>Lucas Alves:</t>
        </r>
        <r>
          <rPr>
            <sz val="9"/>
            <color indexed="81"/>
            <rFont val="Tahoma"/>
            <family val="2"/>
          </rPr>
          <t xml:space="preserve">
Consulted 25/4
</t>
        </r>
      </text>
    </comment>
    <comment ref="R7" authorId="0" shapeId="0" xr:uid="{45F50388-8F7B-4ECA-B4B9-7FD2809BB09B}">
      <text>
        <r>
          <rPr>
            <b/>
            <sz val="9"/>
            <color indexed="81"/>
            <rFont val="Tahoma"/>
            <family val="2"/>
          </rPr>
          <t>Lucas Alves:</t>
        </r>
        <r>
          <rPr>
            <sz val="9"/>
            <color indexed="81"/>
            <rFont val="Tahoma"/>
            <family val="2"/>
          </rPr>
          <t xml:space="preserve">
As shown in the picture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João Pedro Carocinho Morgado Baioa</author>
  </authors>
  <commentList>
    <comment ref="E31" authorId="0" shapeId="0" xr:uid="{8D3A220C-84A9-43D3-A739-CD9C1972FFA0}">
      <text>
        <r>
          <rPr>
            <sz val="11"/>
            <color theme="1"/>
            <rFont val="Arial"/>
            <family val="2"/>
          </rPr>
          <t xml:space="preserve">João Pedro Carocinho Morgado Baioa:
In consulting, normally it is between 5-15%. Because is people-intensive and hard to scale. Every new project needs: analysts, engineers, consultants. </t>
        </r>
      </text>
    </comment>
    <comment ref="F31" authorId="0" shapeId="0" xr:uid="{8020E14F-6E88-48FC-9C4E-AC1EE07DAEA8}">
      <text>
        <r>
          <rPr>
            <sz val="11"/>
            <color theme="1"/>
            <rFont val="Arial"/>
            <family val="2"/>
          </rPr>
          <t xml:space="preserve">João Pedro Carocinho Morgado Baioa:
In consulting, normally it is between 5-15%. Because is people-intensive and hard to scale. Every new project needs: analysts, engineers, consultants. </t>
        </r>
      </text>
    </comment>
    <comment ref="G31" authorId="0" shapeId="0" xr:uid="{BAB7B361-F5E7-497F-AE66-9FF1470629D9}">
      <text>
        <r>
          <rPr>
            <sz val="11"/>
            <color theme="1"/>
            <rFont val="Arial"/>
            <family val="2"/>
          </rPr>
          <t xml:space="preserve">João Pedro Carocinho Morgado Baioa:
Cloud platforms have high upfront infrastructure costs. Once a product is built, every new sale is nearly pure profit. </t>
        </r>
      </text>
    </comment>
    <comment ref="H31" authorId="0" shapeId="0" xr:uid="{2094344C-1665-4624-9E68-1D1C5DFC5FA1}">
      <text>
        <r>
          <rPr>
            <sz val="11"/>
            <color theme="1"/>
            <rFont val="Arial"/>
            <family val="2"/>
          </rPr>
          <t xml:space="preserve">João Pedro Carocinho Morgado Baioa:
Cloud platforms have high upfront infrastructure costs. Once a product is built, every new sale is nearly pure profit. </t>
        </r>
      </text>
    </comment>
    <comment ref="D32" authorId="0" shapeId="0" xr:uid="{A78398E1-E725-451B-B092-29F26C085275}">
      <text>
        <r>
          <rPr>
            <sz val="11"/>
            <color theme="1"/>
            <rFont val="Arial"/>
            <family val="2"/>
          </rPr>
          <t xml:space="preserve">João Pedro Carocinho Morgado Baioa:
They didn’t drop much relative to operating margin, even though they had pension settlement
charges of $3.1 billion in 2024, to reduce risk
</t>
        </r>
      </text>
    </comment>
    <comment ref="G33" authorId="0" shapeId="0" xr:uid="{79336158-06FB-4F77-9C54-186AF81E8C1D}">
      <text>
        <r>
          <rPr>
            <sz val="11"/>
            <color theme="1"/>
            <rFont val="Arial"/>
            <family val="2"/>
          </rPr>
          <t>João Pedro Carocinho Morgado Baioa:
intangible asssets dominate the balance sheet</t>
        </r>
      </text>
    </comment>
    <comment ref="H35" authorId="0" shapeId="0" xr:uid="{063A9BEA-66FF-45CA-944F-1C064A9E4542}">
      <text>
        <r>
          <rPr>
            <sz val="11"/>
            <color theme="1"/>
            <rFont val="Arial"/>
            <family val="2"/>
          </rPr>
          <t>João Pedro Carocinho Morgado Baioa:
agressive share buybacks(reduce equity) and debt-fueld growth</t>
        </r>
      </text>
    </comment>
    <comment ref="D42" authorId="0" shapeId="0" xr:uid="{918C98BB-3058-40AC-9F62-9DD01C50387B}">
      <text>
        <r>
          <rPr>
            <sz val="11"/>
            <color theme="1"/>
            <rFont val="Arial"/>
            <family val="2"/>
          </rPr>
          <t>João Pedro Carocinho Morgado Baioa:
relies more on debt for aquisitions, while having a less profit margins</t>
        </r>
      </text>
    </comment>
    <comment ref="E42" authorId="0" shapeId="0" xr:uid="{8AC324B8-6E92-4EF0-BCE4-ABA54F5B52BD}">
      <text>
        <r>
          <rPr>
            <sz val="11"/>
            <color theme="1"/>
            <rFont val="Arial"/>
            <family val="2"/>
          </rPr>
          <t>João Pedro Carocinho Morgado Baioa:
Had interest income greater than interest expense</t>
        </r>
      </text>
    </comment>
    <comment ref="F42" authorId="0" shapeId="0" xr:uid="{24DC3D65-1E20-4224-8639-2DE2D23F609B}">
      <text>
        <r>
          <rPr>
            <sz val="11"/>
            <color theme="1"/>
            <rFont val="Arial"/>
            <family val="2"/>
          </rPr>
          <t>João Pedro Carocinho Morgado Baioa:
Had interest income greater than interest expense</t>
        </r>
      </text>
    </comment>
    <comment ref="D46" authorId="0" shapeId="0" xr:uid="{7427E47D-055A-43F1-AB86-6DCBC1880DA4}">
      <text>
        <r>
          <rPr>
            <sz val="11"/>
            <color theme="1"/>
            <rFont val="Arial"/>
            <family val="2"/>
          </rPr>
          <t>João Pedro Carocinho Morgado Baioa:
IBM sold low-margin businesses (like Watson Health, Kyndryl)brought in billions in cash
share buybacks spending have been declining butDividends remain steady</t>
        </r>
      </text>
    </comment>
    <comment ref="G46" authorId="0" shapeId="0" xr:uid="{D1C866F8-F111-4D1C-B274-7AD5D05C5767}">
      <text>
        <r>
          <rPr>
            <sz val="11"/>
            <color theme="1"/>
            <rFont val="Arial"/>
            <family val="2"/>
          </rPr>
          <t>João Pedro Carocinho Morgado Baioa:
high spending in R&amp;D</t>
        </r>
      </text>
    </comment>
    <comment ref="D52" authorId="0" shapeId="0" xr:uid="{089553B5-DACF-48ED-9EC0-2DC3EEF6FB7E}">
      <text>
        <r>
          <rPr>
            <sz val="11"/>
            <color theme="1"/>
            <rFont val="Arial"/>
            <family val="2"/>
          </rPr>
          <t>João Pedro Carocinho Morgado Baioa:
Legacy hardware (mainframes) moves slower and more services focus</t>
        </r>
      </text>
    </comment>
    <comment ref="I52" authorId="0" shapeId="0" xr:uid="{351D20AD-A472-4E4B-AF5A-8C0ABBF8E82C}">
      <text>
        <r>
          <rPr>
            <sz val="11"/>
            <color theme="1"/>
            <rFont val="Arial"/>
            <family val="2"/>
          </rPr>
          <t>João Pedro Carocinho Morgado Baioa:
Sells hardware with fast production cycles</t>
        </r>
      </text>
    </comment>
    <comment ref="D53" authorId="0" shapeId="0" xr:uid="{54091F64-B7D3-4C50-A627-6E457A9FB972}">
      <text>
        <r>
          <rPr>
            <sz val="11"/>
            <color theme="1"/>
            <rFont val="Arial"/>
            <family val="2"/>
          </rPr>
          <t>João Pedro Carocinho Morgado Baioa:
means more robust cash flow management</t>
        </r>
      </text>
    </comment>
    <comment ref="E55" authorId="0" shapeId="0" xr:uid="{A1D99D72-606C-4CFE-A177-406E3DC45EFB}">
      <text>
        <r>
          <rPr>
            <sz val="11"/>
            <color theme="1"/>
            <rFont val="Arial"/>
            <family val="2"/>
          </rPr>
          <t>João Pedro Carocinho Morgado Baioa:
No factories, data centers, or hardware, Revenue comes from people</t>
        </r>
      </text>
    </comment>
    <comment ref="E56" authorId="0" shapeId="0" xr:uid="{5230AE22-47C6-4A98-8138-5C801E048818}">
      <text>
        <r>
          <rPr>
            <sz val="11"/>
            <color theme="1"/>
            <rFont val="Arial"/>
            <family val="2"/>
          </rPr>
          <t xml:space="preserve">João Pedro Carocinho Morgado Baioa:
Fewer Physical Assets </t>
        </r>
      </text>
    </comment>
    <comment ref="F56" authorId="0" shapeId="0" xr:uid="{334FB03F-62DB-4A98-A785-C12E7DC4EDD6}">
      <text>
        <r>
          <rPr>
            <sz val="11"/>
            <color theme="1"/>
            <rFont val="Arial"/>
            <family val="2"/>
          </rPr>
          <t xml:space="preserve">João Pedro Carocinho Morgado Baioa:
Fewer Physical Assets </t>
        </r>
      </text>
    </comment>
    <comment ref="G57" authorId="0" shapeId="0" xr:uid="{ACDF3948-9A1B-437B-B9CD-EC1D3A7125F2}">
      <text>
        <r>
          <rPr>
            <sz val="11"/>
            <color theme="1"/>
            <rFont val="Arial"/>
            <family val="2"/>
          </rPr>
          <t>João Pedro Carocinho Morgado Baioa:
Customers pay upfront, few inventory, pay supliers later.</t>
        </r>
      </text>
    </comment>
    <comment ref="D62" authorId="0" shapeId="0" xr:uid="{EF9BF309-130D-4560-8247-3C6945902233}">
      <text>
        <r>
          <rPr>
            <sz val="11"/>
            <color theme="1"/>
            <rFont val="Arial"/>
            <family val="2"/>
          </rPr>
          <t>João Pedro Carocinho Morgado Baioa:
Could mean funding expansion or liquidity needs</t>
        </r>
      </text>
    </comment>
    <comment ref="D64" authorId="0" shapeId="0" xr:uid="{5C568F41-66DA-4F73-A17F-3CD539FB63D5}">
      <text>
        <r>
          <rPr>
            <sz val="11"/>
            <color theme="1"/>
            <rFont val="Arial"/>
            <family val="2"/>
          </rPr>
          <t>João Pedro Carocinho Morgado Baioa:
robust operating cash flow, so even modest capex outlays show up as a tiny percentage of total CFO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Raul Vasconcelos</author>
    <author>Hector Yu</author>
    <author>Raul Vasconcelos da Silva</author>
    <author>tc={CB5C8E83-E3D0-4441-B6E0-D862C650B5F5}</author>
    <author>tc={E2CDF95A-7B2F-4661-BCB3-C007122C6CFD}</author>
    <author>tc={62E50C66-BA1C-4031-B660-F25771E0B7AB}</author>
    <author>tc={9EF6C6D7-5E70-49FE-A672-ED08A0372EC5}</author>
  </authors>
  <commentList>
    <comment ref="B40" authorId="0"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43" authorId="0" shapeId="0" xr:uid="{00000000-0006-0000-0600-000004000000}">
      <text>
        <r>
          <rPr>
            <b/>
            <sz val="9"/>
            <color indexed="81"/>
            <rFont val="Tahoma"/>
            <family val="2"/>
          </rPr>
          <t>Raul Vasconcelos:</t>
        </r>
        <r>
          <rPr>
            <sz val="9"/>
            <color indexed="81"/>
            <rFont val="Tahoma"/>
            <family val="2"/>
          </rPr>
          <t xml:space="preserve">
Forecast based on company policy, industry trends, or as a percentage of sales</t>
        </r>
      </text>
    </comment>
    <comment ref="H67" authorId="1" shapeId="0" xr:uid="{0A117561-D4F8-4680-B3B4-74B7EC4DFE63}">
      <text>
        <r>
          <rPr>
            <b/>
            <sz val="9"/>
            <color indexed="81"/>
            <rFont val="Tahoma"/>
            <family val="2"/>
          </rPr>
          <t>Hector Yu:</t>
        </r>
        <r>
          <rPr>
            <sz val="9"/>
            <color indexed="81"/>
            <rFont val="Tahoma"/>
            <family val="2"/>
          </rPr>
          <t xml:space="preserve">
suggested interested rate, calculated as:
average interest expenses / average(beg.debt, end debt) over the past two years
it is the forecasted interest expenses/total debt rate</t>
        </r>
      </text>
    </comment>
    <comment ref="B73" authorId="2"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79" authorId="1" shapeId="0" xr:uid="{F6E4F3C4-6C7A-4028-A169-68894776DF6C}">
      <text>
        <r>
          <rPr>
            <b/>
            <sz val="9"/>
            <color indexed="81"/>
            <rFont val="Tahoma"/>
            <family val="2"/>
          </rPr>
          <t>Hector Yu:</t>
        </r>
        <r>
          <rPr>
            <sz val="9"/>
            <color indexed="81"/>
            <rFont val="Tahoma"/>
            <family val="2"/>
          </rPr>
          <t xml:space="preserve">
Tax Expenses (Benefits) under GAAP appears to be fluctuating and positive in recent years, due to:
pension settlement charge
tax audit matters
foreign income differential
Therefore, adjusted to be using the non-GAAP one</t>
        </r>
      </text>
    </comment>
    <comment ref="C79" authorId="1" shapeId="0" xr:uid="{E4A89BAA-AE80-459C-BCC8-6ED020CD7962}">
      <text>
        <r>
          <rPr>
            <b/>
            <sz val="9"/>
            <color indexed="81"/>
            <rFont val="Tahoma"/>
            <family val="2"/>
          </rPr>
          <t>Hector Yu:</t>
        </r>
        <r>
          <rPr>
            <sz val="9"/>
            <color indexed="81"/>
            <rFont val="Tahoma"/>
            <family val="2"/>
          </rPr>
          <t xml:space="preserve">
will affect net income but for the valuation to have a clear view of the tax expenses from opearation</t>
        </r>
      </text>
    </comment>
    <comment ref="B104" authorId="1" shapeId="0" xr:uid="{0AC330AC-5F21-45D8-883E-CCFC159C1E9C}">
      <text>
        <r>
          <rPr>
            <b/>
            <sz val="9"/>
            <color indexed="81"/>
            <rFont val="Tahoma"/>
            <family val="2"/>
          </rPr>
          <t>Hector Yu:</t>
        </r>
        <r>
          <rPr>
            <sz val="9"/>
            <color indexed="81"/>
            <rFont val="Tahoma"/>
            <family val="2"/>
          </rPr>
          <t xml:space="preserve">
shouldn't be previous year's Acc.Dep + this year's depreciation expenses, because there's changes due to disposals of assets.
Therefore, it is estimated based on the percentage of gross PPE
The forecast will take the average of previous 3 year's ratio since PPE and depreciation is relatively stable for IBM</t>
        </r>
      </text>
    </comment>
    <comment ref="B124" authorId="3" shapeId="0" xr:uid="{00000000-0006-0000-0600-000007000000}">
      <text>
        <t>[Threaded comment]
Your version of Excel allows you to read this threaded comment; however, any edits to it will get removed if the file is opened in a newer version of Excel. Learn more: https://go.microsoft.com/fwlink/?linkid=870924
Comment:
    Chipotle does not have any Intangibles in its Balance Sheet, except for Goodwill. Hence Depreciation and Amortization are forecasted only as % of PP&amp;E.</t>
      </text>
    </comment>
    <comment ref="B126" authorId="2" shapeId="0" xr:uid="{00000000-0006-0000-0600-000008000000}">
      <text>
        <r>
          <rPr>
            <sz val="11"/>
            <color theme="1"/>
            <rFont val="Arial"/>
            <family val="2"/>
          </rPr>
          <t xml:space="preserve">Usually part of SG&amp;A expenses, but sometimes can be part of R&amp;D expenses, i.e. tech/engineering companies </t>
        </r>
      </text>
    </comment>
    <comment ref="B142" authorId="2" shapeId="0" xr:uid="{00000000-0006-0000-0600-00000A000000}">
      <text>
        <r>
          <rPr>
            <sz val="11"/>
            <color theme="1"/>
            <rFont val="Arial"/>
            <family val="2"/>
          </rPr>
          <t>Forecast separately based on what you find to be the best factor</t>
        </r>
      </text>
    </comment>
    <comment ref="B151" authorId="1" shapeId="0" xr:uid="{93C5F5AC-A722-4F47-8E76-B5FCFE900136}">
      <text>
        <r>
          <rPr>
            <b/>
            <sz val="9"/>
            <color indexed="81"/>
            <rFont val="Tahoma"/>
            <family val="2"/>
          </rPr>
          <t>Hector Yu:</t>
        </r>
        <r>
          <rPr>
            <sz val="9"/>
            <color indexed="81"/>
            <rFont val="Tahoma"/>
            <family val="2"/>
          </rPr>
          <t xml:space="preserve">
only for tax witholding purpose
</t>
        </r>
      </text>
    </comment>
    <comment ref="B154" authorId="4" shapeId="0" xr:uid="{00000000-0006-0000-0600-00000B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7" authorId="1" shapeId="0" xr:uid="{B266FA9C-2005-4EC2-9A76-A89C43CBC3D8}">
      <text>
        <r>
          <rPr>
            <b/>
            <sz val="9"/>
            <color indexed="81"/>
            <rFont val="Tahoma"/>
            <family val="2"/>
          </rPr>
          <t>Hector Yu:</t>
        </r>
        <r>
          <rPr>
            <sz val="9"/>
            <color indexed="81"/>
            <rFont val="Tahoma"/>
            <family val="2"/>
          </rPr>
          <t xml:space="preserve">
borrowings + cash beg. / CapEx + Net Cash from Inv. &amp; Acq + ΔNWC+debt repayment</t>
        </r>
      </text>
    </comment>
    <comment ref="B159" authorId="5" shapeId="0" xr:uid="{00000000-0006-0000-0600-00000D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H159" authorId="1" shapeId="0" xr:uid="{373844D8-1066-4DB8-9AF3-701308116806}">
      <text>
        <r>
          <rPr>
            <b/>
            <sz val="9"/>
            <color indexed="81"/>
            <rFont val="Tahoma"/>
            <family val="2"/>
          </rPr>
          <t>Hector Yu:</t>
        </r>
        <r>
          <rPr>
            <sz val="9"/>
            <color indexed="81"/>
            <rFont val="Tahoma"/>
            <family val="2"/>
          </rPr>
          <t xml:space="preserve">
estimated in AR 2024: Pre-swap annual contractual obligations of long-term debt outstanding.</t>
        </r>
      </text>
    </comment>
    <comment ref="M159" authorId="1" shapeId="0" xr:uid="{B7D705C0-4AE4-4F6B-9C12-CD5EF81BEA6B}">
      <text>
        <r>
          <rPr>
            <b/>
            <sz val="9"/>
            <color indexed="81"/>
            <rFont val="Tahoma"/>
            <family val="2"/>
          </rPr>
          <t>Hector Yu:</t>
        </r>
        <r>
          <rPr>
            <sz val="9"/>
            <color indexed="81"/>
            <rFont val="Tahoma"/>
            <family val="2"/>
          </rPr>
          <t xml:space="preserve">
total 29,616 for 2029+
</t>
        </r>
      </text>
    </comment>
    <comment ref="B166" authorId="6" shapeId="0" xr:uid="{00000000-0006-0000-0600-00000E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Hector Yu</author>
  </authors>
  <commentList>
    <comment ref="I67" authorId="0" shapeId="0" xr:uid="{C4C2504D-46AB-4E5C-9E19-94551DAA0FD5}">
      <text>
        <r>
          <rPr>
            <b/>
            <sz val="9"/>
            <color indexed="81"/>
            <rFont val="Tahoma"/>
            <family val="2"/>
          </rPr>
          <t>Hector Yu:</t>
        </r>
        <r>
          <rPr>
            <sz val="9"/>
            <color indexed="81"/>
            <rFont val="Tahoma"/>
            <family val="2"/>
          </rPr>
          <t xml:space="preserve">
coicide with IBM's expectation, according to Q4 Earnings Presentation, 2024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Hector Yu</author>
    <author>Raul Vasconcelos</author>
  </authors>
  <commentList>
    <comment ref="B7" authorId="0" shapeId="0" xr:uid="{00000000-0006-0000-0800-000001000000}">
      <text>
        <r>
          <rPr>
            <sz val="11"/>
            <color theme="1"/>
            <rFont val="Arial"/>
            <family val="2"/>
          </rPr>
          <t>Raul Vasconcelos da Silva:
Food, beverage and packaging</t>
        </r>
      </text>
    </comment>
    <comment ref="Q11" authorId="1" shapeId="0" xr:uid="{E6611F74-211B-40AF-B5FF-A0FA4C629538}">
      <text>
        <r>
          <rPr>
            <b/>
            <sz val="9"/>
            <color indexed="81"/>
            <rFont val="Tahoma"/>
            <family val="2"/>
          </rPr>
          <t>Hector Yu:</t>
        </r>
        <r>
          <rPr>
            <sz val="9"/>
            <color indexed="81"/>
            <rFont val="Tahoma"/>
            <family val="2"/>
          </rPr>
          <t xml:space="preserve">
include Intellectual property and custom development income
</t>
        </r>
      </text>
    </comment>
    <comment ref="O21" authorId="1" shapeId="0" xr:uid="{ED573217-2E78-4571-8BC8-35AE8867B03B}">
      <text>
        <r>
          <rPr>
            <b/>
            <sz val="9"/>
            <color indexed="81"/>
            <rFont val="Tahoma"/>
            <family val="2"/>
          </rPr>
          <t>Hector Yu:</t>
        </r>
        <r>
          <rPr>
            <sz val="9"/>
            <color indexed="81"/>
            <rFont val="Tahoma"/>
            <family val="2"/>
          </rPr>
          <t xml:space="preserve">
Includes a one-time, non-cash pension settlement charge of $5.9 billion</t>
        </r>
      </text>
    </comment>
    <comment ref="B50" authorId="2"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2"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87" authorId="1" shapeId="0" xr:uid="{17C7A3F7-84CD-471C-BF8D-4ABB9233B033}">
      <text>
        <r>
          <rPr>
            <b/>
            <sz val="9"/>
            <color indexed="81"/>
            <rFont val="Tahoma"/>
            <family val="2"/>
          </rPr>
          <t>Hector Yu:</t>
        </r>
        <r>
          <rPr>
            <sz val="9"/>
            <color indexed="81"/>
            <rFont val="Tahoma"/>
            <family val="2"/>
          </rPr>
          <t xml:space="preserve">
including short-term borrowings</t>
        </r>
      </text>
    </comment>
    <comment ref="B88" authorId="1" shapeId="0" xr:uid="{C4A0AEDC-2875-446D-9181-3BF6DCEC48CA}">
      <text>
        <r>
          <rPr>
            <b/>
            <sz val="9"/>
            <color indexed="81"/>
            <rFont val="Tahoma"/>
            <family val="2"/>
          </rPr>
          <t>Hector Yu:</t>
        </r>
        <r>
          <rPr>
            <sz val="9"/>
            <color indexed="81"/>
            <rFont val="Tahoma"/>
            <family val="2"/>
          </rPr>
          <t xml:space="preserve">
including short-term debt repayment
</t>
        </r>
      </text>
    </comment>
    <comment ref="Q89" authorId="1" shapeId="0" xr:uid="{4A356BD2-1CCE-49DB-8BF0-0124E90FC751}">
      <text>
        <r>
          <rPr>
            <b/>
            <sz val="9"/>
            <color indexed="81"/>
            <rFont val="Tahoma"/>
            <family val="2"/>
          </rPr>
          <t>Hector Yu:</t>
        </r>
        <r>
          <rPr>
            <sz val="9"/>
            <color indexed="81"/>
            <rFont val="Tahoma"/>
            <family val="2"/>
          </rPr>
          <t xml:space="preserve">
Included in $145 M outflow of Financing-Other</t>
        </r>
      </text>
    </comment>
    <comment ref="M90" authorId="1" shapeId="0" xr:uid="{58C3AEB4-D853-41A7-8106-F887E851CE54}">
      <text>
        <r>
          <rPr>
            <b/>
            <sz val="9"/>
            <color indexed="81"/>
            <rFont val="Tahoma"/>
            <family val="2"/>
          </rPr>
          <t>Hector Yu:</t>
        </r>
        <r>
          <rPr>
            <sz val="9"/>
            <color indexed="81"/>
            <rFont val="Tahoma"/>
            <family val="2"/>
          </rPr>
          <t xml:space="preserve">
repurchasing shares only for tax witholding, starting from this year
</t>
        </r>
      </text>
    </comment>
    <comment ref="B91" authorId="1" shapeId="0" xr:uid="{1A7F2935-6EEA-4188-A09F-75B17D4DDA79}">
      <text>
        <r>
          <rPr>
            <b/>
            <sz val="9"/>
            <color indexed="81"/>
            <rFont val="Tahoma"/>
            <family val="2"/>
          </rPr>
          <t>Hector Yu:</t>
        </r>
        <r>
          <rPr>
            <sz val="9"/>
            <color indexed="81"/>
            <rFont val="Tahoma"/>
            <family val="2"/>
          </rPr>
          <t xml:space="preserve">
including share repurchase for tax witholding
</t>
        </r>
      </text>
    </comment>
    <comment ref="N92" authorId="1" shapeId="0" xr:uid="{FF515B1E-5248-4550-BA40-81DFFBAA701C}">
      <text>
        <r>
          <rPr>
            <b/>
            <sz val="9"/>
            <color indexed="81"/>
            <rFont val="Tahoma"/>
            <family val="2"/>
          </rPr>
          <t>Hector Yu:</t>
        </r>
        <r>
          <rPr>
            <sz val="9"/>
            <color indexed="81"/>
            <rFont val="Tahoma"/>
            <family val="2"/>
          </rPr>
          <t xml:space="preserve">
Including $879 million dividends from Kyndryl</t>
        </r>
      </text>
    </comment>
    <comment ref="O92" authorId="1" shapeId="0" xr:uid="{0F666111-1B5C-4F44-8629-4304A0218CDD}">
      <text>
        <r>
          <rPr>
            <b/>
            <sz val="9"/>
            <color indexed="81"/>
            <rFont val="Tahoma"/>
            <family val="2"/>
          </rPr>
          <t>Hector Yu:</t>
        </r>
        <r>
          <rPr>
            <sz val="9"/>
            <color indexed="81"/>
            <rFont val="Tahoma"/>
            <family val="2"/>
          </rPr>
          <t xml:space="preserve">
Including $219 million from issurance of shares</t>
        </r>
      </text>
    </comment>
    <comment ref="P92" authorId="1" shapeId="0" xr:uid="{413F6496-61F1-41D8-8333-FB276F44BB46}">
      <text>
        <r>
          <rPr>
            <b/>
            <sz val="9"/>
            <color indexed="81"/>
            <rFont val="Tahoma"/>
            <family val="2"/>
          </rPr>
          <t>Hector Yu:</t>
        </r>
        <r>
          <rPr>
            <sz val="9"/>
            <color indexed="81"/>
            <rFont val="Tahoma"/>
            <family val="2"/>
          </rPr>
          <t xml:space="preserve">
Including $414 million from issurance of shares</t>
        </r>
      </text>
    </comment>
    <comment ref="Q92" authorId="1" shapeId="0" xr:uid="{06A5BE90-4F53-456C-8646-BC6C21C54D40}">
      <text>
        <r>
          <rPr>
            <b/>
            <sz val="9"/>
            <color indexed="81"/>
            <rFont val="Tahoma"/>
            <family val="2"/>
          </rPr>
          <t>Hector Yu:</t>
        </r>
        <r>
          <rPr>
            <sz val="9"/>
            <color indexed="81"/>
            <rFont val="Tahoma"/>
            <family val="2"/>
          </rPr>
          <t xml:space="preserve">
Including $745 million from issurance of shares</t>
        </r>
      </text>
    </comment>
    <comment ref="L173" authorId="1" shapeId="0" xr:uid="{F645E9AA-2BD0-4D85-851F-79097D04F2DA}">
      <text>
        <r>
          <rPr>
            <b/>
            <sz val="9"/>
            <color indexed="81"/>
            <rFont val="Tahoma"/>
            <family val="2"/>
          </rPr>
          <t>Hector Yu:</t>
        </r>
        <r>
          <rPr>
            <sz val="9"/>
            <color indexed="81"/>
            <rFont val="Tahoma"/>
            <family val="2"/>
          </rPr>
          <t xml:space="preserve">
acuired Red Hat
</t>
        </r>
      </text>
    </comment>
    <comment ref="H179" authorId="1" shapeId="0" xr:uid="{7C2DF0E4-0D2F-49FD-BBCA-11BE1FC5EB40}">
      <text>
        <r>
          <rPr>
            <b/>
            <sz val="9"/>
            <color indexed="81"/>
            <rFont val="Tahoma"/>
            <family val="2"/>
          </rPr>
          <t>Hector Yu:</t>
        </r>
        <r>
          <rPr>
            <sz val="9"/>
            <color indexed="81"/>
            <rFont val="Tahoma"/>
            <family val="2"/>
          </rPr>
          <t xml:space="preserve">
In 2025 IBM will acquire Harshi Corp, an Oracle Consultancy Company and a provider for enterprise-level databases for building GenAI applications. The total amount is estimated to be $7 billion, contributed mostly by HashiCorp of $6.4 billion</t>
        </r>
      </text>
    </comment>
    <comment ref="B187" authorId="1" shapeId="0" xr:uid="{5A25113A-5493-4656-A6B1-AD902B57C810}">
      <text>
        <r>
          <rPr>
            <b/>
            <sz val="9"/>
            <color indexed="81"/>
            <rFont val="Tahoma"/>
            <family val="2"/>
          </rPr>
          <t>Hector Yu:</t>
        </r>
        <r>
          <rPr>
            <sz val="9"/>
            <color indexed="81"/>
            <rFont val="Tahoma"/>
            <family val="2"/>
          </rPr>
          <t xml:space="preserve">
The annual amortization amount suggested in 2024 AR + estimated based on estimated proportion of intangibles acquired each year
Assumption: New intangible assets will all be amortized in 7 years, which is how long the historical acquisitions tend to be amortized, according to past AR
</t>
        </r>
      </text>
    </comment>
    <comment ref="M187" authorId="1" shapeId="0" xr:uid="{875A06CC-B679-4189-8627-06A8704DA443}">
      <text>
        <r>
          <rPr>
            <b/>
            <sz val="9"/>
            <color indexed="81"/>
            <rFont val="Tahoma"/>
            <family val="2"/>
          </rPr>
          <t>Hector Yu:</t>
        </r>
        <r>
          <rPr>
            <sz val="9"/>
            <color indexed="81"/>
            <rFont val="Tahoma"/>
            <family val="2"/>
          </rPr>
          <t xml:space="preserve">
1631 for 2030+
1631/5=626.2
</t>
        </r>
      </text>
    </comment>
    <comment ref="O187" authorId="1" shapeId="0" xr:uid="{393A757C-D7A0-41EC-BD6A-87B11A8BF26D}">
      <text>
        <r>
          <rPr>
            <b/>
            <sz val="9"/>
            <color indexed="81"/>
            <rFont val="Tahoma"/>
            <family val="2"/>
          </rPr>
          <t>Hector Yu:</t>
        </r>
        <r>
          <rPr>
            <sz val="9"/>
            <color indexed="81"/>
            <rFont val="Tahoma"/>
            <family val="2"/>
          </rPr>
          <t xml:space="preserve">
acquisition in 2025 fully amortized</t>
        </r>
      </text>
    </comment>
    <comment ref="N193" authorId="1" shapeId="0" xr:uid="{815B7FD6-1519-4213-A946-54C7F84FC600}">
      <text>
        <r>
          <rPr>
            <b/>
            <sz val="9"/>
            <color indexed="81"/>
            <rFont val="Tahoma"/>
            <family val="2"/>
          </rPr>
          <t>Hector Yu:</t>
        </r>
        <r>
          <rPr>
            <sz val="9"/>
            <color indexed="81"/>
            <rFont val="Tahoma"/>
            <family val="2"/>
          </rPr>
          <t xml:space="preserve">
Turbonomic
</t>
        </r>
      </text>
    </comment>
    <comment ref="O193" authorId="1" shapeId="0" xr:uid="{4263793A-CC60-4768-8094-C0C10DBAF03A}">
      <text>
        <r>
          <rPr>
            <b/>
            <sz val="9"/>
            <color indexed="81"/>
            <rFont val="Tahoma"/>
            <family val="2"/>
          </rPr>
          <t>Hector Yu:</t>
        </r>
        <r>
          <rPr>
            <sz val="9"/>
            <color indexed="81"/>
            <rFont val="Tahoma"/>
            <family val="2"/>
          </rPr>
          <t xml:space="preserve">
Octo
</t>
        </r>
      </text>
    </comment>
    <comment ref="P193" authorId="1" shapeId="0" xr:uid="{800B5694-1C18-4412-B0D1-30D9DC2275CF}">
      <text>
        <r>
          <rPr>
            <b/>
            <sz val="9"/>
            <color indexed="81"/>
            <rFont val="Tahoma"/>
            <family val="2"/>
          </rPr>
          <t>Hector Yu:</t>
        </r>
        <r>
          <rPr>
            <sz val="9"/>
            <color indexed="81"/>
            <rFont val="Tahoma"/>
            <family val="2"/>
          </rPr>
          <t xml:space="preserve">
Apptio, Inc.
And Others
</t>
        </r>
      </text>
    </comment>
    <comment ref="Q193" authorId="1" shapeId="0" xr:uid="{A202BEAC-3E53-4513-99B2-02ED5433087D}">
      <text>
        <r>
          <rPr>
            <b/>
            <sz val="9"/>
            <color indexed="81"/>
            <rFont val="Tahoma"/>
            <family val="2"/>
          </rPr>
          <t>Hector Yu:</t>
        </r>
        <r>
          <rPr>
            <sz val="9"/>
            <color indexed="81"/>
            <rFont val="Tahoma"/>
            <family val="2"/>
          </rPr>
          <t xml:space="preserve">
StreamSets and
webMethods
and others</t>
        </r>
      </text>
    </comment>
    <comment ref="C200" authorId="1" shapeId="0" xr:uid="{9A3C00A0-FF18-4597-824A-E14E8A82BE01}">
      <text>
        <r>
          <rPr>
            <b/>
            <sz val="9"/>
            <color indexed="81"/>
            <rFont val="Tahoma"/>
            <family val="2"/>
          </rPr>
          <t>Hector Yu:</t>
        </r>
        <r>
          <rPr>
            <sz val="9"/>
            <color indexed="81"/>
            <rFont val="Tahoma"/>
            <family val="2"/>
          </rPr>
          <t xml:space="preserve">
the portion of acquisition that needs to be amortized</t>
        </r>
      </text>
    </comment>
    <comment ref="H200" authorId="1" shapeId="0" xr:uid="{61005F10-1979-4BC7-A32B-9CF24BAF2F94}">
      <text>
        <r>
          <rPr>
            <b/>
            <sz val="9"/>
            <color indexed="81"/>
            <rFont val="Tahoma"/>
            <family val="2"/>
          </rPr>
          <t>Hector Yu:</t>
        </r>
        <r>
          <rPr>
            <sz val="9"/>
            <color indexed="81"/>
            <rFont val="Tahoma"/>
            <family val="2"/>
          </rPr>
          <t xml:space="preserve">
average of previous 5 years</t>
        </r>
      </text>
    </comment>
    <comment ref="B203" authorId="1" shapeId="0" xr:uid="{CC53940C-23BE-49C9-B848-6D63A7F28652}">
      <text>
        <r>
          <rPr>
            <b/>
            <sz val="9"/>
            <color indexed="81"/>
            <rFont val="Tahoma"/>
            <family val="2"/>
          </rPr>
          <t>Hector Yu:</t>
        </r>
        <r>
          <rPr>
            <sz val="9"/>
            <color indexed="81"/>
            <rFont val="Tahoma"/>
            <family val="2"/>
          </rPr>
          <t xml:space="preserve">
same year, reflecting the changes due to the disposal of assets
</t>
        </r>
      </text>
    </comment>
    <comment ref="B206" authorId="1" shapeId="0" xr:uid="{60756133-EDDE-4ECA-9232-C7E59C474F45}">
      <text>
        <r>
          <rPr>
            <b/>
            <sz val="9"/>
            <color indexed="81"/>
            <rFont val="Tahoma"/>
            <family val="2"/>
          </rPr>
          <t>Hector Yu:</t>
        </r>
        <r>
          <rPr>
            <sz val="9"/>
            <color indexed="81"/>
            <rFont val="Tahoma"/>
            <family val="2"/>
          </rPr>
          <t xml:space="preserve">
historical average interest expenses over 2 years / Average total debt over 2 years 
It reflects the estimated future interest rate at each year</t>
        </r>
      </text>
    </comment>
    <comment ref="R217" authorId="1" shapeId="0" xr:uid="{B60D8AF6-27F0-4784-A844-31F9C89ED5A0}">
      <text>
        <r>
          <rPr>
            <b/>
            <sz val="9"/>
            <color indexed="81"/>
            <rFont val="Tahoma"/>
            <family val="2"/>
          </rPr>
          <t>Hector Yu:</t>
        </r>
        <r>
          <rPr>
            <sz val="9"/>
            <color indexed="81"/>
            <rFont val="Tahoma"/>
            <family val="2"/>
          </rPr>
          <t xml:space="preserve">
ratio: borrowings/cash equiv</t>
        </r>
      </text>
    </comment>
    <comment ref="B229" authorId="1" shapeId="0" xr:uid="{3772B8EC-E5A0-4C1B-AF29-DF73F160F9F2}">
      <text>
        <r>
          <rPr>
            <b/>
            <sz val="9"/>
            <color indexed="81"/>
            <rFont val="Tahoma"/>
            <family val="2"/>
          </rPr>
          <t>Hector Yu:</t>
        </r>
        <r>
          <rPr>
            <sz val="9"/>
            <color indexed="81"/>
            <rFont val="Tahoma"/>
            <family val="2"/>
          </rPr>
          <t xml:space="preserve">
total borrongs + total leases</t>
        </r>
      </text>
    </comment>
    <comment ref="M236" authorId="1" shapeId="0" xr:uid="{40867539-80E0-4B97-ABBB-585B19CD012A}">
      <text>
        <r>
          <rPr>
            <b/>
            <sz val="9"/>
            <color indexed="81"/>
            <rFont val="Tahoma"/>
            <family val="2"/>
          </rPr>
          <t>Hector Yu:</t>
        </r>
        <r>
          <rPr>
            <sz val="9"/>
            <color indexed="81"/>
            <rFont val="Tahoma"/>
            <family val="2"/>
          </rPr>
          <t xml:space="preserve">
primarily driven by the net tax benefit from the intra-entity IP sale.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Hector Yu</author>
  </authors>
  <commentList>
    <comment ref="G12" authorId="0" shapeId="0" xr:uid="{4DFB3DAD-C276-4C4E-89EC-F14159D37249}">
      <text>
        <r>
          <rPr>
            <b/>
            <sz val="9"/>
            <color indexed="81"/>
            <rFont val="Tahoma"/>
            <family val="2"/>
          </rPr>
          <t>Hector Yu:</t>
        </r>
        <r>
          <rPr>
            <sz val="9"/>
            <color indexed="81"/>
            <rFont val="Tahoma"/>
            <family val="2"/>
          </rPr>
          <t xml:space="preserve">
Blommberg 4/25/25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3">
    <bk>
      <extLst>
        <ext uri="{3e2802c4-a4d2-4d8b-9148-e3be6c30e623}">
          <xlrd:rvb i="6"/>
        </ext>
      </extLst>
    </bk>
    <bk>
      <extLst>
        <ext uri="{3e2802c4-a4d2-4d8b-9148-e3be6c30e623}">
          <xlrd:rvb i="7"/>
        </ext>
      </extLst>
    </bk>
    <bk>
      <extLst>
        <ext uri="{3e2802c4-a4d2-4d8b-9148-e3be6c30e623}">
          <xlrd:rvb i="114"/>
        </ext>
      </extLst>
    </bk>
    <bk>
      <extLst>
        <ext uri="{3e2802c4-a4d2-4d8b-9148-e3be6c30e623}">
          <xlrd:rvb i="115"/>
        </ext>
      </extLst>
    </bk>
    <bk>
      <extLst>
        <ext uri="{3e2802c4-a4d2-4d8b-9148-e3be6c30e623}">
          <xlrd:rvb i="191"/>
        </ext>
      </extLst>
    </bk>
    <bk>
      <extLst>
        <ext uri="{3e2802c4-a4d2-4d8b-9148-e3be6c30e623}">
          <xlrd:rvb i="192"/>
        </ext>
      </extLst>
    </bk>
    <bk>
      <extLst>
        <ext uri="{3e2802c4-a4d2-4d8b-9148-e3be6c30e623}">
          <xlrd:rvb i="269"/>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5"/>
        </ext>
      </extLst>
    </bk>
    <bk>
      <extLst>
        <ext uri="{3e2802c4-a4d2-4d8b-9148-e3be6c30e623}">
          <xlrd:rvb i="288"/>
        </ext>
      </extLst>
    </bk>
  </futureMetadata>
  <futureMetadata name="XLDAPR" count="1">
    <bk>
      <extLst>
        <ext uri="{bdbb8cdc-fa1e-496e-a857-3c3f30c029c3}">
          <xda:dynamicArrayProperties fDynamic="1" fCollapsed="0"/>
        </ext>
      </extLst>
    </bk>
  </futureMetadata>
  <cellMetadata count="1">
    <bk>
      <rc t="2" v="0"/>
    </bk>
  </cell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<sst xmlns="http://schemas.openxmlformats.org/spreadsheetml/2006/main" count="1164" uniqueCount="747">
  <si>
    <t xml:space="preserve">             |   EQUITY RESEARCH </t>
  </si>
  <si>
    <t>Lisbon Investment Society Equity Research</t>
  </si>
  <si>
    <t>April 25th, 2025</t>
  </si>
  <si>
    <t>Buy</t>
  </si>
  <si>
    <t>IBM is a global technology and consulting company known for its innovative enterprise solutions and legacy of technological leadership. The company provides a wide range of services, including hybrid cloud infrastructure, artificial intelligence (AI), data analytics, cybersecurity, and quantum computing.</t>
  </si>
  <si>
    <t>Investment Thesis</t>
  </si>
  <si>
    <t>IBM’s hybrid cloud and AI strategy, together with its software-driven portfolio, is expected to deliver mid-single-digit revenue growth, benefiting future free cash flow generation and providing upside potential. While the hybrid cloud market and the evolving AI industry bring competitive challenges, IBM as an enterprise solutions provider and its strong client base support its strategic positioning. As the stock is currently trading slightly below our base case scenario value of $268.83, the recommendation on IBM is BUY</t>
    <phoneticPr fontId="74" type="noConversion"/>
  </si>
  <si>
    <t>United States, Information Technology</t>
    <phoneticPr fontId="74" type="noConversion"/>
  </si>
  <si>
    <t>Operating Metrics</t>
  </si>
  <si>
    <t>Valuation Multiples</t>
  </si>
  <si>
    <t>Haitao Yu</t>
    <phoneticPr fontId="74" type="noConversion"/>
  </si>
  <si>
    <t>Hybrid Platform &amp; Solutions revenue</t>
  </si>
  <si>
    <t>EV / Sales</t>
  </si>
  <si>
    <t>haitaoyu@aln.iseg.ulisboa.pt</t>
  </si>
  <si>
    <t>Transaction revenue</t>
    <phoneticPr fontId="74" type="noConversion"/>
  </si>
  <si>
    <t>Price / Sales</t>
  </si>
  <si>
    <t>(+351) 938 305 543</t>
  </si>
  <si>
    <t>Consulting revenue</t>
    <phoneticPr fontId="74" type="noConversion"/>
  </si>
  <si>
    <t>EV / EBITDA</t>
  </si>
  <si>
    <t>João Baiôa</t>
  </si>
  <si>
    <t>Infrastucture revenue</t>
    <phoneticPr fontId="74" type="noConversion"/>
  </si>
  <si>
    <t>EV / EBIT</t>
  </si>
  <si>
    <t>l61773@aln.iseg.ulisboa.pt</t>
  </si>
  <si>
    <t>Price / Earnings</t>
  </si>
  <si>
    <t>(+351) 963 849 143</t>
  </si>
  <si>
    <t>Price / Book</t>
  </si>
  <si>
    <t>João Garcia</t>
  </si>
  <si>
    <t>joaogarcia@aln.iseg.ulisboa.pt</t>
  </si>
  <si>
    <t>Year</t>
  </si>
  <si>
    <t>Net Sales</t>
  </si>
  <si>
    <t>EBIT Margin</t>
  </si>
  <si>
    <t>FCFF</t>
  </si>
  <si>
    <t>Net Capex</t>
  </si>
  <si>
    <t>Profitability Ratios</t>
  </si>
  <si>
    <t>(+351) 969 563 512</t>
  </si>
  <si>
    <t>Return on Assets</t>
  </si>
  <si>
    <t>Lucas Alves</t>
  </si>
  <si>
    <t>Return on Equity</t>
  </si>
  <si>
    <t>lucas.alves@aln.iseg.ulisboa.pt</t>
  </si>
  <si>
    <t>Return on Total Capital</t>
  </si>
  <si>
    <t>(+351) 938 350 699</t>
  </si>
  <si>
    <t>EBITDA Margin</t>
  </si>
  <si>
    <t>Statistics</t>
  </si>
  <si>
    <t>Gross Profit Margin</t>
  </si>
  <si>
    <t>Beta</t>
  </si>
  <si>
    <t>SG&amp;A Margin</t>
  </si>
  <si>
    <t>% Float</t>
  </si>
  <si>
    <t>Net Income Margin</t>
    <phoneticPr fontId="74" type="noConversion"/>
  </si>
  <si>
    <t>% Held by Insiders</t>
  </si>
  <si>
    <t>% Held by Institutions</t>
  </si>
  <si>
    <t>SWOT Analysis</t>
  </si>
  <si>
    <t>Liquidity Ratios</t>
  </si>
  <si>
    <t>Short % of Float</t>
  </si>
  <si>
    <t>Strengths</t>
  </si>
  <si>
    <t>Weaknesses</t>
  </si>
  <si>
    <t>Cash Ratio</t>
  </si>
  <si>
    <t>Leading in hybrid cloud, with strong client base. 93% of all fortune 500 companies leverage IBM’s hybrid cloud products and solutions.</t>
  </si>
  <si>
    <t>Growth of Consulting and Infrastructure is relatively slow, at low to mid single digit only. Further growth is limited due to high client penetration. IBM isn't perceived as a very innovative compay.</t>
  </si>
  <si>
    <t>Quick Ratio</t>
  </si>
  <si>
    <t>Major Holders</t>
  </si>
  <si>
    <t>Current Ratio</t>
  </si>
  <si>
    <t>The Vanguard Group, Inc.</t>
  </si>
  <si>
    <t>BlackRock, Inc.</t>
  </si>
  <si>
    <t>Opportunities</t>
  </si>
  <si>
    <t>Threats</t>
  </si>
  <si>
    <t>Cash Flow Ratios</t>
  </si>
  <si>
    <t>State Street Global Advisors, Inc.</t>
  </si>
  <si>
    <t>A growing market. 73% of companies use hybrid cloud today. The Hybrid cloud market is expected to grow considerably in the next 10 years.</t>
  </si>
  <si>
    <t>The integration of GenAI into hybrid clould presents technological and operatinal challenges. IBM need to continuously innovate and enhance its offerings to address the complexity within the growing demand. Market is highly competitive with strong players like AWS and Azure.</t>
  </si>
  <si>
    <t>Cash Conversion Cycle</t>
  </si>
  <si>
    <t>Geode Capital Management, LLC</t>
  </si>
  <si>
    <t>Net Income / Op Cash Flow</t>
  </si>
  <si>
    <t>UBS Asset Management AG</t>
  </si>
  <si>
    <t>Chg in Cash / Op Cash Flow</t>
  </si>
  <si>
    <t>Capital Research and Management Company</t>
  </si>
  <si>
    <t>Nothern Trust Global Investments</t>
  </si>
  <si>
    <t>Revenue by Region</t>
  </si>
  <si>
    <t>Revenue by Segment</t>
  </si>
  <si>
    <t>Leverage Ratios</t>
  </si>
  <si>
    <t>Morgan Stanley</t>
  </si>
  <si>
    <t>Total Debt / Equity</t>
  </si>
  <si>
    <t>.</t>
  </si>
  <si>
    <t>J.P. Morgan Asset Management</t>
  </si>
  <si>
    <t>Total Debt / Capital</t>
  </si>
  <si>
    <t>Managed Account Advisors LLC</t>
  </si>
  <si>
    <t>Total Liabilities / Total Assets</t>
  </si>
  <si>
    <t>Total Debt / EBITDA</t>
  </si>
  <si>
    <t>Board of Directors</t>
  </si>
  <si>
    <t>Total Debt / (EBITDA - Capex)</t>
  </si>
  <si>
    <t>A. Krishna (Chairman, CEO 2020–pres.) [Non-Indep.]. M. Brown [Indep.], Audit. T. Buberl [Indep.], Exec. Comp. D. Farr [Indep.], Audit. A. Gorsky (Lead Dir. 2021–pres.) [Indep.], Exec. M. Howard [Indep.], Audit. A. Liveris [Indep.], Chair Gov. F. McNabb [Indep.], Chair Audit. M. Miebach [Indep.], Gov. M. Pollack [Indep.], Exec. Comp. P. Voser [Indep.], Audit. F. Waddell [Indep.], Chair Comp. A. Zollar [Indep.], Gov.</t>
  </si>
  <si>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</si>
  <si>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</si>
  <si>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</si>
  <si>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</si>
  <si>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</si>
  <si>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</si>
  <si>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</si>
  <si>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</si>
  <si>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</si>
  <si>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</si>
  <si>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</si>
  <si>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</si>
  <si>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</si>
  <si>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</si>
  <si>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</si>
  <si>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</si>
  <si>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</si>
  <si>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</si>
  <si>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</si>
  <si>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</si>
  <si>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</si>
  <si>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Extra Notes</t>
  </si>
  <si>
    <t>Segments</t>
  </si>
  <si>
    <t>Regions</t>
  </si>
  <si>
    <t>Weight</t>
  </si>
  <si>
    <t>United States of America</t>
  </si>
  <si>
    <t>Other countries</t>
  </si>
  <si>
    <t>Total</t>
  </si>
  <si>
    <t>Software</t>
  </si>
  <si>
    <t>Consulting</t>
  </si>
  <si>
    <t>Infraestructure</t>
  </si>
  <si>
    <t>Financing</t>
  </si>
  <si>
    <t>Categories</t>
  </si>
  <si>
    <t>Description</t>
  </si>
  <si>
    <t>Graphs</t>
  </si>
  <si>
    <t>IBM Software segment englobes, the hybrid cloud, data and AI, automation, transaction processind and security.</t>
  </si>
  <si>
    <t>Many of the clients need expertise, not only in the software in wich are interested but also digital transformation and cloud modernization.</t>
  </si>
  <si>
    <t>IBM infrustructure revenue is based on high tech hardware capable of run all the cutting edge software.</t>
  </si>
  <si>
    <t>Products</t>
  </si>
  <si>
    <t>growth</t>
    <phoneticPr fontId="74" type="noConversion"/>
  </si>
  <si>
    <t>Company's Strategy / Extra Notes</t>
  </si>
  <si>
    <t>Decline of revenue from Japan</t>
  </si>
  <si>
    <t>Eventhough the table does not show it, it must be noted that japanese clients, until 2021, represented at least 10% of the company revenue. Therefore being the second biggest country for IBM, just behind USA.</t>
  </si>
  <si>
    <t>Adapting AI to the clients needs</t>
  </si>
  <si>
    <t>IBM has, after consulting the feedback of their clients, developped AI tools "Apache 2.0" that was specially thougt to respond to their needs. By doing this they are offering cheaper specialized services that outperform the alternatives.</t>
  </si>
  <si>
    <t>R&amp;D investment</t>
  </si>
  <si>
    <t>The company has invested highly in AI and emerging techonolgies in order to stand out in the market as a leader in inovation.</t>
  </si>
  <si>
    <t>Industry Overview</t>
  </si>
  <si>
    <t>Sales Growth Forecast</t>
  </si>
  <si>
    <t>Sources</t>
  </si>
  <si>
    <t>AI services</t>
  </si>
  <si>
    <t>Statista</t>
  </si>
  <si>
    <t>Hybrid Cloud</t>
  </si>
  <si>
    <t>Allied Market Research</t>
  </si>
  <si>
    <t>Weighted Average</t>
  </si>
  <si>
    <t>Key Drivers</t>
  </si>
  <si>
    <t>Hybrid Cloud &amp; AI Leadership</t>
  </si>
  <si>
    <t>IBM has articulated a clear strategy to dominate the hybrid cloud and AI market by integrating its Red Hat OpenShift platform with AI-driven services. This approach caters to enterprises seeking seamless on-premises and multicloud solutions, positioning IBM as a one-stop provider for complex, regulated industries.</t>
  </si>
  <si>
    <t>Leadership in Quantum &amp; Emerging Technologies</t>
  </si>
  <si>
    <t>Quantum computing is the result of fisics applied to computing and allows machine learning not only cheapper but mainly faster. IBM Quantum Roadmap is the example of the company's lead in this area and plans to keep up with the high investment in R&amp;D in order to keep this positioning.</t>
  </si>
  <si>
    <t>Shift to Recurring Revenue &amp; Software Mix</t>
  </si>
  <si>
    <t>Switching form hardware to software provide greater revenue visibility and more stable free cash flow to fund innovation and strategic investments and increasing operating margin.</t>
  </si>
  <si>
    <t>Industry Trends</t>
  </si>
  <si>
    <t xml:space="preserve">Policies on AI development  </t>
  </si>
  <si>
    <t>All around the world the Artificial intelifgence has been considered guilty of spreading misinformation and being a threat to the world. This resulted in governments applying strict regulations to the develpment of this type of technology (eg. European AI Office)</t>
  </si>
  <si>
    <t>Trade war threat</t>
  </si>
  <si>
    <t>With the applience of tariffs by USA and China on eachother products, it is not certain the outcome but the technology sector has so far been hit harshly. Therefore, the fear of the worstning of the situation might limit the short term development of companies like IBM.</t>
  </si>
  <si>
    <t>Market Share</t>
  </si>
  <si>
    <t>Headquarters</t>
  </si>
  <si>
    <t>Revenues</t>
  </si>
  <si>
    <t>(in MM of USD)</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</si>
  <si>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</si>
  <si>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</si>
  <si>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</si>
  <si>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</si>
  <si>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</si>
  <si>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</si>
  <si>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</si>
  <si>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</si>
  <si>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</si>
  <si>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</si>
  <si>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</si>
  <si>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</si>
  <si>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</si>
  <si>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</si>
  <si>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</si>
  <si>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</si>
  <si>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</si>
  <si>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</si>
  <si>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</si>
  <si>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</si>
  <si>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</si>
  <si>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</si>
  <si>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</si>
  <si>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</si>
  <si>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</si>
  <si>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</si>
  <si>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</si>
  <si>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</si>
  <si>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</si>
  <si>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</si>
  <si>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</si>
  <si>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</si>
  <si>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</si>
  <si>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</si>
  <si>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</si>
  <si>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</si>
  <si>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</si>
  <si>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</si>
  <si>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</si>
  <si>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</si>
  <si>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</si>
  <si>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</si>
  <si>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</si>
  <si>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</si>
  <si>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</si>
  <si>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</si>
  <si>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</si>
  <si>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</si>
  <si>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</si>
  <si>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</si>
  <si>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</si>
  <si>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</si>
  <si>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</si>
  <si>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</si>
  <si>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</si>
  <si>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</si>
  <si>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</si>
  <si>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</si>
  <si>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</si>
  <si>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</si>
  <si>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</si>
  <si>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</si>
  <si>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Net Income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</si>
  <si>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</si>
  <si>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</si>
  <si>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</si>
  <si>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</si>
  <si>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</si>
  <si>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</si>
  <si>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</si>
  <si>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</si>
  <si>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</si>
  <si>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</si>
  <si>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</si>
  <si>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</si>
  <si>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</si>
  <si>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</si>
  <si>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</si>
  <si>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</si>
  <si>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</si>
  <si>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</si>
  <si>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</si>
  <si>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</si>
  <si>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</si>
  <si>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</si>
  <si>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</si>
  <si>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</si>
  <si>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</si>
  <si>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</si>
  <si>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</si>
  <si>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</si>
  <si>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</si>
  <si>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</si>
  <si>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</si>
  <si>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</si>
  <si>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</si>
  <si>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</si>
  <si>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</si>
  <si>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</si>
  <si>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</si>
  <si>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PEER 8</t>
  </si>
  <si>
    <t>PEER 9</t>
  </si>
  <si>
    <t>PEER 10</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</si>
  <si>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</si>
  <si>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</si>
  <si>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</si>
  <si>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</si>
  <si>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</si>
  <si>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</si>
  <si>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</si>
  <si>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</si>
  <si>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</si>
  <si>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</si>
  <si>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</si>
  <si>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</si>
  <si>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</si>
  <si>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</si>
  <si>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</si>
  <si>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</si>
  <si>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</si>
  <si>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</si>
  <si>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</si>
  <si>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</si>
  <si>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</si>
  <si>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</si>
  <si>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</si>
  <si>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</si>
  <si>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</si>
  <si>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</si>
  <si>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</si>
  <si>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</si>
  <si>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</si>
  <si>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</si>
  <si>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</si>
  <si>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Environmental, Social and Governance Analysis</t>
  </si>
  <si>
    <t xml:space="preserve">Author: </t>
  </si>
  <si>
    <t>Highlights</t>
  </si>
  <si>
    <t>Recent News</t>
  </si>
  <si>
    <t>AI Ethics</t>
  </si>
  <si>
    <t>An AI Ethics board that oversees AI workflows assuring transparency and responsability</t>
  </si>
  <si>
    <t>Overview</t>
  </si>
  <si>
    <t>Last Update</t>
  </si>
  <si>
    <t>New social paradigm</t>
  </si>
  <si>
    <t>IBM had a good track record in terms of DEI policies for the beginning of the decade, but a change in its approach might happen to avoid jumping to the eye of the new administration</t>
  </si>
  <si>
    <t>Latest year with data</t>
  </si>
  <si>
    <t>GICS Sector</t>
  </si>
  <si>
    <t>Information Technology</t>
  </si>
  <si>
    <t>Good behavior environamentaly</t>
  </si>
  <si>
    <t xml:space="preserve">Given that IBM is in an highly scrutinized sector in terms of energy consumption and water use, their figures are very satisfactory </t>
  </si>
  <si>
    <t>GICS Industry Group</t>
  </si>
  <si>
    <t>IT Services</t>
  </si>
  <si>
    <t>Final Review</t>
  </si>
  <si>
    <t>Very Good</t>
  </si>
  <si>
    <t>Very high transperency and disclosure</t>
  </si>
  <si>
    <t>IBM has an overall very high disclosure ratings and is very transparent in all of its processes, which is expected for a well established company</t>
  </si>
  <si>
    <t>ESG Scores</t>
  </si>
  <si>
    <t>GHG Scope 1 and 2 Emissions:</t>
  </si>
  <si>
    <t>Water, Waste, Energy Management:</t>
  </si>
  <si>
    <t>13,3</t>
  </si>
  <si>
    <t>B</t>
  </si>
  <si>
    <t>AA</t>
  </si>
  <si>
    <t>Industry ESG Overview:</t>
  </si>
  <si>
    <t>The IT Services industry plays a critical role in driving digital transformation across sectors, placing it at the top of energy consumption, data privacy, and workforce ethics. ESG efforts in this sector focus on reducing carbon footprints from data centers, ensuring ethical AI development, promoting inclusive hiring practices, and enhancing cybersecurity. Investments in renewable energy, green cloud infrastructure, and ethical technology governance are key to advancing sustainability and stakeholder trust in IT services.</t>
  </si>
  <si>
    <t>ENVIRONMENTAL</t>
  </si>
  <si>
    <t>Targets</t>
  </si>
  <si>
    <t>Improvements</t>
  </si>
  <si>
    <t>Comments</t>
  </si>
  <si>
    <t>GHG (or CO2) Scope 1 Emissions</t>
  </si>
  <si>
    <t> </t>
  </si>
  <si>
    <t>Reduce Scope 1 GHG emissions by 65% by 2025 (vs. 2010) and targets net-zero emissions by 2030.</t>
  </si>
  <si>
    <t>Achieved a 68.5% reduction by 2023,</t>
  </si>
  <si>
    <t>GHG Scope 1 emissions are near the median in its peers.</t>
  </si>
  <si>
    <t>Water Consumption</t>
  </si>
  <si>
    <t>Reduce year-over-year water withdrawals at its major sites located in regions experiencing high water stress</t>
  </si>
  <si>
    <t>-</t>
  </si>
  <si>
    <t xml:space="preserve">98,6 percentile in water management among its peers (in Bloomberg). </t>
  </si>
  <si>
    <t>Energy Consumption</t>
  </si>
  <si>
    <t>3,000 energy conservation projects by 2025 to avoid 275,000 MWh, procure 75% of its global electricity from renewable sources by 2025 (90% by 2030)</t>
  </si>
  <si>
    <t>Completed, since 2021, 2,130 energy conservation projects, avoiding an estimated 256,000 MWh of energy consumption.</t>
  </si>
  <si>
    <t>Energy consumption itself is big, but taking into account the company's size and its ranking among peers in terms of energy management (82,7 percentile), it sholdn't be ranked badly.</t>
  </si>
  <si>
    <t>Waste Management</t>
  </si>
  <si>
    <r>
      <t xml:space="preserve">Divert </t>
    </r>
    <r>
      <rPr>
        <sz val="11"/>
        <color rgb="FF000000"/>
        <rFont val="Arial"/>
        <family val="2"/>
      </rPr>
      <t>90% or more of its total nonhazardous waste from landfill and incineration (without energy recovery) annually</t>
    </r>
  </si>
  <si>
    <t>Has gotten a lot better over the years, opposing the trend of its peers that have generated more waste generally</t>
  </si>
  <si>
    <t>Other</t>
  </si>
  <si>
    <t>IBM expanded its Sustainability Accelerator, committing up to $75 million to support organizations aiding communities vulnerable to environmental threats.</t>
  </si>
  <si>
    <t>SOCIAL</t>
  </si>
  <si>
    <t>Important Sources:</t>
  </si>
  <si>
    <t>Annual Report</t>
  </si>
  <si>
    <t>https://www.ibm.com/investor/services/annual-report</t>
  </si>
  <si>
    <t>Employee Turnover %</t>
  </si>
  <si>
    <t>Reduce turnover through career development and improved employee experience</t>
  </si>
  <si>
    <t>Implementation of talent development programs and focus on employee well-being</t>
  </si>
  <si>
    <t>Turnover rates are slightly below industry averages, addressing key attrition drivers such as promotion opportunities and workload balance can further enhance retention.</t>
  </si>
  <si>
    <t>Sustainability Report</t>
  </si>
  <si>
    <t>https://www.ibm.com/impact/2023-ibm-impact-report</t>
  </si>
  <si>
    <t>Proxy Statement</t>
  </si>
  <si>
    <t>https://www.ibm.com/annualreport/assets/downloads/IBM_Proxy_2024.pdf</t>
  </si>
  <si>
    <t>Salaries &amp; Compensation</t>
  </si>
  <si>
    <t>Pay equity across gender/ethnicity; global compensation parity</t>
  </si>
  <si>
    <t>Very good employee sentiment regarding their compensation, per reviews on Comparably</t>
  </si>
  <si>
    <t xml:space="preserve">    Upready</t>
  </si>
  <si>
    <t>https://iamupready.com/turnover/company/ibm_com/</t>
  </si>
  <si>
    <r>
      <t xml:space="preserve">   </t>
    </r>
    <r>
      <rPr>
        <sz val="11"/>
        <rFont val="Arial"/>
        <family val="2"/>
      </rPr>
      <t>Comparably</t>
    </r>
  </si>
  <si>
    <t>https://www.comparably.com/companies/ibm</t>
  </si>
  <si>
    <t>Reputation</t>
  </si>
  <si>
    <t>AI Ethics Board, Global Integrity Survey, high ESG transparency ratings</t>
  </si>
  <si>
    <t>Has a generally good reputation but is often seen as a legacy tech company that isn't as flashy as other tech companies.</t>
  </si>
  <si>
    <t>Discrimination Events</t>
  </si>
  <si>
    <t>Unclear with shift in social politics from the US government</t>
  </si>
  <si>
    <t>Company claims equal pay to men and women and to all ethnicities</t>
  </si>
  <si>
    <t>Lawsuits were filled by people claiming to have been fired because of DEI policies but the company hasn't had charges pressed.</t>
  </si>
  <si>
    <t>Work Safety</t>
  </si>
  <si>
    <t>Very low incident rates, employees have access to well-being and prevention programs.</t>
  </si>
  <si>
    <t>Damage to consumer health</t>
  </si>
  <si>
    <t>No known consumer health risks, proactively manage product safety through internal policies and supplier partnerships.</t>
  </si>
  <si>
    <t>Pension Plan</t>
  </si>
  <si>
    <t>Provide stable retirement benefits while managing financial obligations</t>
  </si>
  <si>
    <t>Reintroduction of a defined benefit component; immediate vesting in new plan</t>
  </si>
  <si>
    <t>Pension plan changes reflect a balance between offering employee benefits and managing company liabilities. Employee feedback is mixed, indicating room for improvement in communication and plan generosity.</t>
  </si>
  <si>
    <t>Supply chain</t>
  </si>
  <si>
    <t>Social/environmental compliance, ESG disclosures, Scope 3 reduction</t>
  </si>
  <si>
    <t>Supply chain practices reflect a serious approach to sustainability and ethics, aligning with best practices and industry standards. The company's proactive measures in auditing, environmental management, ethical sourcing, and supplier diversity contribute to this.</t>
  </si>
  <si>
    <t>Community involvement</t>
  </si>
  <si>
    <t>30M learners, 4M volunteer hours, $75M Accelerator Impact</t>
  </si>
  <si>
    <t>+543K volunteer hours, $386.9M in donations, AI and sustainability training</t>
  </si>
  <si>
    <t>Excellent  social impact as seen before with Sustainability Accelerator.</t>
  </si>
  <si>
    <t>Public Sector</t>
  </si>
  <si>
    <t>Shape tech regulation, workforce policy, transparency</t>
  </si>
  <si>
    <t>Policy labs, ethical tech leadership</t>
  </si>
  <si>
    <t>Industry-leading practices in nonpartisan engagement, transparency, and global cooperation with public institutions. Its Policy Lab, ESG transparency, and ethical lobbying practices solidify its reputation as a responsible public sector partner.</t>
  </si>
  <si>
    <t>Litigation</t>
  </si>
  <si>
    <t>No material litigation; effective legal compliance program</t>
  </si>
  <si>
    <t>No major cases are open besides the ones discussed earlier that seem unlikely to dent IBM's reputation.</t>
  </si>
  <si>
    <t>GOVERNANCE</t>
  </si>
  <si>
    <t>Diversity (Gender, Age, Industry, Region)</t>
  </si>
  <si>
    <t>Only 3 of the 13 board members are women, lacks age diversity.</t>
  </si>
  <si>
    <t>% Independence</t>
  </si>
  <si>
    <t>All board membeers besides the Chairman (also CEO) are independent. Unfortunately, the duality harms the board's independence significantly.</t>
  </si>
  <si>
    <t>Average time as independent directors</t>
  </si>
  <si>
    <t>A lot of board members have been there for around a decade.</t>
  </si>
  <si>
    <t>Departures of C-level executives</t>
  </si>
  <si>
    <t>Only significant departures were due to retirements or reestructuring (Chief Marketing Officer position extinguished).</t>
  </si>
  <si>
    <t>CEO/Chairman duality</t>
  </si>
  <si>
    <t>Transparency when reporting</t>
  </si>
  <si>
    <t>Very high disclosure ratings across all categories</t>
  </si>
  <si>
    <t>Time taken to report</t>
  </si>
  <si>
    <t>Annual Report was published on the 10th of March.</t>
  </si>
  <si>
    <t>CEO or Chairman in other boards?</t>
  </si>
  <si>
    <t>CEO and Chairman Arvind Krishna also serves as a board member for Northrop Grumman, an aerospace and defense company</t>
  </si>
  <si>
    <t>Audit / Consulting</t>
  </si>
  <si>
    <t>All audit payments were reported transparently. The Audit Committee ensures independence through regular evaluations, partner rotations, and limits on services rendered by the auditor.</t>
  </si>
  <si>
    <t>ESG-compensation related</t>
  </si>
  <si>
    <t>ESG considerations are present but limited. A Diversity Modifier can adjust the Annual Incentive Plan (AIP) by ±5 points based on representation of women and underrepresented minorities in leadership, but no formal linkage to environmental or governance metrics exists.</t>
  </si>
  <si>
    <t>Management compensation schemes</t>
  </si>
  <si>
    <t>Compensation is strongly performance-linked (77% of CEO pay is performance-based), with incentives tied to revenue, cash flow, EPS, and ESG goals. IBM's Compensation Committee ensures transparency and alignment with shareholder value.</t>
  </si>
  <si>
    <t>ESG Inputs</t>
  </si>
  <si>
    <t>x</t>
  </si>
  <si>
    <t>Total GHG Scope 1 Emissions</t>
  </si>
  <si>
    <t>Total GHG Scope 2 (Location-Based) Emissions</t>
  </si>
  <si>
    <t>Total Energy Usage</t>
  </si>
  <si>
    <t>Total Water Consumption</t>
  </si>
  <si>
    <t>Total Waste Production</t>
  </si>
  <si>
    <t>Resumo de argumentos Corrino</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</si>
  <si>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</si>
  <si>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</si>
  <si>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</si>
  <si>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</si>
  <si>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</si>
  <si>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</si>
  <si>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</si>
  <si>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</si>
  <si>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</si>
  <si>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</si>
  <si>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</si>
  <si>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</si>
  <si>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</si>
  <si>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</si>
  <si>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</si>
  <si>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</si>
  <si>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12/31/2024</t>
    <phoneticPr fontId="74" type="noConversion"/>
  </si>
  <si>
    <t>WACC</t>
  </si>
  <si>
    <t>Most Recent Quarter End Date</t>
  </si>
  <si>
    <t>TGR</t>
  </si>
  <si>
    <t>Valuation Date</t>
  </si>
  <si>
    <t>4/20/2025</t>
    <phoneticPr fontId="74" type="noConversion"/>
  </si>
  <si>
    <t>Operating Assumptions</t>
  </si>
  <si>
    <t>Hybrid Platforms &amp; Solutions</t>
    <phoneticPr fontId="74" type="noConversion"/>
  </si>
  <si>
    <t xml:space="preserve"> weight</t>
    <phoneticPr fontId="74" type="noConversion"/>
  </si>
  <si>
    <t>Transaction Processing</t>
    <phoneticPr fontId="74" type="noConversion"/>
  </si>
  <si>
    <t>Revenue from Software</t>
    <phoneticPr fontId="74" type="noConversion"/>
  </si>
  <si>
    <t>Revenue from Consulting</t>
    <phoneticPr fontId="74" type="noConversion"/>
  </si>
  <si>
    <t>Revenue from Infrastructure</t>
    <phoneticPr fontId="74" type="noConversion"/>
  </si>
  <si>
    <t>Revenue from Financing and Other</t>
    <phoneticPr fontId="74" type="noConversion"/>
  </si>
  <si>
    <t>In millions of USD</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</si>
  <si>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</si>
  <si>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</si>
  <si>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</si>
  <si>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</si>
  <si>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</si>
  <si>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</si>
  <si>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</si>
  <si>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</si>
  <si>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</si>
  <si>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</si>
  <si>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</si>
  <si>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</si>
  <si>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</si>
  <si>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</si>
  <si>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</si>
  <si>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</si>
  <si>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</si>
  <si>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</si>
  <si>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non-GAAP</t>
    <phoneticPr fontId="74" type="noConversion"/>
  </si>
  <si>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</si>
  <si>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</si>
  <si>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</si>
  <si>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</si>
  <si>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</si>
  <si>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</si>
  <si>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</si>
  <si>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</si>
  <si>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t>
    <phoneticPr fontId="74" type="noConversion"/>
  </si>
  <si>
    <t>Right-of-Use Assets</t>
  </si>
  <si>
    <t>Accumulated Depreciation</t>
  </si>
  <si>
    <t>% of gross PPE</t>
    <phoneticPr fontId="74" type="noConversion"/>
  </si>
  <si>
    <t>Intangibles excl. Goodwill</t>
  </si>
  <si>
    <t>growing with % of Acquisitions (before amortization)</t>
    <phoneticPr fontId="74" type="noConversion"/>
  </si>
  <si>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</si>
  <si>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</si>
  <si>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</si>
  <si>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</si>
  <si>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</si>
  <si>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</si>
  <si>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</si>
  <si>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</si>
  <si>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</si>
  <si>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</si>
  <si>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</si>
  <si>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</si>
  <si>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</si>
  <si>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</si>
  <si>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</si>
  <si>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</si>
  <si>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</si>
  <si>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</si>
  <si>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 of borrowings + cash flow beg.</t>
    <phoneticPr fontId="74" type="noConversion"/>
  </si>
  <si>
    <t>Increase (Repurchase) of Shares</t>
  </si>
  <si>
    <t>% of SBC</t>
    <phoneticPr fontId="74" type="noConversion"/>
  </si>
  <si>
    <t>Lease Payments</t>
  </si>
  <si>
    <t>% of Right-of-Use Assets</t>
  </si>
  <si>
    <t>% of FCFE</t>
  </si>
  <si>
    <t>Other Financing Inflows (Outflows)</t>
  </si>
  <si>
    <t>FCFF Valuation</t>
  </si>
  <si>
    <t>Depreciation &amp; Amortization</t>
  </si>
  <si>
    <t>Changes in NWC</t>
  </si>
  <si>
    <t>FCFF 2025</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</si>
  <si>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</si>
  <si>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</si>
  <si>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</si>
  <si>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</si>
  <si>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</si>
  <si>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</si>
  <si>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</si>
  <si>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</si>
  <si>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</si>
  <si>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</si>
  <si>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</si>
  <si>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</si>
  <si>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</si>
  <si>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</si>
  <si>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</si>
  <si>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</si>
  <si>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</si>
  <si>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</si>
  <si>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</si>
  <si>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</si>
  <si>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</si>
  <si>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</si>
  <si>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</si>
  <si>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</si>
  <si>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</si>
  <si>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</si>
  <si>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</si>
  <si>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</si>
  <si>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</si>
  <si>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</si>
  <si>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Repurchage Payout</t>
    <phoneticPr fontId="74" type="noConversion"/>
  </si>
  <si>
    <t>Dividend Payout</t>
    <phoneticPr fontId="74" type="noConversion"/>
  </si>
  <si>
    <t>Sensitivity Analysis</t>
  </si>
  <si>
    <t>Stock Price (in USD)</t>
  </si>
  <si>
    <t>Notes</t>
  </si>
  <si>
    <t>DCF - Revenue</t>
    <phoneticPr fontId="74" type="noConversion"/>
  </si>
  <si>
    <t>2023'</t>
    <phoneticPr fontId="74" type="noConversion"/>
  </si>
  <si>
    <t>Management</t>
    <phoneticPr fontId="74" type="noConversion"/>
  </si>
  <si>
    <t xml:space="preserve">revenue growth of 5% </t>
    <phoneticPr fontId="74" type="noConversion"/>
  </si>
  <si>
    <t>TP(average)</t>
    <phoneticPr fontId="74" type="noConversion"/>
  </si>
  <si>
    <t>$13.5 billion free cash flow</t>
  </si>
  <si>
    <t>segment change</t>
    <phoneticPr fontId="74" type="noConversion"/>
  </si>
  <si>
    <t>2022'</t>
    <phoneticPr fontId="74" type="noConversion"/>
  </si>
  <si>
    <t>2021'</t>
    <phoneticPr fontId="74" type="noConversion"/>
  </si>
  <si>
    <t>2020'</t>
    <phoneticPr fontId="74" type="noConversion"/>
  </si>
  <si>
    <t>Method 1</t>
    <phoneticPr fontId="74" type="noConversion"/>
  </si>
  <si>
    <t>Segments</t>
    <phoneticPr fontId="74" type="noConversion"/>
  </si>
  <si>
    <t>revenue</t>
    <phoneticPr fontId="74" type="noConversion"/>
  </si>
  <si>
    <t>weight</t>
    <phoneticPr fontId="74" type="noConversion"/>
  </si>
  <si>
    <t>hybrid cloud</t>
    <phoneticPr fontId="74" type="noConversion"/>
  </si>
  <si>
    <t>Software</t>
    <phoneticPr fontId="74" type="noConversion"/>
  </si>
  <si>
    <t>Hybrid Platform &amp; Solutions</t>
    <phoneticPr fontId="74" type="noConversion"/>
  </si>
  <si>
    <t>=</t>
    <phoneticPr fontId="74" type="noConversion"/>
  </si>
  <si>
    <t>Transaction</t>
    <phoneticPr fontId="74" type="noConversion"/>
  </si>
  <si>
    <t>Total</t>
    <phoneticPr fontId="74" type="noConversion"/>
  </si>
  <si>
    <t>Method 2</t>
    <phoneticPr fontId="74" type="noConversion"/>
  </si>
  <si>
    <t>growth rate</t>
    <phoneticPr fontId="74" type="noConversion"/>
  </si>
  <si>
    <t>Market Research Future</t>
    <phoneticPr fontId="74" type="noConversion"/>
  </si>
  <si>
    <t>IBM's growth in hybrid clouds is much slower comparing to the market growth</t>
    <phoneticPr fontId="74" type="noConversion"/>
  </si>
  <si>
    <t>And market share diluted</t>
    <phoneticPr fontId="74" type="noConversion"/>
  </si>
  <si>
    <t>(from IBM Investor Day 2025) the market growth of hybrid cloud will be 15%</t>
    <phoneticPr fontId="74" type="noConversion"/>
  </si>
  <si>
    <t>Assumption: for IBM hybrid clould grow at 10% in the future 3 years</t>
    <phoneticPr fontId="74" type="noConversion"/>
  </si>
  <si>
    <t xml:space="preserve">(from Allied Market Research) CAGR = 17.4% from 2023 to 2033. </t>
    <phoneticPr fontId="74" type="noConversion"/>
  </si>
  <si>
    <t>Assumption: IBM hybrid cloud growth increases to 12% after 2027</t>
    <phoneticPr fontId="74" type="noConversion"/>
  </si>
  <si>
    <t>https://www.crnasia.com/news/2024/hybrid-cloud/gartner-90-of-organizations-will-adopt-hybrid-cloud-through?utm_source=chatgpt.com</t>
  </si>
  <si>
    <t>According to Gartner, 90% of organizaitons will adopt hybrid cloud by 2027</t>
    <phoneticPr fontId="74" type="noConversion"/>
  </si>
  <si>
    <t>GenAI brings challenges and demands --&gt; room for more growth</t>
    <phoneticPr fontId="74" type="noConversion"/>
  </si>
  <si>
    <t>Assumption: Grow fast until 2030-2033, then mature</t>
    <phoneticPr fontId="74" type="noConversion"/>
  </si>
  <si>
    <t>Weight</t>
    <phoneticPr fontId="74" type="noConversion"/>
  </si>
  <si>
    <t>Assumption: -0.3% for 3 years, then maintain the ratio</t>
    <phoneticPr fontId="74" type="noConversion"/>
  </si>
  <si>
    <t>Consulting</t>
    <phoneticPr fontId="74" type="noConversion"/>
  </si>
  <si>
    <t>Infrastructure</t>
    <phoneticPr fontId="74" type="noConversion"/>
  </si>
  <si>
    <t>Revenue</t>
    <phoneticPr fontId="74" type="noConversion"/>
  </si>
  <si>
    <t>Financing</t>
    <phoneticPr fontId="74" type="noConversion"/>
  </si>
  <si>
    <t>Other</t>
    <phoneticPr fontId="74" type="noConversion"/>
  </si>
  <si>
    <t>Total revenue</t>
    <phoneticPr fontId="74" type="noConversion"/>
  </si>
  <si>
    <t>Inputs</t>
  </si>
  <si>
    <t>in millions of USD</t>
  </si>
  <si>
    <t>EPS diluted</t>
  </si>
  <si>
    <t>Basic Weighted Average Shares</t>
    <phoneticPr fontId="74" type="noConversion"/>
  </si>
  <si>
    <t xml:space="preserve"> </t>
  </si>
  <si>
    <t>Diluted Weighted Average Shares</t>
  </si>
  <si>
    <t>Short-Term Investments</t>
  </si>
  <si>
    <t>Gross PP&amp;E (Property, Plant and Equipment)</t>
  </si>
  <si>
    <t>Intangibles</t>
  </si>
  <si>
    <t>Goodwill</t>
  </si>
  <si>
    <t>Intangibles excl. Goodwill</t>
    <phoneticPr fontId="74" type="noConversion"/>
  </si>
  <si>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</si>
  <si>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</si>
  <si>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</si>
  <si>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</si>
  <si>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</si>
  <si>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</si>
  <si>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</si>
  <si>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</si>
  <si>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</si>
  <si>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</si>
  <si>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</si>
  <si>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</si>
  <si>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</si>
  <si>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</si>
  <si>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Account Payables</t>
    <phoneticPr fontId="74" type="noConversion"/>
  </si>
  <si>
    <t>Increase (Decrease) in Retirement related</t>
    <phoneticPr fontId="74" type="noConversion"/>
  </si>
  <si>
    <t>Increase (Decrease) in Other</t>
  </si>
  <si>
    <t>Acquisition of Fixed &amp; Intangibles</t>
    <phoneticPr fontId="74" type="noConversion"/>
  </si>
  <si>
    <t>Net Cash from Investments &amp; Acquisitions</t>
    <phoneticPr fontId="74" type="noConversion"/>
  </si>
  <si>
    <t>Acquisitions</t>
  </si>
  <si>
    <t>Divestitures</t>
  </si>
  <si>
    <t>Increase in LT Investment</t>
  </si>
  <si>
    <t>Decrease in LT Investment</t>
  </si>
  <si>
    <t>Effect of Foreign Exchange</t>
  </si>
  <si>
    <t>in millions of USD</t>
    <phoneticPr fontId="74" type="noConversion"/>
  </si>
  <si>
    <t>Capital Structure</t>
  </si>
  <si>
    <t>Market Capitalization</t>
  </si>
  <si>
    <t>Preferred Stock</t>
  </si>
  <si>
    <t>Cash</t>
  </si>
  <si>
    <t>v</t>
  </si>
  <si>
    <t>Fixed</t>
  </si>
  <si>
    <t>Floating</t>
  </si>
  <si>
    <t>Additional</t>
  </si>
  <si>
    <t>Net Debt</t>
  </si>
  <si>
    <t>Effective Tax Rate</t>
  </si>
  <si>
    <t>Process new debt</t>
    <phoneticPr fontId="74" type="noConversion"/>
  </si>
  <si>
    <t>Debt payment</t>
    <phoneticPr fontId="74" type="noConversion"/>
  </si>
  <si>
    <t>short-term borrowings/repayment</t>
    <phoneticPr fontId="74" type="noConversion"/>
  </si>
  <si>
    <t>Common stock repurchases</t>
  </si>
  <si>
    <t>Common stock repurchases for tax withholdings</t>
  </si>
  <si>
    <t>Account Receivables</t>
    <phoneticPr fontId="74" type="noConversion"/>
  </si>
  <si>
    <t>Notes and accounts receivable—trade</t>
  </si>
  <si>
    <t>Other accounts receivable</t>
  </si>
  <si>
    <t>Non-Current Assets (other)</t>
    <phoneticPr fontId="74" type="noConversion"/>
  </si>
  <si>
    <t>Long-term financing receivables</t>
  </si>
  <si>
    <t>Prepaid pension assets</t>
  </si>
  <si>
    <t>Deferred costs</t>
  </si>
  <si>
    <t>Deferred taxes</t>
  </si>
  <si>
    <t>Investments and sundry assets</t>
  </si>
  <si>
    <t>Non-Current Assets</t>
    <phoneticPr fontId="74" type="noConversion"/>
  </si>
  <si>
    <t>Non-Current Liabilities (other)</t>
    <phoneticPr fontId="74" type="noConversion"/>
  </si>
  <si>
    <t>Retirement and nonpension postretirement benefi t obligations</t>
  </si>
  <si>
    <t>Deferred income</t>
  </si>
  <si>
    <t>Other liabilities</t>
  </si>
  <si>
    <t>Non-Current Liabilities</t>
    <phoneticPr fontId="74" type="noConversion"/>
  </si>
  <si>
    <t>Intellectual property and custom development income</t>
  </si>
  <si>
    <t>Total other (income) and expense</t>
  </si>
  <si>
    <t>2034+</t>
    <phoneticPr fontId="74" type="noConversion"/>
  </si>
  <si>
    <t>U.S. dollar debt</t>
  </si>
  <si>
    <t>Euro debt</t>
  </si>
  <si>
    <t>Pound sterling</t>
  </si>
  <si>
    <t>Japanese yen</t>
  </si>
  <si>
    <t>Debt Schedule - Cash</t>
    <phoneticPr fontId="74" type="noConversion"/>
  </si>
  <si>
    <t>Fixed-rate debt</t>
  </si>
  <si>
    <t>Floating-rate debt</t>
  </si>
  <si>
    <t>Pre-swap contractual obligations of long-term debt outstanding</t>
    <phoneticPr fontId="74" type="noConversion"/>
  </si>
  <si>
    <t>Intangible Assets exclude Goodwill</t>
    <phoneticPr fontId="74" type="noConversion"/>
  </si>
  <si>
    <t>changes in intangible assets</t>
    <phoneticPr fontId="74" type="noConversion"/>
  </si>
  <si>
    <t>changes in intangibles + amortization</t>
    <phoneticPr fontId="74" type="noConversion"/>
  </si>
  <si>
    <t>Acquisitions</t>
    <phoneticPr fontId="74" type="noConversion"/>
  </si>
  <si>
    <t>Acquisitions / Revenue</t>
    <phoneticPr fontId="74" type="noConversion"/>
  </si>
  <si>
    <t>Acquisitions (future)</t>
    <phoneticPr fontId="74" type="noConversion"/>
  </si>
  <si>
    <t>Acquisitions / Revenue (future)</t>
    <phoneticPr fontId="74" type="noConversion"/>
  </si>
  <si>
    <t>changes in intangible assets + amortization / Acquisition</t>
    <phoneticPr fontId="74" type="noConversion"/>
  </si>
  <si>
    <t>changes in intangible assets + amortization / R&amp;D</t>
    <phoneticPr fontId="74" type="noConversion"/>
  </si>
  <si>
    <t>changes in intangible assets + amortization (future)</t>
    <phoneticPr fontId="74" type="noConversion"/>
  </si>
  <si>
    <t>changes in intangible assets + amortization / Acquisition (future)</t>
    <phoneticPr fontId="74" type="noConversion"/>
  </si>
  <si>
    <t>Amortization</t>
    <phoneticPr fontId="74" type="noConversion"/>
  </si>
  <si>
    <t>changes in intangible assets (future)</t>
    <phoneticPr fontId="74" type="noConversion"/>
  </si>
  <si>
    <t>Acquisition of businesses, net of cash acquired / Revenue</t>
    <phoneticPr fontId="74" type="noConversion"/>
  </si>
  <si>
    <t>Amortizations</t>
    <phoneticPr fontId="74" type="noConversion"/>
  </si>
  <si>
    <t>Total purchase price</t>
  </si>
  <si>
    <t>(from Acquisition)</t>
    <phoneticPr fontId="74" type="noConversion"/>
  </si>
  <si>
    <t>Client relationships</t>
  </si>
  <si>
    <t>Completed technology</t>
  </si>
  <si>
    <t>Trademarks</t>
  </si>
  <si>
    <t>Intangibles exclude goodwill / purchase price</t>
    <phoneticPr fontId="74" type="noConversion"/>
  </si>
  <si>
    <t>Intangibles exclude goodwill / purchase price (future)</t>
    <phoneticPr fontId="74" type="noConversion"/>
  </si>
  <si>
    <t>Amortization of new intangibles of the year</t>
    <phoneticPr fontId="74" type="noConversion"/>
  </si>
  <si>
    <t>Accumulated Depreciation / Gross PPE</t>
    <phoneticPr fontId="74" type="noConversion"/>
  </si>
  <si>
    <t>Future Estimated effective interest rate</t>
    <phoneticPr fontId="74" type="noConversion"/>
  </si>
  <si>
    <t>Estimated effective interest rate</t>
    <phoneticPr fontId="74" type="noConversion"/>
  </si>
  <si>
    <t>borrowings</t>
    <phoneticPr fontId="74" type="noConversion"/>
  </si>
  <si>
    <t>CapEx + Net Cash from Inv. &amp; Acq + ΔNWC+debt repayment</t>
    <phoneticPr fontId="74" type="noConversion"/>
  </si>
  <si>
    <t>borrowings/(…)</t>
    <phoneticPr fontId="74" type="noConversion"/>
  </si>
  <si>
    <t>capex+acquisitions</t>
    <phoneticPr fontId="74" type="noConversion"/>
  </si>
  <si>
    <t>borrowings + cash &amp; cash equiv</t>
    <phoneticPr fontId="74" type="noConversion"/>
  </si>
  <si>
    <t>borrowings + cash equiv. / CapEx + Net Cash from Inv. &amp; Acq + ΔNWC+debt repayment</t>
    <phoneticPr fontId="74" type="noConversion"/>
  </si>
  <si>
    <t>Dividends / borrowings + cash equiv</t>
    <phoneticPr fontId="74" type="noConversion"/>
  </si>
  <si>
    <t>borrowings / borrowings + cash &amp; cash equiv</t>
    <phoneticPr fontId="74" type="noConversion"/>
  </si>
  <si>
    <t>borrowings + cash equiv.</t>
    <phoneticPr fontId="74" type="noConversion"/>
  </si>
  <si>
    <t>Dividends / borrowings + cash equiv.</t>
    <phoneticPr fontId="74" type="noConversion"/>
  </si>
  <si>
    <t>cash &amp; cash equiv</t>
    <phoneticPr fontId="74" type="noConversion"/>
  </si>
  <si>
    <t>Total debt</t>
    <phoneticPr fontId="74" type="noConversion"/>
  </si>
  <si>
    <t>FX / Revenue</t>
    <phoneticPr fontId="74" type="noConversion"/>
  </si>
  <si>
    <t>The operating (non-GAAP) effective tax rate</t>
  </si>
  <si>
    <t>total debt / total debt+market cap</t>
    <phoneticPr fontId="74" type="noConversion"/>
  </si>
  <si>
    <t>Acquisition of Fixed &amp; Intangibles / Revenue</t>
    <phoneticPr fontId="74" type="noConversion"/>
  </si>
  <si>
    <t>WACC = % of Equity x Cost of Equity + % de Debt x Cost of Debt x (1 - Tax Rate)</t>
  </si>
  <si>
    <t>Cost of Equity = Risk-Free Rate + Beta x Equity Risk Premium</t>
  </si>
  <si>
    <t>Region</t>
  </si>
  <si>
    <t>ERP</t>
  </si>
  <si>
    <t>Beta (Unlevered)</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</si>
  <si>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</si>
  <si>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</si>
  <si>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Cost of Equity</t>
  </si>
  <si>
    <t>Risk-Free Rate</t>
  </si>
  <si>
    <t>Unlevered Beta</t>
  </si>
  <si>
    <t>Equity Risk Premium</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</si>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</sst>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0.00\ &quot;€&quot;_-;\-* #,##0.00\ &quot;€&quot;_-;_-* &quot;-&quot;??\ &quot;€&quot;_-;_-@_-"/>
    <numFmt numFmtId="165" formatCode="\$#,##0.00_);[Red]\(\$#,##0.00\)"/>
    <numFmt numFmtId="166" formatCode="0&quot;A&quot;"/>
    <numFmt numFmtId="167" formatCode="0&quot;E&quot;"/>
    <numFmt numFmtId="168" formatCode="_-* #,##0.00\ _€_-;\-* #,##0.00\ _€_-;_-* &quot;-&quot;??\ _€_-;_-@_-"/>
    <numFmt numFmtId="169" formatCode="0.00\x"/>
    <numFmt numFmtId="170" formatCode="0.00&quot;M&quot;"/>
    <numFmt numFmtId="171" formatCode="0.0%"/>
    <numFmt numFmtId="172" formatCode="&quot;$&quot;#,##0"/>
    <numFmt numFmtId="173" formatCode="_(* #,##0_);_(* \(#,##0\);_(* &quot;-&quot;??_);_(@_)"/>
    <numFmt numFmtId="174" formatCode="0.0"/>
    <numFmt numFmtId="175" formatCode="&quot;$&quot;#,##0.00"/>
    <numFmt numFmtId="176" formatCode="_([$$-409]* #,##0_);_([$$-409]* \(#,##0\);_([$$-409]* &quot;-&quot;??_);_(@_)"/>
    <numFmt numFmtId="177" formatCode="_([$$-409]* #,##0.00_);_([$$-409]* \(#,##0.00\);_([$$-409]* &quot;-&quot;??_);_(@_)"/>
    <numFmt numFmtId="178" formatCode="#,##0.0"/>
    <numFmt numFmtId="179" formatCode="[$-409]d\-mmm;@"/>
    <numFmt numFmtId="180" formatCode="0.000%"/>
    <numFmt numFmtId="181" formatCode="0&quot;+&quot;"/>
    <numFmt numFmtId="182" formatCode="#,##0.000;\-#,##0.000"/>
    <numFmt numFmtId="183" formatCode="0.000"/>
    <numFmt numFmtId="184" formatCode="[$$-409]#,##0.00;\-[$$-409]#,##0.00"/>
    <numFmt numFmtId="185" formatCode="\$#,##0.00;\-\$#,##0.00"/>
  </numFmts>
  <fonts count="83">
    <font>
      <sz val="11"/>
      <color theme="1"/>
      <name val="Arial"/>
      <family val="2"/>
    </font>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sz val="9"/>
      <name val="宋体"/>
      <family val="3"/>
      <charset val="134"/>
    </font>
    <font>
      <sz val="11"/>
      <color rgb="FFFF0000"/>
      <name val="Arial"/>
      <family val="2"/>
    </font>
    <font>
      <i/>
      <sz val="12"/>
      <color rgb="FF000000"/>
      <name val="Arial"/>
      <family val="2"/>
    </font>
    <font>
      <sz val="10"/>
      <color rgb="FF000000"/>
      <name val="Arial"/>
      <family val="2"/>
    </font>
    <font>
      <sz val="11"/>
      <color rgb="FF242424"/>
      <name val="Aptos Narrow"/>
      <family val="2"/>
    </font>
    <font>
      <sz val="9"/>
      <color rgb="FF0070C0"/>
      <name val="Arial"/>
      <family val="2"/>
    </font>
    <font>
      <u/>
      <sz val="9"/>
      <color theme="10"/>
      <name val="Arial"/>
      <family val="2"/>
    </font>
    <font>
      <i/>
      <sz val="10"/>
      <color theme="0" tint="-0.499984740745262"/>
      <name val="Arial"/>
      <family val="2"/>
    </font>
    <font>
      <sz val="10"/>
      <color theme="0" tint="-0.499984740745262"/>
      <name val="Arial"/>
      <family val="2"/>
    </font>
  </fonts>
  <fills count="21">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00"/>
        <bgColor indexed="64"/>
      </patternFill>
    </fill>
    <fill>
      <patternFill patternType="solid">
        <fgColor theme="7"/>
        <bgColor indexed="64"/>
      </patternFill>
    </fill>
    <fill>
      <patternFill patternType="solid">
        <fgColor rgb="FF92D050"/>
        <bgColor rgb="FF000000"/>
      </patternFill>
    </fill>
    <fill>
      <patternFill patternType="solid">
        <fgColor rgb="FF00B050"/>
        <bgColor rgb="FF000000"/>
      </patternFill>
    </fill>
    <fill>
      <patternFill patternType="solid">
        <fgColor rgb="FFFFFF00"/>
        <bgColor rgb="FF000000"/>
      </patternFill>
    </fill>
    <fill>
      <patternFill patternType="solid">
        <fgColor rgb="FFFF0000"/>
        <bgColor rgb="FF000000"/>
      </patternFill>
    </fill>
    <fill>
      <patternFill patternType="solid">
        <fgColor rgb="FF00B0F0"/>
        <bgColor indexed="64"/>
      </patternFill>
    </fill>
    <fill>
      <patternFill patternType="solid">
        <fgColor theme="1" tint="0.499984740745262"/>
        <bgColor indexed="64"/>
      </patternFill>
    </fill>
  </fills>
  <borders count="126">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s>
  <cellStyleXfs count="14">
    <xf numFmtId="0" fontId="0" fillId="0" borderId="0"/>
    <xf numFmtId="168" fontId="3" fillId="0" borderId="0" applyFont="0" applyFill="0" applyBorder="0" applyAlignment="0" applyProtection="0"/>
    <xf numFmtId="9" fontId="3" fillId="0" borderId="0" applyFont="0" applyFill="0" applyBorder="0" applyAlignment="0" applyProtection="0"/>
    <xf numFmtId="0" fontId="10" fillId="0" borderId="0" applyNumberFormat="0" applyFill="0" applyBorder="0" applyAlignment="0" applyProtection="0"/>
    <xf numFmtId="9" fontId="15" fillId="0" borderId="0" applyFont="0" applyFill="0" applyBorder="0" applyAlignment="0" applyProtection="0"/>
    <xf numFmtId="0" fontId="15" fillId="0" borderId="0"/>
    <xf numFmtId="0" fontId="15" fillId="0" borderId="0"/>
    <xf numFmtId="9" fontId="2" fillId="0" borderId="0" applyFont="0" applyFill="0" applyBorder="0" applyAlignment="0" applyProtection="0"/>
    <xf numFmtId="0" fontId="2" fillId="0" borderId="0"/>
    <xf numFmtId="164" fontId="3" fillId="0" borderId="0" applyFont="0" applyFill="0" applyBorder="0" applyAlignment="0" applyProtection="0"/>
    <xf numFmtId="0" fontId="2" fillId="0" borderId="0"/>
    <xf numFmtId="0" fontId="46" fillId="10" borderId="43">
      <alignment horizontal="right"/>
    </xf>
    <xf numFmtId="0" fontId="73" fillId="10" borderId="0"/>
    <xf numFmtId="0" fontId="1" fillId="0" borderId="0"/>
  </cellStyleXfs>
  <cellXfs count="1009">
    <xf numFmtId="0" fontId="0" fillId="0" borderId="0" xfId="0"/>
    <xf numFmtId="0" fontId="4" fillId="0" borderId="0" xfId="0" applyFont="1"/>
    <xf numFmtId="0" fontId="5" fillId="2" borderId="0" xfId="0" applyFont="1" applyFill="1"/>
    <xf numFmtId="0" fontId="6" fillId="2" borderId="0" xfId="0" applyFont="1" applyFill="1"/>
    <xf numFmtId="166" fontId="5" fillId="2" borderId="0" xfId="0" applyNumberFormat="1" applyFont="1" applyFill="1"/>
    <xf numFmtId="167" fontId="5" fillId="2" borderId="0" xfId="0" applyNumberFormat="1" applyFont="1" applyFill="1"/>
    <xf numFmtId="0" fontId="0" fillId="0" borderId="0" xfId="0" applyAlignment="1">
      <alignment horizontal="center"/>
    </xf>
    <xf numFmtId="0" fontId="7" fillId="2" borderId="0" xfId="0" applyFont="1" applyFill="1" applyAlignment="1">
      <alignment horizontal="left"/>
    </xf>
    <xf numFmtId="0" fontId="0" fillId="0" borderId="0" xfId="0" applyAlignment="1">
      <alignment horizontal="left"/>
    </xf>
    <xf numFmtId="166" fontId="5" fillId="2" borderId="1" xfId="0" applyNumberFormat="1" applyFont="1" applyFill="1" applyBorder="1"/>
    <xf numFmtId="0" fontId="11" fillId="0" borderId="0" xfId="0" applyFont="1"/>
    <xf numFmtId="0" fontId="12" fillId="0" borderId="0" xfId="0" applyFont="1"/>
    <xf numFmtId="3" fontId="12" fillId="0" borderId="0" xfId="1" applyNumberFormat="1" applyFont="1" applyBorder="1" applyAlignment="1">
      <alignment horizontal="right"/>
    </xf>
    <xf numFmtId="3" fontId="12" fillId="0" borderId="2" xfId="1" applyNumberFormat="1" applyFont="1" applyBorder="1" applyAlignment="1">
      <alignment horizontal="right"/>
    </xf>
    <xf numFmtId="3" fontId="12" fillId="3" borderId="0" xfId="1" applyNumberFormat="1" applyFont="1" applyFill="1" applyAlignment="1">
      <alignment horizontal="right"/>
    </xf>
    <xf numFmtId="0" fontId="13" fillId="0" borderId="0" xfId="0" applyFont="1" applyAlignment="1">
      <alignment horizontal="left"/>
    </xf>
    <xf numFmtId="169" fontId="0" fillId="0" borderId="0" xfId="1" applyNumberFormat="1" applyFont="1" applyAlignment="1">
      <alignment horizontal="right"/>
    </xf>
    <xf numFmtId="10" fontId="0" fillId="0" borderId="0" xfId="2" applyNumberFormat="1" applyFont="1"/>
    <xf numFmtId="3" fontId="14" fillId="0" borderId="0" xfId="0" applyNumberFormat="1" applyFont="1" applyAlignment="1">
      <alignment horizontal="left"/>
    </xf>
    <xf numFmtId="171" fontId="13" fillId="0" borderId="0" xfId="4" applyNumberFormat="1" applyFont="1" applyAlignment="1">
      <alignment horizontal="left"/>
    </xf>
    <xf numFmtId="0" fontId="4" fillId="0" borderId="0" xfId="0" applyFont="1" applyAlignment="1">
      <alignment horizontal="left" indent="1"/>
    </xf>
    <xf numFmtId="0" fontId="4"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5" fillId="2" borderId="4" xfId="0" applyFont="1" applyFill="1" applyBorder="1" applyAlignment="1">
      <alignment horizontal="center"/>
    </xf>
    <xf numFmtId="166" fontId="17" fillId="0" borderId="4" xfId="0" applyNumberFormat="1" applyFont="1" applyBorder="1" applyAlignment="1">
      <alignment horizontal="center"/>
    </xf>
    <xf numFmtId="167" fontId="17" fillId="3" borderId="4" xfId="0" applyNumberFormat="1" applyFont="1" applyFill="1" applyBorder="1" applyAlignment="1">
      <alignment horizontal="center"/>
    </xf>
    <xf numFmtId="171" fontId="13" fillId="4" borderId="0" xfId="4" applyNumberFormat="1" applyFont="1" applyFill="1" applyAlignment="1">
      <alignment horizontal="left"/>
    </xf>
    <xf numFmtId="10" fontId="0" fillId="0" borderId="0" xfId="0" applyNumberFormat="1"/>
    <xf numFmtId="0" fontId="14" fillId="0" borderId="0" xfId="0" applyFont="1" applyAlignment="1">
      <alignment horizontal="left"/>
    </xf>
    <xf numFmtId="43"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0" fontId="19" fillId="0" borderId="9" xfId="0" applyFont="1" applyBorder="1"/>
    <xf numFmtId="0" fontId="14" fillId="0" borderId="9" xfId="0" applyFont="1" applyBorder="1"/>
    <xf numFmtId="0" fontId="14" fillId="0" borderId="9" xfId="0" applyFont="1" applyBorder="1" applyAlignment="1">
      <alignment horizontal="center"/>
    </xf>
    <xf numFmtId="0" fontId="20" fillId="0" borderId="0" xfId="5" applyFont="1" applyAlignment="1">
      <alignment vertical="center"/>
    </xf>
    <xf numFmtId="0" fontId="15" fillId="0" borderId="0" xfId="5" applyAlignment="1">
      <alignment vertical="center"/>
    </xf>
    <xf numFmtId="0" fontId="0" fillId="0" borderId="11" xfId="0" applyBorder="1" applyAlignment="1">
      <alignment horizontal="left" indent="1"/>
    </xf>
    <xf numFmtId="14" fontId="4" fillId="0" borderId="11" xfId="0" applyNumberFormat="1" applyFont="1" applyBorder="1"/>
    <xf numFmtId="0" fontId="4" fillId="0" borderId="11" xfId="0" applyFont="1" applyBorder="1" applyAlignment="1">
      <alignment horizontal="left" indent="1"/>
    </xf>
    <xf numFmtId="14" fontId="0" fillId="0" borderId="11" xfId="0" applyNumberFormat="1" applyBorder="1"/>
    <xf numFmtId="0" fontId="7" fillId="2" borderId="0" xfId="0" applyFont="1" applyFill="1"/>
    <xf numFmtId="0" fontId="14" fillId="9" borderId="0" xfId="0" applyFont="1" applyFill="1"/>
    <xf numFmtId="0" fontId="15" fillId="0" borderId="3" xfId="5" applyBorder="1" applyAlignment="1">
      <alignment vertical="center"/>
    </xf>
    <xf numFmtId="0" fontId="20" fillId="0" borderId="3" xfId="5" applyFont="1" applyBorder="1" applyAlignment="1">
      <alignment vertical="center"/>
    </xf>
    <xf numFmtId="0" fontId="21" fillId="2" borderId="0" xfId="0" applyFont="1" applyFill="1"/>
    <xf numFmtId="1" fontId="7" fillId="2" borderId="0" xfId="0" applyNumberFormat="1" applyFont="1" applyFill="1"/>
    <xf numFmtId="1" fontId="7" fillId="2" borderId="0" xfId="0" applyNumberFormat="1" applyFont="1" applyFill="1" applyAlignment="1">
      <alignment horizontal="center"/>
    </xf>
    <xf numFmtId="1" fontId="22" fillId="2" borderId="0" xfId="0" applyNumberFormat="1" applyFont="1" applyFill="1"/>
    <xf numFmtId="0" fontId="14" fillId="9" borderId="0" xfId="0" applyFont="1" applyFill="1" applyAlignment="1">
      <alignment horizontal="center"/>
    </xf>
    <xf numFmtId="0" fontId="10" fillId="0" borderId="0" xfId="3"/>
    <xf numFmtId="10" fontId="0" fillId="3" borderId="0" xfId="2" applyNumberFormat="1" applyFont="1" applyFill="1"/>
    <xf numFmtId="10" fontId="0" fillId="0" borderId="0" xfId="2" applyNumberFormat="1" applyFont="1" applyAlignment="1">
      <alignment horizontal="center"/>
    </xf>
    <xf numFmtId="171" fontId="0" fillId="0" borderId="0" xfId="2" applyNumberFormat="1" applyFont="1"/>
    <xf numFmtId="10" fontId="4" fillId="0" borderId="0" xfId="2" applyNumberFormat="1" applyFont="1" applyFill="1"/>
    <xf numFmtId="10" fontId="4" fillId="0" borderId="0" xfId="2" applyNumberFormat="1" applyFont="1" applyAlignment="1">
      <alignment horizontal="center"/>
    </xf>
    <xf numFmtId="171" fontId="4" fillId="0" borderId="0" xfId="2" applyNumberFormat="1" applyFont="1"/>
    <xf numFmtId="0" fontId="23" fillId="5" borderId="0" xfId="0" applyFont="1" applyFill="1"/>
    <xf numFmtId="0" fontId="14" fillId="5" borderId="0" xfId="0" applyFont="1" applyFill="1"/>
    <xf numFmtId="0" fontId="14" fillId="2" borderId="0" xfId="0" applyFont="1" applyFill="1"/>
    <xf numFmtId="0" fontId="0" fillId="0" borderId="0" xfId="0" applyAlignment="1">
      <alignment horizontal="left" vertical="center"/>
    </xf>
    <xf numFmtId="37" fontId="0" fillId="0" borderId="0" xfId="0" applyNumberFormat="1"/>
    <xf numFmtId="1" fontId="24" fillId="2" borderId="0" xfId="0" applyNumberFormat="1" applyFont="1" applyFill="1" applyAlignment="1">
      <alignment horizontal="center"/>
    </xf>
    <xf numFmtId="1" fontId="25" fillId="2" borderId="0" xfId="0" applyNumberFormat="1" applyFont="1" applyFill="1"/>
    <xf numFmtId="0" fontId="4" fillId="0" borderId="8" xfId="0" applyFont="1" applyBorder="1"/>
    <xf numFmtId="0" fontId="4" fillId="4" borderId="8" xfId="0" applyFont="1" applyFill="1" applyBorder="1"/>
    <xf numFmtId="3" fontId="4" fillId="3" borderId="8" xfId="0" applyNumberFormat="1" applyFont="1" applyFill="1" applyBorder="1" applyAlignment="1">
      <alignment horizontal="center"/>
    </xf>
    <xf numFmtId="9" fontId="4"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4" fillId="0" borderId="0" xfId="0" applyNumberFormat="1" applyFont="1" applyAlignment="1">
      <alignment horizontal="center"/>
    </xf>
    <xf numFmtId="0" fontId="26" fillId="0" borderId="0" xfId="0" applyFont="1"/>
    <xf numFmtId="0" fontId="4" fillId="0" borderId="0" xfId="0" applyFont="1" applyAlignment="1">
      <alignment horizontal="center"/>
    </xf>
    <xf numFmtId="0" fontId="0" fillId="3" borderId="0" xfId="0" applyFill="1" applyAlignment="1">
      <alignment horizontal="center"/>
    </xf>
    <xf numFmtId="37" fontId="0" fillId="3" borderId="0" xfId="0" applyNumberFormat="1" applyFill="1" applyAlignment="1">
      <alignment horizontal="center" vertical="center"/>
    </xf>
    <xf numFmtId="37" fontId="29" fillId="3" borderId="0" xfId="0" applyNumberFormat="1" applyFont="1" applyFill="1" applyAlignment="1">
      <alignment horizontal="center" vertical="center"/>
    </xf>
    <xf numFmtId="9" fontId="0" fillId="0" borderId="0" xfId="2" applyFont="1"/>
    <xf numFmtId="37" fontId="0" fillId="3" borderId="0" xfId="0" applyNumberFormat="1" applyFill="1"/>
    <xf numFmtId="171" fontId="4" fillId="0" borderId="0" xfId="2" applyNumberFormat="1" applyFont="1" applyFill="1"/>
    <xf numFmtId="37" fontId="4" fillId="0" borderId="0" xfId="0" applyNumberFormat="1" applyFont="1"/>
    <xf numFmtId="9" fontId="0" fillId="0" borderId="0" xfId="0" applyNumberFormat="1"/>
    <xf numFmtId="9" fontId="0" fillId="0" borderId="0" xfId="2" applyFont="1" applyFill="1"/>
    <xf numFmtId="0" fontId="23" fillId="5" borderId="0" xfId="0" applyFont="1" applyFill="1" applyAlignment="1">
      <alignment horizontal="center"/>
    </xf>
    <xf numFmtId="0" fontId="14" fillId="5" borderId="0" xfId="0" applyFont="1" applyFill="1" applyAlignment="1">
      <alignment horizontal="center"/>
    </xf>
    <xf numFmtId="0" fontId="14" fillId="2" borderId="0" xfId="0" applyFont="1" applyFill="1" applyAlignment="1">
      <alignment horizontal="center"/>
    </xf>
    <xf numFmtId="10" fontId="0" fillId="0" borderId="0" xfId="2" applyNumberFormat="1" applyFont="1" applyFill="1" applyAlignment="1">
      <alignment horizontal="center"/>
    </xf>
    <xf numFmtId="1" fontId="7" fillId="2" borderId="4" xfId="0" applyNumberFormat="1" applyFont="1" applyFill="1" applyBorder="1"/>
    <xf numFmtId="167" fontId="7" fillId="2" borderId="0" xfId="0" applyNumberFormat="1" applyFont="1" applyFill="1"/>
    <xf numFmtId="0" fontId="14" fillId="9" borderId="4" xfId="0" applyFont="1" applyFill="1" applyBorder="1"/>
    <xf numFmtId="37" fontId="0" fillId="3" borderId="17" xfId="0" applyNumberFormat="1" applyFill="1" applyBorder="1"/>
    <xf numFmtId="1" fontId="0" fillId="0" borderId="0" xfId="2" applyNumberFormat="1" applyFont="1" applyAlignment="1">
      <alignment horizontal="right"/>
    </xf>
    <xf numFmtId="171" fontId="0" fillId="0" borderId="0" xfId="2" applyNumberFormat="1" applyFont="1" applyFill="1"/>
    <xf numFmtId="171" fontId="0" fillId="3" borderId="0" xfId="2" applyNumberFormat="1" applyFont="1" applyFill="1"/>
    <xf numFmtId="37" fontId="0" fillId="3" borderId="4" xfId="0" applyNumberFormat="1" applyFill="1" applyBorder="1"/>
    <xf numFmtId="37" fontId="4" fillId="0" borderId="4" xfId="0" applyNumberFormat="1" applyFont="1" applyBorder="1"/>
    <xf numFmtId="0" fontId="0" fillId="2" borderId="0" xfId="0" applyFill="1"/>
    <xf numFmtId="0" fontId="6" fillId="2" borderId="0" xfId="0" applyFont="1" applyFill="1" applyAlignment="1">
      <alignment horizontal="right"/>
    </xf>
    <xf numFmtId="0" fontId="5" fillId="9" borderId="0" xfId="0" applyFont="1" applyFill="1"/>
    <xf numFmtId="0" fontId="6" fillId="9" borderId="0" xfId="0" applyFont="1" applyFill="1"/>
    <xf numFmtId="0" fontId="0" fillId="9" borderId="0" xfId="0" applyFill="1"/>
    <xf numFmtId="0" fontId="6" fillId="9" borderId="0" xfId="0" applyFont="1" applyFill="1" applyAlignment="1">
      <alignment horizontal="right"/>
    </xf>
    <xf numFmtId="0" fontId="6" fillId="5" borderId="0" xfId="0" applyFont="1" applyFill="1" applyAlignment="1">
      <alignment horizontal="right"/>
    </xf>
    <xf numFmtId="0" fontId="8" fillId="0" borderId="0" xfId="0" applyFont="1"/>
    <xf numFmtId="176" fontId="0" fillId="0" borderId="0" xfId="9" applyNumberFormat="1" applyFont="1" applyFill="1" applyAlignment="1">
      <alignment horizontal="right"/>
    </xf>
    <xf numFmtId="10" fontId="29" fillId="4" borderId="0" xfId="0" applyNumberFormat="1" applyFont="1" applyFill="1"/>
    <xf numFmtId="10" fontId="33"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4" fillId="0" borderId="0" xfId="2" applyNumberFormat="1" applyFont="1"/>
    <xf numFmtId="0" fontId="14" fillId="0" borderId="0" xfId="0" applyFont="1"/>
    <xf numFmtId="0" fontId="21" fillId="0" borderId="0" xfId="0" applyFont="1"/>
    <xf numFmtId="0" fontId="7" fillId="9" borderId="0" xfId="0" applyFont="1" applyFill="1"/>
    <xf numFmtId="0" fontId="21" fillId="9" borderId="0" xfId="0" applyFont="1" applyFill="1"/>
    <xf numFmtId="0" fontId="35" fillId="0" borderId="0" xfId="0" applyFont="1"/>
    <xf numFmtId="0" fontId="13" fillId="0" borderId="0" xfId="0" applyFont="1"/>
    <xf numFmtId="0" fontId="14" fillId="0" borderId="0" xfId="0" applyFont="1" applyAlignment="1">
      <alignment wrapText="1"/>
    </xf>
    <xf numFmtId="10" fontId="14" fillId="0" borderId="0" xfId="0" applyNumberFormat="1" applyFont="1"/>
    <xf numFmtId="9" fontId="13" fillId="0" borderId="0" xfId="2" applyFont="1"/>
    <xf numFmtId="10" fontId="13" fillId="0" borderId="0" xfId="2" applyNumberFormat="1" applyFont="1" applyFill="1" applyBorder="1" applyAlignment="1">
      <alignment horizontal="center"/>
    </xf>
    <xf numFmtId="43" fontId="13" fillId="0" borderId="0" xfId="0" applyNumberFormat="1" applyFont="1"/>
    <xf numFmtId="166" fontId="7" fillId="2" borderId="0" xfId="0" applyNumberFormat="1" applyFont="1" applyFill="1"/>
    <xf numFmtId="166" fontId="7" fillId="2" borderId="26" xfId="0" applyNumberFormat="1" applyFont="1" applyFill="1" applyBorder="1"/>
    <xf numFmtId="0" fontId="14" fillId="5" borderId="26" xfId="0" applyFont="1" applyFill="1" applyBorder="1"/>
    <xf numFmtId="3" fontId="13" fillId="0" borderId="0" xfId="0" applyNumberFormat="1" applyFont="1"/>
    <xf numFmtId="171" fontId="36" fillId="5" borderId="0" xfId="0" applyNumberFormat="1" applyFont="1" applyFill="1"/>
    <xf numFmtId="3" fontId="14" fillId="0" borderId="0" xfId="0" applyNumberFormat="1" applyFont="1"/>
    <xf numFmtId="0" fontId="41" fillId="0" borderId="0" xfId="0" applyFont="1"/>
    <xf numFmtId="0" fontId="14" fillId="0" borderId="26" xfId="0" applyFont="1" applyBorder="1"/>
    <xf numFmtId="167" fontId="7" fillId="0" borderId="0" xfId="0" applyNumberFormat="1" applyFont="1"/>
    <xf numFmtId="0" fontId="42" fillId="0" borderId="0" xfId="0" applyFont="1"/>
    <xf numFmtId="173" fontId="38" fillId="0" borderId="0" xfId="1" applyNumberFormat="1" applyFont="1" applyFill="1"/>
    <xf numFmtId="173" fontId="13" fillId="0" borderId="0" xfId="1" applyNumberFormat="1" applyFont="1" applyFill="1"/>
    <xf numFmtId="0" fontId="43" fillId="0" borderId="0" xfId="0" applyFont="1"/>
    <xf numFmtId="171" fontId="13" fillId="0" borderId="0" xfId="2" applyNumberFormat="1" applyFont="1" applyFill="1"/>
    <xf numFmtId="171" fontId="14" fillId="0" borderId="0" xfId="2" applyNumberFormat="1" applyFont="1" applyFill="1"/>
    <xf numFmtId="171" fontId="14" fillId="0" borderId="17" xfId="2" applyNumberFormat="1" applyFont="1" applyFill="1" applyBorder="1"/>
    <xf numFmtId="171" fontId="13" fillId="0" borderId="0" xfId="2" applyNumberFormat="1" applyFont="1" applyFill="1" applyBorder="1"/>
    <xf numFmtId="173" fontId="13" fillId="0" borderId="0" xfId="1" applyNumberFormat="1" applyFont="1" applyFill="1" applyBorder="1"/>
    <xf numFmtId="0" fontId="14" fillId="0" borderId="17" xfId="0" applyFont="1" applyBorder="1"/>
    <xf numFmtId="9" fontId="13" fillId="0" borderId="0" xfId="2" applyFont="1" applyFill="1" applyBorder="1"/>
    <xf numFmtId="171" fontId="36" fillId="0" borderId="0" xfId="2" applyNumberFormat="1" applyFont="1" applyFill="1"/>
    <xf numFmtId="37" fontId="13" fillId="0" borderId="0" xfId="1" applyNumberFormat="1" applyFont="1" applyFill="1" applyAlignment="1">
      <alignment wrapText="1"/>
    </xf>
    <xf numFmtId="171" fontId="14" fillId="0" borderId="26" xfId="2" applyNumberFormat="1" applyFont="1" applyFill="1" applyBorder="1"/>
    <xf numFmtId="166" fontId="7" fillId="2" borderId="17" xfId="0" applyNumberFormat="1" applyFont="1" applyFill="1" applyBorder="1"/>
    <xf numFmtId="0" fontId="43" fillId="9" borderId="0" xfId="0" applyFont="1" applyFill="1"/>
    <xf numFmtId="0" fontId="14" fillId="9" borderId="17" xfId="0" applyFont="1" applyFill="1" applyBorder="1"/>
    <xf numFmtId="37" fontId="38" fillId="0" borderId="0" xfId="1" applyNumberFormat="1" applyFont="1" applyFill="1" applyAlignment="1">
      <alignment wrapText="1"/>
    </xf>
    <xf numFmtId="37" fontId="38" fillId="0" borderId="17" xfId="1" applyNumberFormat="1" applyFont="1" applyFill="1" applyBorder="1"/>
    <xf numFmtId="173" fontId="14" fillId="0" borderId="0" xfId="0" applyNumberFormat="1" applyFont="1"/>
    <xf numFmtId="3" fontId="36" fillId="0" borderId="0" xfId="0" applyNumberFormat="1" applyFont="1"/>
    <xf numFmtId="3" fontId="36" fillId="0" borderId="17" xfId="0" applyNumberFormat="1" applyFont="1" applyBorder="1"/>
    <xf numFmtId="171" fontId="13" fillId="0" borderId="0" xfId="0" applyNumberFormat="1" applyFont="1"/>
    <xf numFmtId="0" fontId="38" fillId="9" borderId="0" xfId="0" applyFont="1" applyFill="1"/>
    <xf numFmtId="0" fontId="38" fillId="9" borderId="17" xfId="0" applyFont="1" applyFill="1" applyBorder="1"/>
    <xf numFmtId="173" fontId="37" fillId="0" borderId="0" xfId="1" applyNumberFormat="1" applyFont="1" applyFill="1"/>
    <xf numFmtId="173" fontId="13" fillId="0" borderId="17" xfId="1" applyNumberFormat="1" applyFont="1" applyFill="1" applyBorder="1"/>
    <xf numFmtId="173" fontId="14" fillId="0" borderId="0" xfId="1" applyNumberFormat="1" applyFont="1" applyFill="1"/>
    <xf numFmtId="171" fontId="14" fillId="0" borderId="0" xfId="2" applyNumberFormat="1" applyFont="1"/>
    <xf numFmtId="0" fontId="14" fillId="0" borderId="30" xfId="0" applyFont="1" applyBorder="1"/>
    <xf numFmtId="0" fontId="14" fillId="0" borderId="31" xfId="0" applyFont="1" applyBorder="1"/>
    <xf numFmtId="173" fontId="14" fillId="0" borderId="31" xfId="0" applyNumberFormat="1" applyFont="1" applyBorder="1"/>
    <xf numFmtId="173" fontId="14" fillId="0" borderId="0" xfId="1" applyNumberFormat="1" applyFont="1" applyFill="1" applyBorder="1"/>
    <xf numFmtId="173" fontId="13" fillId="0" borderId="26" xfId="1" applyNumberFormat="1" applyFont="1" applyFill="1" applyBorder="1"/>
    <xf numFmtId="0" fontId="14" fillId="0" borderId="33" xfId="0" applyFont="1" applyBorder="1"/>
    <xf numFmtId="0" fontId="14" fillId="0" borderId="34" xfId="0" applyFont="1" applyBorder="1"/>
    <xf numFmtId="173" fontId="14" fillId="0" borderId="34" xfId="0" applyNumberFormat="1" applyFont="1" applyBorder="1"/>
    <xf numFmtId="173" fontId="14" fillId="0" borderId="35" xfId="0" applyNumberFormat="1" applyFont="1" applyBorder="1"/>
    <xf numFmtId="0" fontId="14" fillId="0" borderId="36" xfId="0" applyFont="1" applyBorder="1"/>
    <xf numFmtId="0" fontId="14" fillId="0" borderId="7" xfId="0" applyFont="1" applyBorder="1"/>
    <xf numFmtId="0" fontId="14" fillId="0" borderId="37" xfId="0" applyFont="1" applyBorder="1"/>
    <xf numFmtId="173" fontId="14" fillId="0" borderId="7" xfId="0" applyNumberFormat="1" applyFont="1" applyBorder="1"/>
    <xf numFmtId="173" fontId="14" fillId="0" borderId="38" xfId="0" applyNumberFormat="1" applyFont="1" applyBorder="1"/>
    <xf numFmtId="2" fontId="14" fillId="0" borderId="0" xfId="0" applyNumberFormat="1" applyFont="1"/>
    <xf numFmtId="14" fontId="21" fillId="0" borderId="0" xfId="0" applyNumberFormat="1" applyFont="1"/>
    <xf numFmtId="0" fontId="21" fillId="0" borderId="26" xfId="0" applyFont="1" applyBorder="1"/>
    <xf numFmtId="173" fontId="37" fillId="0" borderId="0" xfId="1" applyNumberFormat="1" applyFont="1"/>
    <xf numFmtId="14" fontId="14" fillId="0" borderId="0" xfId="0" applyNumberFormat="1" applyFont="1"/>
    <xf numFmtId="173" fontId="14" fillId="0" borderId="0" xfId="1" applyNumberFormat="1" applyFont="1"/>
    <xf numFmtId="0" fontId="37" fillId="0" borderId="0" xfId="0" applyFont="1"/>
    <xf numFmtId="0" fontId="33" fillId="0" borderId="0" xfId="0" applyFont="1"/>
    <xf numFmtId="173" fontId="14" fillId="4" borderId="0" xfId="0" applyNumberFormat="1" applyFont="1" applyFill="1"/>
    <xf numFmtId="43" fontId="14" fillId="0" borderId="0" xfId="0" applyNumberFormat="1" applyFont="1"/>
    <xf numFmtId="177" fontId="14" fillId="0" borderId="0" xfId="0" applyNumberFormat="1" applyFont="1"/>
    <xf numFmtId="0" fontId="42" fillId="0" borderId="26" xfId="0" applyFont="1" applyBorder="1"/>
    <xf numFmtId="10" fontId="42" fillId="0" borderId="0" xfId="0" applyNumberFormat="1" applyFont="1"/>
    <xf numFmtId="0" fontId="14" fillId="9" borderId="26" xfId="0" applyFont="1" applyFill="1" applyBorder="1"/>
    <xf numFmtId="173" fontId="14" fillId="0" borderId="26" xfId="0" applyNumberFormat="1" applyFont="1" applyBorder="1"/>
    <xf numFmtId="37" fontId="14" fillId="0" borderId="0" xfId="0" applyNumberFormat="1" applyFont="1"/>
    <xf numFmtId="37" fontId="14" fillId="0" borderId="26" xfId="0" applyNumberFormat="1" applyFont="1" applyBorder="1"/>
    <xf numFmtId="9" fontId="14" fillId="0" borderId="0" xfId="0" applyNumberFormat="1" applyFont="1"/>
    <xf numFmtId="9" fontId="14" fillId="0" borderId="26" xfId="0" applyNumberFormat="1" applyFont="1" applyBorder="1"/>
    <xf numFmtId="9" fontId="36" fillId="0" borderId="0" xfId="0" applyNumberFormat="1" applyFont="1"/>
    <xf numFmtId="173" fontId="14" fillId="0" borderId="0" xfId="0" applyNumberFormat="1" applyFont="1" applyAlignment="1">
      <alignment horizontal="left"/>
    </xf>
    <xf numFmtId="0" fontId="14" fillId="0" borderId="39" xfId="0" applyFont="1" applyBorder="1"/>
    <xf numFmtId="0" fontId="14" fillId="0" borderId="40" xfId="0" applyFont="1" applyBorder="1"/>
    <xf numFmtId="0" fontId="14" fillId="0" borderId="41" xfId="0" applyFont="1" applyBorder="1"/>
    <xf numFmtId="173" fontId="14" fillId="0" borderId="40" xfId="0" applyNumberFormat="1" applyFont="1" applyBorder="1"/>
    <xf numFmtId="9" fontId="42" fillId="0" borderId="0" xfId="0" applyNumberFormat="1" applyFont="1"/>
    <xf numFmtId="0" fontId="14" fillId="0" borderId="9" xfId="0" applyFont="1" applyBorder="1" applyAlignment="1">
      <alignment horizontal="right"/>
    </xf>
    <xf numFmtId="0" fontId="24" fillId="2" borderId="0" xfId="0" applyFont="1" applyFill="1"/>
    <xf numFmtId="1" fontId="7" fillId="2" borderId="0" xfId="0" applyNumberFormat="1" applyFont="1" applyFill="1" applyAlignment="1">
      <alignment horizontal="right"/>
    </xf>
    <xf numFmtId="0" fontId="14" fillId="9" borderId="0" xfId="0" applyFont="1" applyFill="1" applyAlignment="1">
      <alignment horizontal="right"/>
    </xf>
    <xf numFmtId="37" fontId="29" fillId="3" borderId="0" xfId="0" applyNumberFormat="1" applyFont="1" applyFill="1" applyAlignment="1">
      <alignment horizontal="right"/>
    </xf>
    <xf numFmtId="37" fontId="4" fillId="4" borderId="0" xfId="0" applyNumberFormat="1" applyFont="1" applyFill="1" applyAlignment="1">
      <alignment horizontal="right"/>
    </xf>
    <xf numFmtId="37" fontId="4" fillId="0" borderId="0" xfId="0" applyNumberFormat="1" applyFont="1" applyAlignment="1">
      <alignment horizontal="right"/>
    </xf>
    <xf numFmtId="39" fontId="44" fillId="3" borderId="0" xfId="0" applyNumberFormat="1" applyFont="1" applyFill="1" applyAlignment="1">
      <alignment horizontal="right"/>
    </xf>
    <xf numFmtId="9" fontId="14" fillId="9" borderId="0" xfId="2" applyFont="1" applyFill="1" applyBorder="1"/>
    <xf numFmtId="9" fontId="14" fillId="9" borderId="0" xfId="2" applyFont="1" applyFill="1" applyBorder="1" applyAlignment="1">
      <alignment horizontal="right"/>
    </xf>
    <xf numFmtId="37" fontId="8" fillId="4" borderId="8" xfId="0" applyNumberFormat="1" applyFont="1" applyFill="1" applyBorder="1" applyAlignment="1">
      <alignment horizontal="right"/>
    </xf>
    <xf numFmtId="10" fontId="0" fillId="0" borderId="8" xfId="2" applyNumberFormat="1" applyFont="1" applyBorder="1" applyAlignment="1">
      <alignment horizontal="center"/>
    </xf>
    <xf numFmtId="10" fontId="4" fillId="0" borderId="8" xfId="2" applyNumberFormat="1" applyFont="1" applyBorder="1" applyAlignment="1">
      <alignment horizontal="center"/>
    </xf>
    <xf numFmtId="37" fontId="8" fillId="4" borderId="0" xfId="0" applyNumberFormat="1" applyFont="1" applyFill="1" applyAlignment="1">
      <alignment horizontal="right"/>
    </xf>
    <xf numFmtId="37" fontId="44" fillId="3" borderId="0" xfId="0" applyNumberFormat="1" applyFont="1" applyFill="1" applyAlignment="1">
      <alignment horizontal="right"/>
    </xf>
    <xf numFmtId="10" fontId="4" fillId="0" borderId="0" xfId="2" applyNumberFormat="1" applyFont="1" applyBorder="1" applyAlignment="1">
      <alignment horizontal="center"/>
    </xf>
    <xf numFmtId="0" fontId="4" fillId="0" borderId="20" xfId="0" applyFont="1" applyBorder="1"/>
    <xf numFmtId="37" fontId="4" fillId="0" borderId="20" xfId="0" applyNumberFormat="1" applyFont="1" applyBorder="1" applyAlignment="1">
      <alignment horizontal="right"/>
    </xf>
    <xf numFmtId="10" fontId="4" fillId="0" borderId="20" xfId="2" applyNumberFormat="1" applyFont="1" applyBorder="1" applyAlignment="1">
      <alignment horizontal="center"/>
    </xf>
    <xf numFmtId="37" fontId="8" fillId="0" borderId="8" xfId="0" applyNumberFormat="1" applyFont="1" applyBorder="1" applyAlignment="1">
      <alignment horizontal="right"/>
    </xf>
    <xf numFmtId="37" fontId="0" fillId="0" borderId="0" xfId="0" applyNumberFormat="1" applyAlignment="1">
      <alignment horizontal="right"/>
    </xf>
    <xf numFmtId="0" fontId="33" fillId="3" borderId="0" xfId="0" applyFont="1" applyFill="1" applyAlignment="1">
      <alignment horizontal="right"/>
    </xf>
    <xf numFmtId="173" fontId="0" fillId="0" borderId="0" xfId="0" applyNumberFormat="1" applyAlignment="1">
      <alignment horizontal="right"/>
    </xf>
    <xf numFmtId="0" fontId="7" fillId="2" borderId="0" xfId="0" applyFont="1" applyFill="1" applyAlignment="1">
      <alignment horizontal="right"/>
    </xf>
    <xf numFmtId="0" fontId="14" fillId="0" borderId="0" xfId="0" applyFont="1" applyAlignment="1">
      <alignment horizontal="center"/>
    </xf>
    <xf numFmtId="0" fontId="14" fillId="4" borderId="0" xfId="0" applyFont="1" applyFill="1"/>
    <xf numFmtId="0" fontId="19" fillId="0" borderId="9" xfId="10" applyFont="1" applyBorder="1" applyAlignment="1">
      <alignment horizontal="left"/>
    </xf>
    <xf numFmtId="0" fontId="31" fillId="0" borderId="9" xfId="10" applyFont="1" applyBorder="1"/>
    <xf numFmtId="0" fontId="0" fillId="0" borderId="9" xfId="10" applyFont="1" applyBorder="1" applyAlignment="1">
      <alignment horizontal="right"/>
    </xf>
    <xf numFmtId="0" fontId="14" fillId="9" borderId="0" xfId="0" applyFont="1" applyFill="1" applyAlignment="1">
      <alignment horizontal="left"/>
    </xf>
    <xf numFmtId="171" fontId="13" fillId="0" borderId="0" xfId="4" applyNumberFormat="1" applyFont="1" applyFill="1" applyBorder="1" applyAlignment="1">
      <alignment horizontal="left"/>
    </xf>
    <xf numFmtId="171" fontId="39" fillId="0" borderId="0" xfId="4" applyNumberFormat="1" applyFont="1" applyFill="1" applyBorder="1" applyAlignment="1">
      <alignment horizontal="left"/>
    </xf>
    <xf numFmtId="0" fontId="14" fillId="0" borderId="0" xfId="0" applyFont="1" applyAlignment="1">
      <alignment horizontal="right"/>
    </xf>
    <xf numFmtId="171" fontId="13" fillId="4" borderId="0" xfId="4" applyNumberFormat="1" applyFont="1" applyFill="1" applyBorder="1" applyAlignment="1">
      <alignment horizontal="left"/>
    </xf>
    <xf numFmtId="10" fontId="0" fillId="0" borderId="0" xfId="2" applyNumberFormat="1" applyFont="1" applyAlignment="1">
      <alignment horizontal="right"/>
    </xf>
    <xf numFmtId="10" fontId="14" fillId="0" borderId="0" xfId="0" applyNumberFormat="1" applyFont="1" applyAlignment="1">
      <alignment horizontal="right"/>
    </xf>
    <xf numFmtId="39" fontId="0" fillId="0" borderId="0" xfId="1" applyNumberFormat="1" applyFont="1" applyAlignment="1">
      <alignment horizontal="right"/>
    </xf>
    <xf numFmtId="37" fontId="44" fillId="3" borderId="8" xfId="0" applyNumberFormat="1" applyFont="1" applyFill="1" applyBorder="1" applyAlignment="1">
      <alignment horizontal="right"/>
    </xf>
    <xf numFmtId="37" fontId="8" fillId="0" borderId="0" xfId="0" applyNumberFormat="1" applyFont="1" applyAlignment="1">
      <alignment horizontal="right"/>
    </xf>
    <xf numFmtId="0" fontId="26" fillId="0" borderId="0" xfId="0" applyFont="1" applyAlignment="1">
      <alignment horizontal="left" indent="1"/>
    </xf>
    <xf numFmtId="37" fontId="47" fillId="3" borderId="0" xfId="0" applyNumberFormat="1" applyFont="1" applyFill="1" applyAlignment="1">
      <alignment horizontal="right"/>
    </xf>
    <xf numFmtId="37" fontId="48" fillId="4" borderId="0" xfId="0" applyNumberFormat="1" applyFont="1" applyFill="1" applyAlignment="1">
      <alignment horizontal="right"/>
    </xf>
    <xf numFmtId="0" fontId="4" fillId="0" borderId="19" xfId="0" applyFont="1" applyBorder="1"/>
    <xf numFmtId="37" fontId="44" fillId="3" borderId="19" xfId="0" applyNumberFormat="1" applyFont="1" applyFill="1" applyBorder="1" applyAlignment="1">
      <alignment horizontal="right"/>
    </xf>
    <xf numFmtId="10" fontId="4" fillId="0" borderId="19" xfId="2" applyNumberFormat="1" applyFont="1" applyBorder="1" applyAlignment="1">
      <alignment horizontal="center"/>
    </xf>
    <xf numFmtId="0" fontId="4" fillId="0" borderId="47" xfId="0" applyFont="1" applyBorder="1"/>
    <xf numFmtId="10" fontId="4" fillId="0" borderId="47" xfId="2" applyNumberFormat="1" applyFont="1" applyBorder="1" applyAlignment="1">
      <alignment horizontal="center"/>
    </xf>
    <xf numFmtId="37" fontId="44" fillId="0" borderId="19" xfId="0" applyNumberFormat="1" applyFont="1" applyBorder="1" applyAlignment="1">
      <alignment horizontal="right"/>
    </xf>
    <xf numFmtId="0" fontId="0" fillId="0" borderId="47" xfId="0" applyBorder="1"/>
    <xf numFmtId="37" fontId="44" fillId="3" borderId="47" xfId="0" applyNumberFormat="1" applyFont="1" applyFill="1" applyBorder="1" applyAlignment="1">
      <alignment horizontal="right"/>
    </xf>
    <xf numFmtId="173" fontId="38" fillId="0" borderId="26" xfId="1" applyNumberFormat="1" applyFont="1" applyFill="1" applyBorder="1"/>
    <xf numFmtId="0" fontId="43" fillId="4" borderId="0" xfId="0" applyFont="1" applyFill="1"/>
    <xf numFmtId="171" fontId="14" fillId="4" borderId="0" xfId="2" applyNumberFormat="1" applyFont="1" applyFill="1"/>
    <xf numFmtId="171" fontId="14" fillId="4" borderId="17" xfId="2" applyNumberFormat="1" applyFont="1" applyFill="1" applyBorder="1"/>
    <xf numFmtId="171" fontId="36" fillId="4" borderId="0" xfId="2" applyNumberFormat="1" applyFont="1" applyFill="1"/>
    <xf numFmtId="9" fontId="13" fillId="4" borderId="0" xfId="2" applyFont="1" applyFill="1" applyBorder="1"/>
    <xf numFmtId="37" fontId="49" fillId="3" borderId="0" xfId="0" applyNumberFormat="1" applyFont="1" applyFill="1" applyAlignment="1">
      <alignment horizontal="right"/>
    </xf>
    <xf numFmtId="0" fontId="14" fillId="0" borderId="0" xfId="0" applyFont="1" applyAlignment="1">
      <alignment horizontal="left" indent="1"/>
    </xf>
    <xf numFmtId="0" fontId="50" fillId="0" borderId="0" xfId="0" applyFont="1"/>
    <xf numFmtId="0" fontId="50" fillId="0" borderId="0" xfId="0" applyFont="1" applyAlignment="1">
      <alignment horizontal="left"/>
    </xf>
    <xf numFmtId="171" fontId="50" fillId="0" borderId="0" xfId="2" applyNumberFormat="1" applyFont="1" applyFill="1"/>
    <xf numFmtId="171" fontId="50" fillId="0" borderId="0" xfId="1" applyNumberFormat="1" applyFont="1" applyFill="1"/>
    <xf numFmtId="171" fontId="50" fillId="0" borderId="17" xfId="1" applyNumberFormat="1" applyFont="1" applyFill="1" applyBorder="1"/>
    <xf numFmtId="171" fontId="50" fillId="4" borderId="0" xfId="1" applyNumberFormat="1" applyFont="1" applyFill="1"/>
    <xf numFmtId="171" fontId="50" fillId="0" borderId="26" xfId="2" applyNumberFormat="1" applyFont="1" applyFill="1" applyBorder="1"/>
    <xf numFmtId="171" fontId="50" fillId="0" borderId="17" xfId="2" applyNumberFormat="1" applyFont="1" applyFill="1" applyBorder="1"/>
    <xf numFmtId="171" fontId="51" fillId="0" borderId="0" xfId="2" applyNumberFormat="1" applyFont="1" applyFill="1"/>
    <xf numFmtId="0" fontId="50" fillId="0" borderId="0" xfId="0" applyFont="1" applyAlignment="1">
      <alignment horizontal="left" indent="1"/>
    </xf>
    <xf numFmtId="0" fontId="51" fillId="0" borderId="0" xfId="0" applyFont="1"/>
    <xf numFmtId="37" fontId="33" fillId="3" borderId="0" xfId="0" applyNumberFormat="1" applyFont="1" applyFill="1" applyAlignment="1">
      <alignment horizontal="right"/>
    </xf>
    <xf numFmtId="37" fontId="38" fillId="0" borderId="17" xfId="1" applyNumberFormat="1" applyFont="1" applyBorder="1"/>
    <xf numFmtId="37" fontId="38" fillId="0" borderId="0" xfId="1" applyNumberFormat="1" applyFont="1" applyAlignment="1">
      <alignment wrapText="1"/>
    </xf>
    <xf numFmtId="171" fontId="50" fillId="0" borderId="0" xfId="2" applyNumberFormat="1" applyFont="1"/>
    <xf numFmtId="171" fontId="50" fillId="0" borderId="26" xfId="2" applyNumberFormat="1" applyFont="1" applyBorder="1"/>
    <xf numFmtId="173" fontId="38" fillId="0" borderId="0" xfId="1" applyNumberFormat="1" applyFont="1"/>
    <xf numFmtId="173" fontId="38" fillId="0" borderId="26" xfId="1" applyNumberFormat="1" applyFont="1" applyBorder="1"/>
    <xf numFmtId="171" fontId="36" fillId="0" borderId="0" xfId="0" applyNumberFormat="1" applyFont="1"/>
    <xf numFmtId="171" fontId="50" fillId="0" borderId="0" xfId="2" applyNumberFormat="1" applyFont="1" applyFill="1" applyBorder="1"/>
    <xf numFmtId="0" fontId="14" fillId="0" borderId="0" xfId="0" applyFont="1" applyAlignment="1">
      <alignment horizontal="left" indent="2"/>
    </xf>
    <xf numFmtId="0" fontId="50" fillId="0" borderId="0" xfId="0" applyFont="1" applyAlignment="1">
      <alignment horizontal="left" indent="2"/>
    </xf>
    <xf numFmtId="0" fontId="43" fillId="0" borderId="0" xfId="0" applyFont="1" applyAlignment="1">
      <alignment horizontal="left" indent="2"/>
    </xf>
    <xf numFmtId="173" fontId="52" fillId="0" borderId="0" xfId="1" applyNumberFormat="1" applyFont="1" applyFill="1"/>
    <xf numFmtId="173" fontId="52" fillId="0" borderId="26" xfId="1" applyNumberFormat="1" applyFont="1" applyFill="1" applyBorder="1"/>
    <xf numFmtId="173" fontId="40" fillId="0" borderId="0" xfId="1" applyNumberFormat="1" applyFont="1" applyFill="1"/>
    <xf numFmtId="173" fontId="21" fillId="0" borderId="0" xfId="1" applyNumberFormat="1" applyFont="1" applyFill="1"/>
    <xf numFmtId="171" fontId="49" fillId="5" borderId="0" xfId="2" applyNumberFormat="1" applyFont="1" applyFill="1"/>
    <xf numFmtId="37" fontId="13" fillId="0" borderId="0" xfId="1" applyNumberFormat="1" applyFont="1" applyAlignment="1">
      <alignment wrapText="1"/>
    </xf>
    <xf numFmtId="171" fontId="33" fillId="5" borderId="0" xfId="2" applyNumberFormat="1" applyFont="1" applyFill="1"/>
    <xf numFmtId="171" fontId="49" fillId="5" borderId="0" xfId="0" applyNumberFormat="1" applyFont="1" applyFill="1"/>
    <xf numFmtId="171" fontId="50" fillId="0" borderId="0" xfId="0" applyNumberFormat="1" applyFont="1"/>
    <xf numFmtId="171" fontId="50" fillId="0" borderId="17" xfId="0" applyNumberFormat="1" applyFont="1" applyBorder="1"/>
    <xf numFmtId="1" fontId="49" fillId="5" borderId="0" xfId="0" applyNumberFormat="1" applyFont="1" applyFill="1"/>
    <xf numFmtId="178" fontId="50" fillId="0" borderId="0" xfId="0" applyNumberFormat="1" applyFont="1"/>
    <xf numFmtId="178" fontId="50" fillId="0" borderId="17" xfId="0" applyNumberFormat="1" applyFont="1" applyBorder="1"/>
    <xf numFmtId="178" fontId="49" fillId="5" borderId="0" xfId="0" applyNumberFormat="1" applyFont="1" applyFill="1"/>
    <xf numFmtId="0" fontId="43" fillId="0" borderId="0" xfId="0" applyFont="1" applyAlignment="1">
      <alignment horizontal="left" indent="1"/>
    </xf>
    <xf numFmtId="171" fontId="51" fillId="0" borderId="17" xfId="2" applyNumberFormat="1" applyFont="1" applyFill="1" applyBorder="1"/>
    <xf numFmtId="173" fontId="52" fillId="0" borderId="0" xfId="1" applyNumberFormat="1" applyFont="1" applyFill="1" applyAlignment="1">
      <alignment horizontal="right"/>
    </xf>
    <xf numFmtId="173" fontId="52" fillId="0" borderId="26" xfId="1" applyNumberFormat="1" applyFont="1" applyBorder="1" applyAlignment="1">
      <alignment horizontal="right"/>
    </xf>
    <xf numFmtId="173" fontId="43" fillId="0" borderId="0" xfId="0" applyNumberFormat="1" applyFont="1" applyAlignment="1">
      <alignment horizontal="right"/>
    </xf>
    <xf numFmtId="173" fontId="52" fillId="0" borderId="0" xfId="1" applyNumberFormat="1" applyFont="1"/>
    <xf numFmtId="173" fontId="52" fillId="0" borderId="26" xfId="1" applyNumberFormat="1" applyFont="1" applyBorder="1"/>
    <xf numFmtId="173" fontId="43" fillId="0" borderId="0" xfId="0" applyNumberFormat="1" applyFont="1"/>
    <xf numFmtId="173" fontId="38" fillId="0" borderId="0" xfId="1" applyNumberFormat="1" applyFont="1" applyBorder="1"/>
    <xf numFmtId="173" fontId="52" fillId="0" borderId="26" xfId="1" applyNumberFormat="1" applyFont="1" applyFill="1" applyBorder="1" applyAlignment="1">
      <alignment horizontal="right"/>
    </xf>
    <xf numFmtId="0" fontId="26" fillId="0" borderId="0" xfId="0" applyFont="1" applyAlignment="1">
      <alignment horizontal="left" indent="2"/>
    </xf>
    <xf numFmtId="171" fontId="13" fillId="4" borderId="0" xfId="0" applyNumberFormat="1" applyFont="1" applyFill="1"/>
    <xf numFmtId="171" fontId="13" fillId="4" borderId="17" xfId="0" applyNumberFormat="1" applyFont="1" applyFill="1" applyBorder="1"/>
    <xf numFmtId="171" fontId="36" fillId="4" borderId="0" xfId="0" applyNumberFormat="1" applyFont="1" applyFill="1"/>
    <xf numFmtId="171" fontId="13" fillId="0" borderId="26" xfId="0" applyNumberFormat="1" applyFont="1" applyBorder="1"/>
    <xf numFmtId="0" fontId="53" fillId="0" borderId="0" xfId="0" applyFont="1"/>
    <xf numFmtId="173" fontId="14" fillId="0" borderId="32" xfId="0" applyNumberFormat="1" applyFont="1" applyBorder="1"/>
    <xf numFmtId="173" fontId="14" fillId="0" borderId="48" xfId="0" applyNumberFormat="1" applyFont="1" applyBorder="1"/>
    <xf numFmtId="173" fontId="14" fillId="0" borderId="49" xfId="0" applyNumberFormat="1" applyFont="1" applyBorder="1"/>
    <xf numFmtId="171" fontId="49" fillId="0" borderId="0" xfId="0" applyNumberFormat="1" applyFont="1"/>
    <xf numFmtId="173" fontId="36" fillId="5" borderId="0" xfId="1" applyNumberFormat="1" applyFont="1" applyFill="1"/>
    <xf numFmtId="173" fontId="36" fillId="5" borderId="0" xfId="0" applyNumberFormat="1" applyFont="1" applyFill="1"/>
    <xf numFmtId="173" fontId="52" fillId="0" borderId="0" xfId="1" applyNumberFormat="1" applyFont="1" applyBorder="1"/>
    <xf numFmtId="9" fontId="50" fillId="0" borderId="0" xfId="0" applyNumberFormat="1" applyFont="1"/>
    <xf numFmtId="9" fontId="49" fillId="5" borderId="0" xfId="0" applyNumberFormat="1" applyFont="1" applyFill="1"/>
    <xf numFmtId="173" fontId="38" fillId="0" borderId="0" xfId="1" applyNumberFormat="1" applyFont="1" applyFill="1" applyBorder="1"/>
    <xf numFmtId="0" fontId="14" fillId="0" borderId="22" xfId="0" applyFont="1" applyBorder="1"/>
    <xf numFmtId="173" fontId="38" fillId="0" borderId="22" xfId="1" applyNumberFormat="1" applyFont="1" applyBorder="1"/>
    <xf numFmtId="173" fontId="38" fillId="0" borderId="50" xfId="1" applyNumberFormat="1" applyFont="1" applyBorder="1"/>
    <xf numFmtId="173" fontId="14" fillId="0" borderId="22" xfId="0" applyNumberFormat="1" applyFont="1" applyBorder="1"/>
    <xf numFmtId="173" fontId="45" fillId="0" borderId="0" xfId="1" applyNumberFormat="1" applyFont="1" applyBorder="1"/>
    <xf numFmtId="173" fontId="45" fillId="0" borderId="26" xfId="1" applyNumberFormat="1" applyFont="1" applyBorder="1"/>
    <xf numFmtId="173" fontId="45" fillId="0" borderId="22" xfId="1" applyNumberFormat="1" applyFont="1" applyFill="1" applyBorder="1"/>
    <xf numFmtId="173" fontId="45" fillId="0" borderId="50" xfId="1" applyNumberFormat="1" applyFont="1" applyFill="1" applyBorder="1"/>
    <xf numFmtId="173" fontId="42" fillId="0" borderId="22" xfId="0" applyNumberFormat="1" applyFont="1" applyBorder="1"/>
    <xf numFmtId="173" fontId="42" fillId="0" borderId="0" xfId="0" applyNumberFormat="1" applyFont="1"/>
    <xf numFmtId="0" fontId="36" fillId="5" borderId="0" xfId="0" applyFont="1" applyFill="1" applyAlignment="1">
      <alignment horizontal="right"/>
    </xf>
    <xf numFmtId="14" fontId="36" fillId="5" borderId="0" xfId="0" applyNumberFormat="1" applyFont="1" applyFill="1" applyAlignment="1">
      <alignment horizontal="right"/>
    </xf>
    <xf numFmtId="166" fontId="5" fillId="2" borderId="2" xfId="0" applyNumberFormat="1" applyFont="1" applyFill="1" applyBorder="1"/>
    <xf numFmtId="169" fontId="0" fillId="0" borderId="2" xfId="1" applyNumberFormat="1" applyFont="1" applyBorder="1" applyAlignment="1">
      <alignment horizontal="right"/>
    </xf>
    <xf numFmtId="0" fontId="0" fillId="0" borderId="2" xfId="0" applyBorder="1" applyAlignment="1">
      <alignment horizontal="right"/>
    </xf>
    <xf numFmtId="0" fontId="14" fillId="9" borderId="2" xfId="0" applyFont="1" applyFill="1" applyBorder="1" applyAlignment="1">
      <alignment horizontal="right"/>
    </xf>
    <xf numFmtId="0" fontId="14" fillId="0" borderId="2" xfId="0" applyFont="1" applyBorder="1" applyAlignment="1">
      <alignment horizontal="right"/>
    </xf>
    <xf numFmtId="10" fontId="0" fillId="0" borderId="2" xfId="2" applyNumberFormat="1" applyFont="1" applyBorder="1" applyAlignment="1">
      <alignment horizontal="right"/>
    </xf>
    <xf numFmtId="10" fontId="14" fillId="0" borderId="2" xfId="0" applyNumberFormat="1" applyFont="1" applyBorder="1" applyAlignment="1">
      <alignment horizontal="right"/>
    </xf>
    <xf numFmtId="39" fontId="0" fillId="0" borderId="2" xfId="1" applyNumberFormat="1" applyFont="1" applyBorder="1" applyAlignment="1">
      <alignment horizontal="right"/>
    </xf>
    <xf numFmtId="169" fontId="0" fillId="3" borderId="0" xfId="1" applyNumberFormat="1" applyFont="1" applyFill="1" applyAlignment="1">
      <alignment horizontal="right"/>
    </xf>
    <xf numFmtId="0" fontId="14" fillId="3" borderId="0" xfId="0" applyFont="1" applyFill="1" applyAlignment="1">
      <alignment horizontal="right"/>
    </xf>
    <xf numFmtId="10" fontId="0" fillId="3" borderId="0" xfId="2" applyNumberFormat="1" applyFont="1" applyFill="1" applyAlignment="1">
      <alignment horizontal="right"/>
    </xf>
    <xf numFmtId="10" fontId="14"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4" fillId="0" borderId="0" xfId="0" applyFont="1"/>
    <xf numFmtId="37" fontId="47" fillId="0" borderId="0" xfId="1" applyNumberFormat="1" applyFont="1" applyFill="1" applyBorder="1"/>
    <xf numFmtId="37" fontId="47"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7" fontId="7" fillId="2" borderId="0" xfId="0" applyNumberFormat="1" applyFont="1" applyFill="1" applyAlignment="1">
      <alignment horizontal="right"/>
    </xf>
    <xf numFmtId="166" fontId="7" fillId="2" borderId="0" xfId="0" applyNumberFormat="1" applyFont="1" applyFill="1" applyAlignment="1">
      <alignment horizontal="right"/>
    </xf>
    <xf numFmtId="166" fontId="7" fillId="2" borderId="2" xfId="0" applyNumberFormat="1" applyFont="1" applyFill="1" applyBorder="1" applyAlignment="1">
      <alignment horizontal="right"/>
    </xf>
    <xf numFmtId="169" fontId="0" fillId="0" borderId="0" xfId="1" applyNumberFormat="1" applyFont="1" applyBorder="1" applyAlignment="1">
      <alignment horizontal="right"/>
    </xf>
    <xf numFmtId="0" fontId="55" fillId="0" borderId="0" xfId="5" applyFont="1"/>
    <xf numFmtId="0" fontId="30" fillId="0" borderId="0" xfId="5" applyFont="1"/>
    <xf numFmtId="0" fontId="30" fillId="5" borderId="0" xfId="5" applyFont="1" applyFill="1"/>
    <xf numFmtId="0" fontId="55" fillId="0" borderId="0" xfId="5" applyFont="1" applyAlignment="1">
      <alignment vertical="center"/>
    </xf>
    <xf numFmtId="0" fontId="14" fillId="0" borderId="8" xfId="0" applyFont="1" applyBorder="1"/>
    <xf numFmtId="173" fontId="38" fillId="0" borderId="8" xfId="1" applyNumberFormat="1" applyFont="1" applyFill="1" applyBorder="1"/>
    <xf numFmtId="173" fontId="38" fillId="0" borderId="23" xfId="1" applyNumberFormat="1" applyFont="1" applyFill="1" applyBorder="1"/>
    <xf numFmtId="173" fontId="14" fillId="0" borderId="8" xfId="0" applyNumberFormat="1" applyFont="1" applyBorder="1"/>
    <xf numFmtId="173" fontId="43" fillId="0" borderId="8" xfId="0" applyNumberFormat="1" applyFont="1" applyBorder="1"/>
    <xf numFmtId="0" fontId="30" fillId="0" borderId="0" xfId="5" applyFont="1" applyAlignment="1">
      <alignment vertical="center"/>
    </xf>
    <xf numFmtId="0" fontId="56" fillId="2" borderId="0" xfId="5" applyFont="1" applyFill="1" applyAlignment="1">
      <alignment horizontal="center" vertical="center"/>
    </xf>
    <xf numFmtId="0" fontId="57" fillId="2" borderId="21" xfId="5" applyFont="1" applyFill="1" applyBorder="1" applyAlignment="1">
      <alignment horizontal="center" vertical="center" wrapText="1"/>
    </xf>
    <xf numFmtId="0" fontId="57" fillId="2" borderId="55" xfId="5" applyFont="1" applyFill="1" applyBorder="1" applyAlignment="1">
      <alignment horizontal="center" vertical="center" wrapText="1"/>
    </xf>
    <xf numFmtId="0" fontId="57" fillId="2" borderId="0" xfId="5" applyFont="1" applyFill="1" applyAlignment="1">
      <alignment horizontal="center" vertical="center" wrapText="1"/>
    </xf>
    <xf numFmtId="0" fontId="57" fillId="2" borderId="26" xfId="5" applyFont="1" applyFill="1" applyBorder="1" applyAlignment="1">
      <alignment horizontal="center" vertical="center" wrapText="1"/>
    </xf>
    <xf numFmtId="0" fontId="58" fillId="5" borderId="21" xfId="5" applyFont="1" applyFill="1" applyBorder="1"/>
    <xf numFmtId="0" fontId="58" fillId="5" borderId="55" xfId="5" applyFont="1" applyFill="1" applyBorder="1"/>
    <xf numFmtId="0" fontId="58" fillId="5" borderId="0" xfId="5" applyFont="1" applyFill="1"/>
    <xf numFmtId="0" fontId="58" fillId="5" borderId="26" xfId="5" applyFont="1" applyFill="1" applyBorder="1"/>
    <xf numFmtId="2" fontId="30" fillId="5" borderId="0" xfId="2" applyNumberFormat="1" applyFont="1" applyFill="1" applyBorder="1" applyAlignment="1">
      <alignment horizontal="center" vertical="center"/>
    </xf>
    <xf numFmtId="10" fontId="8" fillId="3" borderId="24" xfId="2" applyNumberFormat="1" applyFont="1" applyFill="1" applyBorder="1"/>
    <xf numFmtId="43" fontId="42" fillId="0" borderId="0" xfId="0" applyNumberFormat="1" applyFont="1"/>
    <xf numFmtId="0" fontId="32" fillId="0" borderId="0" xfId="0" applyFont="1"/>
    <xf numFmtId="166" fontId="17" fillId="0" borderId="37" xfId="0" applyNumberFormat="1" applyFont="1" applyBorder="1" applyAlignment="1">
      <alignment horizontal="center"/>
    </xf>
    <xf numFmtId="2" fontId="4" fillId="0" borderId="0" xfId="0" applyNumberFormat="1" applyFont="1" applyAlignment="1">
      <alignment horizontal="center"/>
    </xf>
    <xf numFmtId="0" fontId="11" fillId="0" borderId="0" xfId="5" applyFont="1"/>
    <xf numFmtId="0" fontId="5" fillId="4" borderId="0" xfId="5" applyFont="1" applyFill="1" applyAlignment="1">
      <alignment vertical="center" wrapText="1"/>
    </xf>
    <xf numFmtId="0" fontId="5" fillId="2" borderId="0" xfId="5" applyFont="1" applyFill="1"/>
    <xf numFmtId="0" fontId="5" fillId="2" borderId="0" xfId="5" applyFont="1" applyFill="1" applyAlignment="1">
      <alignment horizontal="center"/>
    </xf>
    <xf numFmtId="0" fontId="5" fillId="0" borderId="0" xfId="5" applyFont="1"/>
    <xf numFmtId="0" fontId="5" fillId="0" borderId="54" xfId="5" applyFont="1" applyBorder="1"/>
    <xf numFmtId="0" fontId="6" fillId="0" borderId="54" xfId="5" applyFont="1" applyBorder="1"/>
    <xf numFmtId="0" fontId="5" fillId="5" borderId="53" xfId="5" applyFont="1" applyFill="1" applyBorder="1"/>
    <xf numFmtId="0" fontId="5" fillId="0" borderId="53" xfId="5" applyFont="1" applyBorder="1"/>
    <xf numFmtId="0" fontId="11" fillId="0" borderId="0" xfId="5" applyFont="1" applyAlignment="1">
      <alignment vertical="center"/>
    </xf>
    <xf numFmtId="0" fontId="8" fillId="0" borderId="0" xfId="5" applyFont="1" applyAlignment="1">
      <alignment vertical="center"/>
    </xf>
    <xf numFmtId="0" fontId="33" fillId="0" borderId="0" xfId="5" applyFont="1" applyAlignment="1">
      <alignment vertical="center"/>
    </xf>
    <xf numFmtId="174" fontId="11" fillId="0" borderId="0" xfId="5" applyNumberFormat="1" applyFont="1" applyAlignment="1">
      <alignment vertical="center"/>
    </xf>
    <xf numFmtId="4" fontId="11" fillId="0" borderId="0" xfId="5" applyNumberFormat="1" applyFont="1" applyAlignment="1">
      <alignment vertical="center"/>
    </xf>
    <xf numFmtId="4" fontId="11" fillId="0" borderId="0" xfId="5" applyNumberFormat="1" applyFont="1" applyAlignment="1">
      <alignment horizontal="center" vertical="center"/>
    </xf>
    <xf numFmtId="2" fontId="11" fillId="0" borderId="0" xfId="2" applyNumberFormat="1" applyFont="1" applyBorder="1" applyAlignment="1">
      <alignment horizontal="center" vertical="center"/>
    </xf>
    <xf numFmtId="2" fontId="11" fillId="0" borderId="0" xfId="5" applyNumberFormat="1" applyFont="1" applyAlignment="1">
      <alignment vertical="center"/>
    </xf>
    <xf numFmtId="3" fontId="11" fillId="0" borderId="0" xfId="5" applyNumberFormat="1" applyFont="1" applyAlignment="1">
      <alignment vertical="center"/>
    </xf>
    <xf numFmtId="10" fontId="11" fillId="0" borderId="0" xfId="5" applyNumberFormat="1" applyFont="1" applyAlignment="1">
      <alignment vertical="center"/>
    </xf>
    <xf numFmtId="175" fontId="33" fillId="0" borderId="0" xfId="5" applyNumberFormat="1" applyFont="1" applyAlignment="1">
      <alignment vertical="center"/>
    </xf>
    <xf numFmtId="171" fontId="11" fillId="0" borderId="0" xfId="5" applyNumberFormat="1" applyFont="1" applyAlignment="1">
      <alignment vertical="center"/>
    </xf>
    <xf numFmtId="0" fontId="8" fillId="0" borderId="0" xfId="5" applyFont="1"/>
    <xf numFmtId="0" fontId="33" fillId="0" borderId="0" xfId="5" applyFont="1"/>
    <xf numFmtId="174" fontId="11" fillId="0" borderId="0" xfId="5" applyNumberFormat="1" applyFont="1"/>
    <xf numFmtId="4" fontId="11" fillId="0" borderId="0" xfId="5" applyNumberFormat="1" applyFont="1"/>
    <xf numFmtId="4" fontId="11" fillId="0" borderId="0" xfId="5" applyNumberFormat="1" applyFont="1" applyAlignment="1">
      <alignment horizontal="center"/>
    </xf>
    <xf numFmtId="9" fontId="11" fillId="0" borderId="0" xfId="2" applyFont="1" applyBorder="1" applyAlignment="1"/>
    <xf numFmtId="3" fontId="11" fillId="0" borderId="0" xfId="5" applyNumberFormat="1" applyFont="1"/>
    <xf numFmtId="2" fontId="11" fillId="0" borderId="0" xfId="5" applyNumberFormat="1" applyFont="1"/>
    <xf numFmtId="10" fontId="11" fillId="0" borderId="0" xfId="5" applyNumberFormat="1" applyFont="1"/>
    <xf numFmtId="175" fontId="33" fillId="0" borderId="0" xfId="5" applyNumberFormat="1" applyFont="1"/>
    <xf numFmtId="171" fontId="11" fillId="0" borderId="0" xfId="5" applyNumberFormat="1" applyFont="1"/>
    <xf numFmtId="0" fontId="8" fillId="0" borderId="0" xfId="5" applyFont="1" applyAlignment="1">
      <alignment vertical="center" wrapText="1"/>
    </xf>
    <xf numFmtId="2" fontId="11" fillId="0" borderId="0" xfId="2" applyNumberFormat="1" applyFont="1" applyFill="1" applyBorder="1" applyAlignment="1"/>
    <xf numFmtId="9" fontId="11" fillId="0" borderId="0" xfId="2" applyFont="1" applyFill="1" applyBorder="1" applyAlignment="1"/>
    <xf numFmtId="0" fontId="11" fillId="5" borderId="0" xfId="5" applyFont="1" applyFill="1"/>
    <xf numFmtId="9" fontId="11" fillId="0" borderId="0" xfId="5" applyNumberFormat="1" applyFont="1"/>
    <xf numFmtId="0" fontId="6" fillId="2" borderId="0" xfId="5" applyFont="1" applyFill="1"/>
    <xf numFmtId="0" fontId="6" fillId="0" borderId="0" xfId="5" applyFont="1"/>
    <xf numFmtId="0" fontId="5" fillId="2" borderId="0" xfId="5" applyFont="1" applyFill="1" applyAlignment="1">
      <alignment horizontal="left"/>
    </xf>
    <xf numFmtId="0" fontId="5" fillId="5" borderId="0" xfId="5" applyFont="1" applyFill="1" applyAlignment="1">
      <alignment horizontal="left"/>
    </xf>
    <xf numFmtId="0" fontId="6" fillId="5" borderId="0" xfId="5" applyFont="1" applyFill="1"/>
    <xf numFmtId="3" fontId="11" fillId="0" borderId="0" xfId="5" applyNumberFormat="1" applyFont="1" applyAlignment="1">
      <alignment horizontal="center"/>
    </xf>
    <xf numFmtId="175" fontId="11" fillId="0" borderId="0" xfId="5" applyNumberFormat="1" applyFont="1" applyAlignment="1">
      <alignment horizontal="center"/>
    </xf>
    <xf numFmtId="0" fontId="11" fillId="0" borderId="0" xfId="5" applyFont="1" applyAlignment="1">
      <alignment horizontal="center"/>
    </xf>
    <xf numFmtId="0" fontId="5" fillId="2" borderId="0" xfId="5" applyFont="1" applyFill="1" applyAlignment="1">
      <alignment horizontal="center" vertical="center"/>
    </xf>
    <xf numFmtId="0" fontId="11" fillId="5" borderId="0" xfId="5" applyFont="1" applyFill="1" applyAlignment="1">
      <alignment horizontal="center"/>
    </xf>
    <xf numFmtId="0" fontId="3" fillId="0" borderId="0" xfId="0" applyFont="1"/>
    <xf numFmtId="171" fontId="11" fillId="0" borderId="0" xfId="5" applyNumberFormat="1" applyFont="1" applyAlignment="1">
      <alignment horizontal="center"/>
    </xf>
    <xf numFmtId="169" fontId="3" fillId="0" borderId="0" xfId="1" applyNumberFormat="1" applyFont="1" applyAlignment="1">
      <alignment horizontal="center"/>
    </xf>
    <xf numFmtId="10" fontId="33" fillId="3" borderId="0" xfId="5" applyNumberFormat="1" applyFont="1" applyFill="1" applyAlignment="1">
      <alignment horizontal="center"/>
    </xf>
    <xf numFmtId="10" fontId="11" fillId="0" borderId="0" xfId="5" applyNumberFormat="1" applyFont="1" applyAlignment="1">
      <alignment horizontal="center"/>
    </xf>
    <xf numFmtId="0" fontId="6" fillId="2" borderId="0" xfId="5" applyFont="1" applyFill="1" applyAlignment="1">
      <alignment horizontal="left"/>
    </xf>
    <xf numFmtId="0" fontId="6" fillId="5" borderId="0" xfId="5" applyFont="1" applyFill="1" applyAlignment="1">
      <alignment horizontal="left"/>
    </xf>
    <xf numFmtId="1" fontId="11" fillId="4" borderId="8" xfId="8" applyNumberFormat="1" applyFont="1" applyFill="1" applyBorder="1" applyAlignment="1">
      <alignment horizontal="left" vertical="center"/>
    </xf>
    <xf numFmtId="0" fontId="11" fillId="0" borderId="8" xfId="5" applyFont="1" applyBorder="1"/>
    <xf numFmtId="37" fontId="29" fillId="0" borderId="18" xfId="8" applyNumberFormat="1" applyFont="1" applyBorder="1" applyAlignment="1">
      <alignment horizontal="center"/>
    </xf>
    <xf numFmtId="37" fontId="33" fillId="3" borderId="56" xfId="8" applyNumberFormat="1" applyFont="1" applyFill="1" applyBorder="1" applyAlignment="1">
      <alignment horizontal="center"/>
    </xf>
    <xf numFmtId="37" fontId="33" fillId="3" borderId="23" xfId="8" applyNumberFormat="1" applyFont="1" applyFill="1" applyBorder="1" applyAlignment="1">
      <alignment horizontal="center"/>
    </xf>
    <xf numFmtId="37" fontId="33" fillId="3" borderId="8" xfId="5" applyNumberFormat="1" applyFont="1" applyFill="1" applyBorder="1" applyAlignment="1">
      <alignment horizontal="center"/>
    </xf>
    <xf numFmtId="1" fontId="11" fillId="4" borderId="0" xfId="8" applyNumberFormat="1" applyFont="1" applyFill="1" applyAlignment="1">
      <alignment horizontal="left" vertical="center"/>
    </xf>
    <xf numFmtId="37" fontId="29" fillId="0" borderId="21" xfId="8" applyNumberFormat="1" applyFont="1" applyBorder="1" applyAlignment="1">
      <alignment horizontal="center"/>
    </xf>
    <xf numFmtId="37" fontId="33" fillId="3" borderId="55" xfId="8" applyNumberFormat="1" applyFont="1" applyFill="1" applyBorder="1" applyAlignment="1">
      <alignment horizontal="center"/>
    </xf>
    <xf numFmtId="37" fontId="33" fillId="3" borderId="26" xfId="8" applyNumberFormat="1" applyFont="1" applyFill="1" applyBorder="1" applyAlignment="1">
      <alignment horizontal="center"/>
    </xf>
    <xf numFmtId="37" fontId="33" fillId="3" borderId="0" xfId="5" applyNumberFormat="1" applyFont="1" applyFill="1" applyAlignment="1">
      <alignment horizontal="center"/>
    </xf>
    <xf numFmtId="37" fontId="33" fillId="3" borderId="55" xfId="8" applyNumberFormat="1" applyFont="1" applyFill="1" applyBorder="1" applyAlignment="1">
      <alignment horizontal="center" wrapText="1"/>
    </xf>
    <xf numFmtId="1" fontId="3" fillId="4" borderId="0" xfId="8" applyNumberFormat="1" applyFont="1" applyFill="1" applyAlignment="1">
      <alignment horizontal="left"/>
    </xf>
    <xf numFmtId="1" fontId="3" fillId="0" borderId="0" xfId="8" applyNumberFormat="1" applyFont="1" applyAlignment="1">
      <alignment horizontal="left"/>
    </xf>
    <xf numFmtId="37" fontId="8" fillId="0" borderId="55" xfId="8" applyNumberFormat="1" applyFont="1" applyBorder="1" applyAlignment="1">
      <alignment horizontal="center" wrapText="1"/>
    </xf>
    <xf numFmtId="37" fontId="8" fillId="0" borderId="26" xfId="8" applyNumberFormat="1" applyFont="1" applyBorder="1" applyAlignment="1">
      <alignment horizontal="center" wrapText="1"/>
    </xf>
    <xf numFmtId="37" fontId="8" fillId="0" borderId="0" xfId="5" applyNumberFormat="1" applyFont="1" applyAlignment="1">
      <alignment horizontal="center"/>
    </xf>
    <xf numFmtId="37" fontId="33" fillId="3" borderId="26" xfId="8" applyNumberFormat="1" applyFont="1" applyFill="1" applyBorder="1" applyAlignment="1">
      <alignment horizontal="center" wrapText="1"/>
    </xf>
    <xf numFmtId="37" fontId="8" fillId="3" borderId="0" xfId="5" applyNumberFormat="1" applyFont="1" applyFill="1" applyAlignment="1">
      <alignment horizontal="center"/>
    </xf>
    <xf numFmtId="39" fontId="33" fillId="3" borderId="55" xfId="8" applyNumberFormat="1" applyFont="1" applyFill="1" applyBorder="1" applyAlignment="1">
      <alignment horizontal="center" wrapText="1"/>
    </xf>
    <xf numFmtId="39" fontId="33" fillId="3" borderId="26" xfId="8" applyNumberFormat="1" applyFont="1" applyFill="1" applyBorder="1" applyAlignment="1">
      <alignment horizontal="center" wrapText="1"/>
    </xf>
    <xf numFmtId="39" fontId="33" fillId="3" borderId="0" xfId="5" applyNumberFormat="1" applyFont="1" applyFill="1" applyAlignment="1">
      <alignment horizontal="center"/>
    </xf>
    <xf numFmtId="1" fontId="29" fillId="0" borderId="21" xfId="8" applyNumberFormat="1" applyFont="1" applyBorder="1" applyAlignment="1">
      <alignment horizontal="center" wrapText="1"/>
    </xf>
    <xf numFmtId="1" fontId="29" fillId="0" borderId="55" xfId="8" applyNumberFormat="1" applyFont="1" applyBorder="1" applyAlignment="1">
      <alignment horizontal="center" wrapText="1"/>
    </xf>
    <xf numFmtId="1" fontId="29" fillId="0" borderId="26" xfId="8" applyNumberFormat="1" applyFont="1" applyBorder="1" applyAlignment="1">
      <alignment horizontal="center" wrapText="1"/>
    </xf>
    <xf numFmtId="0" fontId="11" fillId="2" borderId="21" xfId="5" applyFont="1" applyFill="1" applyBorder="1"/>
    <xf numFmtId="0" fontId="11" fillId="2" borderId="55" xfId="5" applyFont="1" applyFill="1" applyBorder="1"/>
    <xf numFmtId="0" fontId="11" fillId="2" borderId="26" xfId="5" applyFont="1" applyFill="1" applyBorder="1"/>
    <xf numFmtId="0" fontId="11" fillId="2" borderId="0" xfId="5" applyFont="1" applyFill="1" applyAlignment="1">
      <alignment horizontal="center"/>
    </xf>
    <xf numFmtId="0" fontId="11" fillId="5" borderId="21" xfId="5" applyFont="1" applyFill="1" applyBorder="1"/>
    <xf numFmtId="0" fontId="11" fillId="5" borderId="55" xfId="5" applyFont="1" applyFill="1" applyBorder="1"/>
    <xf numFmtId="0" fontId="11" fillId="5" borderId="26" xfId="5" applyFont="1" applyFill="1" applyBorder="1"/>
    <xf numFmtId="0" fontId="11" fillId="0" borderId="55" xfId="5" applyFont="1" applyBorder="1"/>
    <xf numFmtId="37" fontId="29" fillId="0" borderId="55" xfId="8" applyNumberFormat="1" applyFont="1" applyBorder="1" applyAlignment="1">
      <alignment horizontal="center"/>
    </xf>
    <xf numFmtId="0" fontId="37" fillId="0" borderId="0" xfId="0" applyFont="1" applyAlignment="1">
      <alignment horizontal="left" indent="1"/>
    </xf>
    <xf numFmtId="173" fontId="32" fillId="0" borderId="0" xfId="1" applyNumberFormat="1" applyFont="1" applyBorder="1"/>
    <xf numFmtId="0" fontId="37" fillId="0" borderId="22" xfId="0" applyFont="1" applyBorder="1"/>
    <xf numFmtId="37" fontId="9" fillId="4" borderId="0" xfId="0" applyNumberFormat="1" applyFont="1" applyFill="1" applyAlignment="1">
      <alignment horizontal="right"/>
    </xf>
    <xf numFmtId="0" fontId="3" fillId="0" borderId="9" xfId="10" applyFont="1" applyBorder="1"/>
    <xf numFmtId="0" fontId="3" fillId="0" borderId="9" xfId="10" applyFont="1" applyBorder="1" applyAlignment="1">
      <alignment horizontal="right"/>
    </xf>
    <xf numFmtId="14" fontId="5" fillId="2" borderId="0" xfId="0" applyNumberFormat="1" applyFont="1" applyFill="1" applyAlignment="1">
      <alignment horizontal="right"/>
    </xf>
    <xf numFmtId="39" fontId="8" fillId="0" borderId="0" xfId="0" applyNumberFormat="1" applyFont="1" applyAlignment="1">
      <alignment horizontal="right"/>
    </xf>
    <xf numFmtId="173" fontId="14" fillId="0" borderId="57" xfId="0" applyNumberFormat="1" applyFont="1" applyBorder="1"/>
    <xf numFmtId="0" fontId="5" fillId="2" borderId="58" xfId="5" applyFont="1" applyFill="1" applyBorder="1" applyAlignment="1">
      <alignment horizontal="center"/>
    </xf>
    <xf numFmtId="0" fontId="5" fillId="5" borderId="60" xfId="5" applyFont="1" applyFill="1" applyBorder="1"/>
    <xf numFmtId="171" fontId="30" fillId="0" borderId="0" xfId="5" applyNumberFormat="1" applyFont="1" applyAlignment="1">
      <alignment horizontal="center" vertical="center"/>
    </xf>
    <xf numFmtId="171" fontId="30" fillId="0" borderId="58" xfId="5" applyNumberFormat="1" applyFont="1" applyBorder="1" applyAlignment="1">
      <alignment horizontal="center" vertical="center"/>
    </xf>
    <xf numFmtId="0" fontId="30" fillId="0" borderId="58" xfId="5" applyFont="1" applyBorder="1"/>
    <xf numFmtId="171" fontId="11" fillId="0" borderId="0" xfId="5" applyNumberFormat="1" applyFont="1" applyAlignment="1">
      <alignment horizontal="center" vertical="center"/>
    </xf>
    <xf numFmtId="171" fontId="11" fillId="0" borderId="58" xfId="5" applyNumberFormat="1" applyFont="1" applyBorder="1" applyAlignment="1">
      <alignment horizontal="center" vertical="center"/>
    </xf>
    <xf numFmtId="171" fontId="30" fillId="5" borderId="0" xfId="5" applyNumberFormat="1" applyFont="1" applyFill="1" applyAlignment="1">
      <alignment horizontal="center" vertical="center"/>
    </xf>
    <xf numFmtId="171" fontId="30" fillId="5" borderId="58" xfId="5" applyNumberFormat="1" applyFont="1" applyFill="1" applyBorder="1" applyAlignment="1">
      <alignment horizontal="center" vertical="center"/>
    </xf>
    <xf numFmtId="171" fontId="11" fillId="5" borderId="0" xfId="5" applyNumberFormat="1" applyFont="1" applyFill="1" applyAlignment="1">
      <alignment horizontal="center" vertical="center"/>
    </xf>
    <xf numFmtId="171" fontId="11" fillId="5" borderId="58" xfId="5" applyNumberFormat="1" applyFont="1" applyFill="1" applyBorder="1" applyAlignment="1">
      <alignment horizontal="center" vertical="center"/>
    </xf>
    <xf numFmtId="0" fontId="5" fillId="2" borderId="61" xfId="5" applyFont="1" applyFill="1" applyBorder="1" applyAlignment="1">
      <alignment horizontal="center"/>
    </xf>
    <xf numFmtId="0" fontId="5" fillId="5" borderId="63" xfId="5" applyFont="1" applyFill="1" applyBorder="1"/>
    <xf numFmtId="171" fontId="30" fillId="4" borderId="61" xfId="5" applyNumberFormat="1" applyFont="1" applyFill="1" applyBorder="1" applyAlignment="1">
      <alignment horizontal="center" vertical="center"/>
    </xf>
    <xf numFmtId="171" fontId="30" fillId="4" borderId="58" xfId="5" applyNumberFormat="1" applyFont="1" applyFill="1" applyBorder="1" applyAlignment="1">
      <alignment horizontal="center" vertical="center"/>
    </xf>
    <xf numFmtId="174" fontId="11" fillId="4" borderId="61" xfId="5" applyNumberFormat="1" applyFont="1" applyFill="1" applyBorder="1"/>
    <xf numFmtId="174" fontId="11" fillId="4" borderId="58" xfId="5" applyNumberFormat="1" applyFont="1" applyFill="1" applyBorder="1"/>
    <xf numFmtId="171" fontId="11" fillId="0" borderId="61" xfId="5" applyNumberFormat="1" applyFont="1" applyBorder="1" applyAlignment="1">
      <alignment horizontal="center" vertical="center"/>
    </xf>
    <xf numFmtId="171" fontId="30" fillId="5" borderId="61" xfId="5" applyNumberFormat="1" applyFont="1" applyFill="1" applyBorder="1" applyAlignment="1">
      <alignment horizontal="center" vertical="center"/>
    </xf>
    <xf numFmtId="171" fontId="11" fillId="5" borderId="61" xfId="5" applyNumberFormat="1" applyFont="1" applyFill="1" applyBorder="1" applyAlignment="1">
      <alignment horizontal="center" vertical="center"/>
    </xf>
    <xf numFmtId="171" fontId="30" fillId="0" borderId="61" xfId="5" applyNumberFormat="1" applyFont="1" applyBorder="1" applyAlignment="1">
      <alignment horizontal="center" vertical="center"/>
    </xf>
    <xf numFmtId="174" fontId="11" fillId="0" borderId="61" xfId="5" applyNumberFormat="1" applyFont="1" applyBorder="1"/>
    <xf numFmtId="174" fontId="11" fillId="0" borderId="58" xfId="5" applyNumberFormat="1" applyFont="1" applyBorder="1"/>
    <xf numFmtId="171" fontId="11" fillId="0" borderId="61" xfId="2" applyNumberFormat="1" applyFont="1" applyBorder="1" applyAlignment="1">
      <alignment horizontal="center" vertical="center"/>
    </xf>
    <xf numFmtId="9" fontId="30" fillId="5" borderId="61" xfId="2" applyFont="1" applyFill="1" applyBorder="1" applyAlignment="1">
      <alignment horizontal="center" vertical="center"/>
    </xf>
    <xf numFmtId="9" fontId="30" fillId="5" borderId="58" xfId="2" applyFont="1" applyFill="1" applyBorder="1" applyAlignment="1">
      <alignment horizontal="center" vertical="center"/>
    </xf>
    <xf numFmtId="0" fontId="5" fillId="2" borderId="58" xfId="5" applyFont="1" applyFill="1" applyBorder="1"/>
    <xf numFmtId="2" fontId="11" fillId="0" borderId="61" xfId="5" applyNumberFormat="1" applyFont="1" applyBorder="1" applyAlignment="1">
      <alignment horizontal="center" vertical="center"/>
    </xf>
    <xf numFmtId="2" fontId="11" fillId="0" borderId="58" xfId="5" applyNumberFormat="1" applyFont="1" applyBorder="1" applyAlignment="1">
      <alignment horizontal="center" vertical="center"/>
    </xf>
    <xf numFmtId="2" fontId="30" fillId="5" borderId="61" xfId="2" applyNumberFormat="1" applyFont="1" applyFill="1" applyBorder="1" applyAlignment="1">
      <alignment horizontal="center" vertical="center"/>
    </xf>
    <xf numFmtId="2" fontId="30" fillId="5" borderId="58" xfId="2" applyNumberFormat="1" applyFont="1" applyFill="1" applyBorder="1" applyAlignment="1">
      <alignment horizontal="center" vertical="center"/>
    </xf>
    <xf numFmtId="2" fontId="11" fillId="5" borderId="58" xfId="5" applyNumberFormat="1" applyFont="1" applyFill="1" applyBorder="1" applyAlignment="1">
      <alignment horizontal="center" vertical="center"/>
    </xf>
    <xf numFmtId="0" fontId="5" fillId="2" borderId="61" xfId="5" applyFont="1" applyFill="1" applyBorder="1"/>
    <xf numFmtId="4" fontId="11" fillId="0" borderId="61" xfId="5" applyNumberFormat="1" applyFont="1" applyBorder="1" applyAlignment="1">
      <alignment horizontal="center" vertical="center"/>
    </xf>
    <xf numFmtId="2" fontId="11" fillId="0" borderId="58" xfId="2" applyNumberFormat="1" applyFont="1" applyBorder="1" applyAlignment="1">
      <alignment horizontal="center" vertical="center"/>
    </xf>
    <xf numFmtId="4" fontId="11" fillId="0" borderId="61" xfId="5" applyNumberFormat="1" applyFont="1" applyBorder="1" applyAlignment="1">
      <alignment horizontal="center"/>
    </xf>
    <xf numFmtId="2" fontId="11" fillId="0" borderId="58" xfId="2" applyNumberFormat="1" applyFont="1" applyBorder="1" applyAlignment="1">
      <alignment horizontal="center"/>
    </xf>
    <xf numFmtId="0" fontId="6" fillId="5" borderId="4" xfId="5" applyFont="1" applyFill="1" applyBorder="1"/>
    <xf numFmtId="2" fontId="11" fillId="0" borderId="4" xfId="5" applyNumberFormat="1" applyFont="1" applyBorder="1" applyAlignment="1">
      <alignment horizontal="center"/>
    </xf>
    <xf numFmtId="3" fontId="11" fillId="0" borderId="4" xfId="5" applyNumberFormat="1" applyFont="1" applyBorder="1" applyAlignment="1">
      <alignment horizontal="center"/>
    </xf>
    <xf numFmtId="0" fontId="6" fillId="5" borderId="1" xfId="5" applyFont="1" applyFill="1" applyBorder="1"/>
    <xf numFmtId="2" fontId="11" fillId="0" borderId="1" xfId="5" applyNumberFormat="1" applyFont="1" applyBorder="1" applyAlignment="1">
      <alignment horizontal="center"/>
    </xf>
    <xf numFmtId="0" fontId="6" fillId="5" borderId="64" xfId="5" applyFont="1" applyFill="1" applyBorder="1"/>
    <xf numFmtId="2" fontId="11" fillId="0" borderId="64" xfId="5" applyNumberFormat="1" applyFont="1" applyBorder="1" applyAlignment="1">
      <alignment horizontal="center"/>
    </xf>
    <xf numFmtId="171" fontId="11" fillId="0" borderId="0" xfId="2" applyNumberFormat="1" applyFont="1" applyAlignment="1">
      <alignment horizontal="center"/>
    </xf>
    <xf numFmtId="0" fontId="5" fillId="0" borderId="0" xfId="5" applyFont="1" applyAlignment="1">
      <alignment horizontal="center"/>
    </xf>
    <xf numFmtId="0" fontId="6" fillId="0" borderId="0" xfId="5" applyFont="1" applyAlignment="1">
      <alignment horizontal="center"/>
    </xf>
    <xf numFmtId="2" fontId="6" fillId="0" borderId="0" xfId="2" applyNumberFormat="1" applyFont="1" applyFill="1" applyBorder="1" applyAlignment="1"/>
    <xf numFmtId="2" fontId="6" fillId="0" borderId="0" xfId="5" applyNumberFormat="1" applyFont="1"/>
    <xf numFmtId="175" fontId="6" fillId="0" borderId="0" xfId="5" applyNumberFormat="1" applyFont="1" applyAlignment="1">
      <alignment horizontal="center"/>
    </xf>
    <xf numFmtId="2" fontId="30" fillId="0" borderId="61" xfId="5" applyNumberFormat="1" applyFont="1" applyBorder="1" applyAlignment="1">
      <alignment horizontal="center" vertical="center"/>
    </xf>
    <xf numFmtId="2" fontId="30" fillId="0" borderId="58" xfId="5" applyNumberFormat="1" applyFont="1" applyBorder="1" applyAlignment="1">
      <alignment horizontal="center" vertical="center"/>
    </xf>
    <xf numFmtId="4" fontId="30" fillId="0" borderId="61" xfId="5" applyNumberFormat="1" applyFont="1" applyBorder="1" applyAlignment="1">
      <alignment horizontal="center" vertical="center"/>
    </xf>
    <xf numFmtId="2" fontId="30" fillId="0" borderId="58" xfId="2" applyNumberFormat="1" applyFont="1" applyBorder="1" applyAlignment="1">
      <alignment horizontal="center" vertical="center"/>
    </xf>
    <xf numFmtId="2" fontId="30" fillId="0" borderId="0" xfId="2" applyNumberFormat="1" applyFont="1" applyBorder="1" applyAlignment="1">
      <alignment horizontal="center" vertical="center"/>
    </xf>
    <xf numFmtId="4" fontId="30" fillId="0" borderId="0" xfId="5" applyNumberFormat="1" applyFont="1" applyAlignment="1">
      <alignment horizontal="center" vertical="center"/>
    </xf>
    <xf numFmtId="2" fontId="11" fillId="5" borderId="0" xfId="5" applyNumberFormat="1" applyFont="1" applyFill="1" applyAlignment="1">
      <alignment horizontal="center" vertical="center"/>
    </xf>
    <xf numFmtId="0" fontId="8" fillId="0" borderId="54" xfId="5" applyFont="1" applyBorder="1" applyAlignment="1">
      <alignment vertical="center"/>
    </xf>
    <xf numFmtId="0" fontId="33" fillId="0" borderId="54" xfId="5" applyFont="1" applyBorder="1" applyAlignment="1">
      <alignment vertical="center"/>
    </xf>
    <xf numFmtId="171" fontId="11" fillId="0" borderId="54" xfId="5" applyNumberFormat="1" applyFont="1" applyBorder="1" applyAlignment="1">
      <alignment horizontal="center" vertical="center"/>
    </xf>
    <xf numFmtId="171" fontId="11" fillId="0" borderId="59" xfId="5" applyNumberFormat="1" applyFont="1" applyBorder="1" applyAlignment="1">
      <alignment horizontal="center" vertical="center"/>
    </xf>
    <xf numFmtId="171" fontId="11" fillId="0" borderId="62" xfId="5" applyNumberFormat="1" applyFont="1" applyBorder="1" applyAlignment="1">
      <alignment horizontal="center" vertical="center"/>
    </xf>
    <xf numFmtId="171" fontId="11" fillId="0" borderId="62" xfId="2" applyNumberFormat="1" applyFont="1" applyBorder="1" applyAlignment="1">
      <alignment horizontal="center" vertical="center"/>
    </xf>
    <xf numFmtId="2" fontId="11" fillId="0" borderId="62" xfId="5" applyNumberFormat="1" applyFont="1" applyBorder="1" applyAlignment="1">
      <alignment horizontal="center" vertical="center"/>
    </xf>
    <xf numFmtId="2" fontId="11" fillId="0" borderId="59" xfId="5" applyNumberFormat="1" applyFont="1" applyBorder="1" applyAlignment="1">
      <alignment horizontal="center" vertical="center"/>
    </xf>
    <xf numFmtId="4" fontId="11" fillId="0" borderId="62" xfId="5" applyNumberFormat="1" applyFont="1" applyBorder="1" applyAlignment="1">
      <alignment horizontal="center" vertical="center"/>
    </xf>
    <xf numFmtId="2" fontId="11" fillId="0" borderId="59" xfId="2" applyNumberFormat="1" applyFont="1" applyBorder="1" applyAlignment="1">
      <alignment horizontal="center" vertical="center"/>
    </xf>
    <xf numFmtId="2" fontId="11" fillId="0" borderId="54" xfId="2" applyNumberFormat="1" applyFont="1" applyBorder="1" applyAlignment="1">
      <alignment horizontal="center" vertical="center"/>
    </xf>
    <xf numFmtId="4" fontId="11" fillId="0" borderId="54" xfId="5" applyNumberFormat="1" applyFont="1" applyBorder="1" applyAlignment="1">
      <alignment horizontal="center" vertical="center"/>
    </xf>
    <xf numFmtId="0" fontId="61" fillId="0" borderId="0" xfId="0" applyFont="1"/>
    <xf numFmtId="0" fontId="62" fillId="0" borderId="0" xfId="0" applyFont="1"/>
    <xf numFmtId="0" fontId="61" fillId="5" borderId="0" xfId="0" applyFont="1" applyFill="1"/>
    <xf numFmtId="0" fontId="63" fillId="0" borderId="0" xfId="0" applyFont="1" applyAlignment="1">
      <alignment horizontal="left" indent="2"/>
    </xf>
    <xf numFmtId="0" fontId="61" fillId="2" borderId="0" xfId="0" applyFont="1" applyFill="1"/>
    <xf numFmtId="0" fontId="62" fillId="2" borderId="0" xfId="0" applyFont="1" applyFill="1"/>
    <xf numFmtId="0" fontId="62" fillId="5" borderId="0" xfId="0" applyFont="1" applyFill="1"/>
    <xf numFmtId="0" fontId="64" fillId="0" borderId="0" xfId="0" applyFont="1"/>
    <xf numFmtId="0" fontId="65" fillId="0" borderId="0" xfId="0" applyFont="1"/>
    <xf numFmtId="0" fontId="5" fillId="2" borderId="0" xfId="0" applyFont="1" applyFill="1" applyAlignment="1">
      <alignment horizontal="right"/>
    </xf>
    <xf numFmtId="0" fontId="5" fillId="2" borderId="5" xfId="0" applyFont="1" applyFill="1" applyBorder="1" applyAlignment="1">
      <alignment horizontal="right"/>
    </xf>
    <xf numFmtId="167" fontId="5" fillId="2" borderId="5" xfId="0" applyNumberFormat="1" applyFont="1" applyFill="1" applyBorder="1" applyAlignment="1">
      <alignment horizontal="right"/>
    </xf>
    <xf numFmtId="172" fontId="12" fillId="0" borderId="0" xfId="0" applyNumberFormat="1" applyFont="1" applyAlignment="1">
      <alignment horizontal="right"/>
    </xf>
    <xf numFmtId="171" fontId="12" fillId="0" borderId="5" xfId="2" applyNumberFormat="1" applyFont="1" applyBorder="1" applyAlignment="1">
      <alignment horizontal="right"/>
    </xf>
    <xf numFmtId="172" fontId="12" fillId="0" borderId="5" xfId="2" applyNumberFormat="1" applyFont="1" applyBorder="1" applyAlignment="1">
      <alignment horizontal="right"/>
    </xf>
    <xf numFmtId="172" fontId="12" fillId="0" borderId="5" xfId="1" applyNumberFormat="1" applyFont="1" applyBorder="1" applyAlignment="1">
      <alignment horizontal="right"/>
    </xf>
    <xf numFmtId="3" fontId="12" fillId="0" borderId="5" xfId="0" applyNumberFormat="1" applyFont="1" applyBorder="1" applyAlignment="1">
      <alignment horizontal="right"/>
    </xf>
    <xf numFmtId="171" fontId="12" fillId="0" borderId="65" xfId="2" applyNumberFormat="1" applyFont="1" applyBorder="1" applyAlignment="1">
      <alignment horizontal="right"/>
    </xf>
    <xf numFmtId="3" fontId="12" fillId="0" borderId="4" xfId="2" applyNumberFormat="1" applyFont="1" applyBorder="1" applyAlignment="1">
      <alignment horizontal="right"/>
    </xf>
    <xf numFmtId="3" fontId="12" fillId="0" borderId="0" xfId="2" applyNumberFormat="1" applyFont="1" applyBorder="1" applyAlignment="1">
      <alignment horizontal="right"/>
    </xf>
    <xf numFmtId="3" fontId="12" fillId="0" borderId="52" xfId="0" applyNumberFormat="1" applyFont="1" applyBorder="1" applyAlignment="1">
      <alignment horizontal="right"/>
    </xf>
    <xf numFmtId="171" fontId="12" fillId="0" borderId="6" xfId="2" applyNumberFormat="1" applyFont="1" applyBorder="1" applyAlignment="1">
      <alignment horizontal="right"/>
    </xf>
    <xf numFmtId="3" fontId="12" fillId="0" borderId="52" xfId="2" applyNumberFormat="1" applyFont="1" applyBorder="1" applyAlignment="1">
      <alignment horizontal="right"/>
    </xf>
    <xf numFmtId="3" fontId="12" fillId="0" borderId="7" xfId="2" applyNumberFormat="1" applyFont="1" applyBorder="1" applyAlignment="1">
      <alignment horizontal="right"/>
    </xf>
    <xf numFmtId="3" fontId="12" fillId="3" borderId="0" xfId="0" applyNumberFormat="1" applyFont="1" applyFill="1" applyAlignment="1">
      <alignment horizontal="right"/>
    </xf>
    <xf numFmtId="171" fontId="12" fillId="3" borderId="65" xfId="2" applyNumberFormat="1" applyFont="1" applyFill="1" applyBorder="1" applyAlignment="1">
      <alignment horizontal="right"/>
    </xf>
    <xf numFmtId="3" fontId="12" fillId="3" borderId="4" xfId="2" applyNumberFormat="1" applyFont="1" applyFill="1" applyBorder="1" applyAlignment="1">
      <alignment horizontal="right"/>
    </xf>
    <xf numFmtId="179" fontId="0" fillId="0" borderId="0" xfId="0" applyNumberFormat="1"/>
    <xf numFmtId="0" fontId="18" fillId="5" borderId="66" xfId="0" applyFont="1" applyFill="1" applyBorder="1"/>
    <xf numFmtId="0" fontId="18" fillId="5" borderId="67" xfId="0" applyFont="1" applyFill="1" applyBorder="1"/>
    <xf numFmtId="0" fontId="5" fillId="2" borderId="0" xfId="0" applyFont="1" applyFill="1" applyAlignment="1">
      <alignment horizontal="left"/>
    </xf>
    <xf numFmtId="0" fontId="8" fillId="0" borderId="0" xfId="0" applyFont="1" applyAlignment="1">
      <alignment vertical="center" wrapText="1"/>
    </xf>
    <xf numFmtId="10" fontId="0" fillId="0" borderId="8" xfId="0" applyNumberFormat="1" applyBorder="1"/>
    <xf numFmtId="170" fontId="6" fillId="0" borderId="0" xfId="0" applyNumberFormat="1" applyFont="1"/>
    <xf numFmtId="171" fontId="14" fillId="5" borderId="27" xfId="2" applyNumberFormat="1" applyFont="1" applyFill="1" applyBorder="1"/>
    <xf numFmtId="171" fontId="13" fillId="5" borderId="28" xfId="2" applyNumberFormat="1" applyFont="1" applyFill="1" applyBorder="1"/>
    <xf numFmtId="171" fontId="13" fillId="5" borderId="29" xfId="2" applyNumberFormat="1" applyFont="1" applyFill="1" applyBorder="1"/>
    <xf numFmtId="171" fontId="14" fillId="5" borderId="28" xfId="2" applyNumberFormat="1" applyFont="1" applyFill="1" applyBorder="1"/>
    <xf numFmtId="1" fontId="36" fillId="5" borderId="25" xfId="0" applyNumberFormat="1" applyFont="1" applyFill="1" applyBorder="1" applyAlignment="1">
      <alignment horizontal="center"/>
    </xf>
    <xf numFmtId="10" fontId="13" fillId="5" borderId="25" xfId="2" applyNumberFormat="1" applyFont="1" applyFill="1" applyBorder="1" applyAlignment="1">
      <alignment horizontal="center"/>
    </xf>
    <xf numFmtId="10" fontId="37" fillId="5" borderId="25" xfId="0" applyNumberFormat="1" applyFont="1" applyFill="1" applyBorder="1" applyAlignment="1">
      <alignment horizontal="center"/>
    </xf>
    <xf numFmtId="10" fontId="38" fillId="5" borderId="25" xfId="0"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2" applyNumberFormat="1" applyFont="1" applyFill="1" applyBorder="1" applyAlignment="1">
      <alignment horizontal="center"/>
    </xf>
    <xf numFmtId="10" fontId="0" fillId="0" borderId="8" xfId="2" applyNumberFormat="1" applyFont="1" applyBorder="1"/>
    <xf numFmtId="0" fontId="66" fillId="0" borderId="0" xfId="0" applyFont="1" applyAlignment="1">
      <alignment horizontal="left" vertical="top" indent="1"/>
    </xf>
    <xf numFmtId="0" fontId="9" fillId="0" borderId="0" xfId="5" applyFont="1"/>
    <xf numFmtId="172" fontId="12" fillId="0" borderId="51" xfId="1" applyNumberFormat="1" applyFont="1" applyBorder="1" applyAlignment="1">
      <alignment horizontal="right"/>
    </xf>
    <xf numFmtId="0" fontId="5" fillId="2" borderId="0" xfId="5" applyFont="1" applyFill="1" applyAlignment="1">
      <alignment horizontal="left" vertical="center"/>
    </xf>
    <xf numFmtId="0" fontId="5" fillId="2" borderId="0" xfId="5" applyFont="1" applyFill="1" applyAlignment="1">
      <alignment vertical="center"/>
    </xf>
    <xf numFmtId="0" fontId="3" fillId="0" borderId="0" xfId="0" applyFont="1" applyAlignment="1">
      <alignment vertical="center"/>
    </xf>
    <xf numFmtId="0" fontId="5" fillId="2" borderId="0" xfId="5" applyFont="1" applyFill="1" applyAlignment="1">
      <alignment horizontal="center" wrapText="1"/>
    </xf>
    <xf numFmtId="171" fontId="47" fillId="0" borderId="0" xfId="0" applyNumberFormat="1" applyFont="1"/>
    <xf numFmtId="3" fontId="47" fillId="0" borderId="0" xfId="0" applyNumberFormat="1" applyFont="1"/>
    <xf numFmtId="0" fontId="61" fillId="0" borderId="10" xfId="0" applyFont="1" applyBorder="1"/>
    <xf numFmtId="167" fontId="5" fillId="0" borderId="10" xfId="0" applyNumberFormat="1" applyFont="1" applyBorder="1"/>
    <xf numFmtId="169" fontId="0" fillId="0" borderId="10" xfId="1" applyNumberFormat="1" applyFont="1" applyFill="1" applyBorder="1" applyAlignment="1">
      <alignment horizontal="right"/>
    </xf>
    <xf numFmtId="0" fontId="0" fillId="0" borderId="10" xfId="0" applyBorder="1"/>
    <xf numFmtId="166" fontId="5" fillId="0" borderId="10" xfId="0" applyNumberFormat="1" applyFont="1" applyBorder="1"/>
    <xf numFmtId="0" fontId="67" fillId="0" borderId="0" xfId="3" applyFont="1" applyBorder="1" applyAlignment="1"/>
    <xf numFmtId="49" fontId="60" fillId="0" borderId="0" xfId="0" applyNumberFormat="1" applyFont="1"/>
    <xf numFmtId="0" fontId="0" fillId="0" borderId="46" xfId="0" applyBorder="1"/>
    <xf numFmtId="0" fontId="0" fillId="0" borderId="42" xfId="0" applyBorder="1"/>
    <xf numFmtId="0" fontId="0" fillId="0" borderId="13" xfId="0" applyBorder="1"/>
    <xf numFmtId="0" fontId="0" fillId="0" borderId="15" xfId="0" applyBorder="1"/>
    <xf numFmtId="173" fontId="14" fillId="0" borderId="73" xfId="0" applyNumberFormat="1" applyFont="1" applyBorder="1"/>
    <xf numFmtId="173" fontId="14" fillId="0" borderId="74" xfId="0" applyNumberFormat="1" applyFont="1" applyBorder="1"/>
    <xf numFmtId="173" fontId="13" fillId="0" borderId="0" xfId="0" applyNumberFormat="1" applyFont="1"/>
    <xf numFmtId="9" fontId="13"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5" xfId="0" applyBorder="1"/>
    <xf numFmtId="0" fontId="18"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4" fillId="0" borderId="12" xfId="0" applyFont="1" applyBorder="1"/>
    <xf numFmtId="10" fontId="3" fillId="0" borderId="14" xfId="2" applyNumberFormat="1" applyFont="1" applyBorder="1"/>
    <xf numFmtId="10" fontId="3" fillId="0" borderId="16" xfId="2" applyNumberFormat="1" applyFont="1" applyBorder="1"/>
    <xf numFmtId="180" fontId="0" fillId="0" borderId="0" xfId="0" applyNumberFormat="1"/>
    <xf numFmtId="0" fontId="18" fillId="0" borderId="9" xfId="0" applyFont="1" applyBorder="1"/>
    <xf numFmtId="0" fontId="0" fillId="0" borderId="0" xfId="0" applyAlignment="1">
      <alignment horizontal="left" vertical="top" wrapText="1"/>
    </xf>
    <xf numFmtId="0" fontId="19" fillId="0" borderId="8" xfId="0" applyFont="1" applyBorder="1"/>
    <xf numFmtId="9" fontId="14" fillId="9" borderId="0" xfId="0" applyNumberFormat="1" applyFont="1" applyFill="1"/>
    <xf numFmtId="9" fontId="14" fillId="9" borderId="0" xfId="0" applyNumberFormat="1" applyFont="1" applyFill="1" applyAlignment="1">
      <alignment horizontal="right"/>
    </xf>
    <xf numFmtId="9" fontId="14" fillId="9" borderId="0" xfId="0" applyNumberFormat="1" applyFont="1" applyFill="1" applyAlignment="1">
      <alignment horizontal="center"/>
    </xf>
    <xf numFmtId="0" fontId="0" fillId="3" borderId="0" xfId="0" applyFill="1"/>
    <xf numFmtId="0" fontId="33" fillId="3" borderId="0" xfId="0" applyFont="1" applyFill="1"/>
    <xf numFmtId="4" fontId="33" fillId="3" borderId="0" xfId="0" applyNumberFormat="1" applyFont="1" applyFill="1"/>
    <xf numFmtId="9" fontId="0" fillId="3" borderId="0" xfId="2" applyFont="1" applyFill="1"/>
    <xf numFmtId="0" fontId="0" fillId="0" borderId="0" xfId="0" applyAlignment="1">
      <alignment vertical="top"/>
    </xf>
    <xf numFmtId="37" fontId="29" fillId="0" borderId="0" xfId="8" applyNumberFormat="1" applyFont="1" applyAlignment="1">
      <alignment horizontal="center"/>
    </xf>
    <xf numFmtId="37" fontId="33" fillId="0" borderId="0" xfId="8" applyNumberFormat="1" applyFont="1" applyAlignment="1">
      <alignment horizontal="center" wrapText="1"/>
    </xf>
    <xf numFmtId="37" fontId="33" fillId="0" borderId="0" xfId="5" applyNumberFormat="1" applyFont="1" applyAlignment="1">
      <alignment horizontal="center"/>
    </xf>
    <xf numFmtId="37" fontId="29" fillId="0" borderId="17" xfId="8" applyNumberFormat="1" applyFont="1" applyBorder="1" applyAlignment="1">
      <alignment horizontal="center"/>
    </xf>
    <xf numFmtId="0" fontId="11" fillId="2" borderId="45" xfId="5" applyFont="1" applyFill="1" applyBorder="1"/>
    <xf numFmtId="0" fontId="11" fillId="5" borderId="17" xfId="5" applyFont="1" applyFill="1" applyBorder="1"/>
    <xf numFmtId="37" fontId="33" fillId="3" borderId="44" xfId="8" applyNumberFormat="1" applyFont="1" applyFill="1" applyBorder="1" applyAlignment="1">
      <alignment horizontal="center" wrapText="1"/>
    </xf>
    <xf numFmtId="0" fontId="11" fillId="2" borderId="44" xfId="5" applyFont="1" applyFill="1" applyBorder="1"/>
    <xf numFmtId="0" fontId="11" fillId="5" borderId="44" xfId="5" applyFont="1" applyFill="1" applyBorder="1"/>
    <xf numFmtId="0" fontId="57" fillId="2" borderId="17" xfId="5" applyFont="1" applyFill="1" applyBorder="1" applyAlignment="1">
      <alignment horizontal="center" vertical="center" wrapText="1"/>
    </xf>
    <xf numFmtId="0" fontId="58" fillId="5" borderId="17" xfId="5" applyFont="1" applyFill="1" applyBorder="1"/>
    <xf numFmtId="37" fontId="33" fillId="3" borderId="76" xfId="8" applyNumberFormat="1" applyFont="1" applyFill="1" applyBorder="1" applyAlignment="1">
      <alignment horizontal="center"/>
    </xf>
    <xf numFmtId="37" fontId="33" fillId="3" borderId="17" xfId="8" applyNumberFormat="1" applyFont="1" applyFill="1" applyBorder="1" applyAlignment="1">
      <alignment horizontal="center"/>
    </xf>
    <xf numFmtId="37" fontId="33" fillId="3" borderId="17" xfId="8" applyNumberFormat="1" applyFont="1" applyFill="1" applyBorder="1" applyAlignment="1">
      <alignment horizontal="center" wrapText="1"/>
    </xf>
    <xf numFmtId="37" fontId="3" fillId="0" borderId="17" xfId="8" applyNumberFormat="1" applyFont="1" applyBorder="1" applyAlignment="1">
      <alignment horizontal="center" wrapText="1"/>
    </xf>
    <xf numFmtId="39" fontId="33" fillId="3" borderId="17" xfId="8" applyNumberFormat="1" applyFont="1" applyFill="1" applyBorder="1" applyAlignment="1">
      <alignment horizontal="center" wrapText="1"/>
    </xf>
    <xf numFmtId="1" fontId="29" fillId="0" borderId="17" xfId="8" applyNumberFormat="1" applyFont="1" applyBorder="1" applyAlignment="1">
      <alignment horizontal="center" wrapText="1"/>
    </xf>
    <xf numFmtId="0" fontId="11" fillId="2" borderId="17" xfId="5" applyFont="1" applyFill="1" applyBorder="1"/>
    <xf numFmtId="0" fontId="57" fillId="2" borderId="44" xfId="5" applyFont="1" applyFill="1" applyBorder="1" applyAlignment="1">
      <alignment horizontal="center" vertical="center" wrapText="1"/>
    </xf>
    <xf numFmtId="0" fontId="58" fillId="5" borderId="44" xfId="5" applyFont="1" applyFill="1" applyBorder="1"/>
    <xf numFmtId="37" fontId="33" fillId="3" borderId="77" xfId="8" applyNumberFormat="1" applyFont="1" applyFill="1" applyBorder="1" applyAlignment="1">
      <alignment horizontal="center"/>
    </xf>
    <xf numFmtId="37" fontId="33" fillId="3" borderId="44" xfId="8" applyNumberFormat="1" applyFont="1" applyFill="1" applyBorder="1" applyAlignment="1">
      <alignment horizontal="center"/>
    </xf>
    <xf numFmtId="37" fontId="3" fillId="4" borderId="44" xfId="8" applyNumberFormat="1" applyFont="1" applyFill="1" applyBorder="1" applyAlignment="1">
      <alignment horizontal="center" wrapText="1"/>
    </xf>
    <xf numFmtId="39" fontId="33" fillId="3" borderId="44" xfId="8" applyNumberFormat="1" applyFont="1" applyFill="1" applyBorder="1" applyAlignment="1">
      <alignment horizontal="center" wrapText="1"/>
    </xf>
    <xf numFmtId="1" fontId="29" fillId="0" borderId="44" xfId="8" applyNumberFormat="1" applyFont="1" applyBorder="1" applyAlignment="1">
      <alignment horizontal="center" wrapText="1"/>
    </xf>
    <xf numFmtId="37" fontId="8" fillId="0" borderId="44" xfId="8" applyNumberFormat="1" applyFont="1" applyBorder="1" applyAlignment="1">
      <alignment horizontal="center"/>
    </xf>
    <xf numFmtId="37" fontId="8" fillId="3" borderId="44" xfId="8" applyNumberFormat="1" applyFont="1" applyFill="1" applyBorder="1" applyAlignment="1">
      <alignment horizontal="center" wrapText="1"/>
    </xf>
    <xf numFmtId="169" fontId="11" fillId="0" borderId="0" xfId="5" applyNumberFormat="1" applyFont="1" applyAlignment="1">
      <alignment horizontal="center"/>
    </xf>
    <xf numFmtId="10" fontId="11" fillId="0" borderId="0" xfId="2" applyNumberFormat="1" applyFont="1" applyAlignment="1">
      <alignment horizontal="center"/>
    </xf>
    <xf numFmtId="2" fontId="11" fillId="0" borderId="0" xfId="2" applyNumberFormat="1" applyFont="1" applyAlignment="1">
      <alignment horizontal="center"/>
    </xf>
    <xf numFmtId="0" fontId="11"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3" fontId="21" fillId="0" borderId="0" xfId="0" applyNumberFormat="1" applyFont="1"/>
    <xf numFmtId="0" fontId="68" fillId="11" borderId="0" xfId="0" applyFont="1" applyFill="1"/>
    <xf numFmtId="0" fontId="69" fillId="11" borderId="0" xfId="0" applyFont="1" applyFill="1"/>
    <xf numFmtId="0" fontId="69" fillId="12" borderId="0" xfId="0" applyFont="1" applyFill="1"/>
    <xf numFmtId="0" fontId="9" fillId="0" borderId="0" xfId="0" applyFont="1"/>
    <xf numFmtId="4" fontId="0" fillId="0" borderId="0" xfId="0" applyNumberFormat="1"/>
    <xf numFmtId="4" fontId="9" fillId="0" borderId="0" xfId="0" applyNumberFormat="1" applyFont="1"/>
    <xf numFmtId="0" fontId="3" fillId="2" borderId="0" xfId="0" applyFont="1" applyFill="1"/>
    <xf numFmtId="0" fontId="3" fillId="5" borderId="0" xfId="0" applyFont="1" applyFill="1"/>
    <xf numFmtId="0" fontId="3" fillId="0" borderId="10" xfId="0" applyFont="1" applyBorder="1"/>
    <xf numFmtId="0" fontId="3" fillId="0" borderId="10" xfId="0" applyFont="1" applyBorder="1" applyAlignment="1">
      <alignment horizontal="left" vertical="top" wrapText="1"/>
    </xf>
    <xf numFmtId="0" fontId="9" fillId="0" borderId="0" xfId="3" applyFont="1" applyBorder="1"/>
    <xf numFmtId="0" fontId="3" fillId="0" borderId="0" xfId="0" applyFont="1" applyAlignment="1">
      <alignment vertical="top" wrapText="1"/>
    </xf>
    <xf numFmtId="0" fontId="3" fillId="0" borderId="10" xfId="0" applyFont="1" applyBorder="1" applyAlignment="1">
      <alignment vertical="top" wrapText="1"/>
    </xf>
    <xf numFmtId="0" fontId="17" fillId="5" borderId="0" xfId="0" applyFont="1" applyFill="1"/>
    <xf numFmtId="0" fontId="3" fillId="0" borderId="0" xfId="0" applyFont="1" applyAlignment="1">
      <alignment wrapText="1"/>
    </xf>
    <xf numFmtId="0" fontId="9" fillId="0" borderId="0" xfId="0" applyFont="1" applyAlignment="1">
      <alignment horizontal="left" indent="1"/>
    </xf>
    <xf numFmtId="0" fontId="3" fillId="0" borderId="8" xfId="0" applyFont="1" applyBorder="1"/>
    <xf numFmtId="10" fontId="3" fillId="0" borderId="0" xfId="0" applyNumberFormat="1" applyFont="1"/>
    <xf numFmtId="0" fontId="3" fillId="0" borderId="0" xfId="0" applyFont="1" applyAlignment="1">
      <alignment indent="1"/>
    </xf>
    <xf numFmtId="3" fontId="3" fillId="0" borderId="0" xfId="0" applyNumberFormat="1" applyFont="1"/>
    <xf numFmtId="0" fontId="3" fillId="0" borderId="0" xfId="0" applyFont="1" applyAlignment="1">
      <alignment horizontal="left" indent="1"/>
    </xf>
    <xf numFmtId="3" fontId="12" fillId="0" borderId="0" xfId="1" applyNumberFormat="1" applyFont="1" applyFill="1" applyBorder="1" applyAlignment="1">
      <alignment horizontal="right"/>
    </xf>
    <xf numFmtId="0" fontId="5" fillId="0" borderId="0" xfId="0" applyFont="1"/>
    <xf numFmtId="0" fontId="6" fillId="0" borderId="0" xfId="0" applyFont="1"/>
    <xf numFmtId="166" fontId="5" fillId="0" borderId="0" xfId="0" applyNumberFormat="1" applyFont="1"/>
    <xf numFmtId="0" fontId="4" fillId="0" borderId="0" xfId="0" applyFont="1" applyAlignment="1">
      <alignment vertical="center"/>
    </xf>
    <xf numFmtId="171" fontId="13" fillId="0" borderId="0" xfId="4" applyNumberFormat="1" applyFont="1" applyAlignment="1"/>
    <xf numFmtId="0" fontId="30" fillId="2" borderId="0" xfId="5" applyFont="1" applyFill="1"/>
    <xf numFmtId="1" fontId="15" fillId="0" borderId="0" xfId="5" applyNumberFormat="1" applyAlignment="1">
      <alignment vertical="center"/>
    </xf>
    <xf numFmtId="0" fontId="70" fillId="0" borderId="0" xfId="0" applyFont="1"/>
    <xf numFmtId="0" fontId="71" fillId="0" borderId="9" xfId="0" applyFont="1" applyBorder="1"/>
    <xf numFmtId="0" fontId="0" fillId="0" borderId="78" xfId="0" applyBorder="1"/>
    <xf numFmtId="0" fontId="4" fillId="0" borderId="12" xfId="0" applyFont="1" applyBorder="1" applyAlignment="1">
      <alignment horizontal="center"/>
    </xf>
    <xf numFmtId="1" fontId="0" fillId="0" borderId="15" xfId="2" applyNumberFormat="1" applyFont="1" applyBorder="1"/>
    <xf numFmtId="1" fontId="3" fillId="0" borderId="14" xfId="2" applyNumberFormat="1" applyFont="1" applyBorder="1"/>
    <xf numFmtId="1" fontId="3" fillId="0" borderId="16" xfId="2" applyNumberFormat="1" applyFont="1" applyBorder="1"/>
    <xf numFmtId="1" fontId="3" fillId="0" borderId="14" xfId="2" applyNumberFormat="1" applyFont="1" applyFill="1" applyBorder="1"/>
    <xf numFmtId="0" fontId="17" fillId="5" borderId="0" xfId="0" applyFont="1" applyFill="1" applyAlignment="1">
      <alignment vertical="center"/>
    </xf>
    <xf numFmtId="0" fontId="72" fillId="0" borderId="0" xfId="0" applyFont="1"/>
    <xf numFmtId="177" fontId="0" fillId="0" borderId="16" xfId="0" applyNumberFormat="1" applyBorder="1"/>
    <xf numFmtId="0" fontId="18" fillId="5" borderId="0" xfId="0" applyFont="1" applyFill="1"/>
    <xf numFmtId="10" fontId="0" fillId="0" borderId="14" xfId="2" applyNumberFormat="1" applyFont="1" applyFill="1" applyBorder="1"/>
    <xf numFmtId="171" fontId="0" fillId="0" borderId="0" xfId="2" applyNumberFormat="1" applyFont="1" applyAlignment="1">
      <alignment horizontal="center"/>
    </xf>
    <xf numFmtId="171" fontId="0" fillId="0" borderId="15" xfId="2" applyNumberFormat="1" applyFont="1" applyBorder="1" applyAlignment="1">
      <alignment horizontal="center"/>
    </xf>
    <xf numFmtId="171" fontId="0" fillId="0" borderId="15" xfId="2" applyNumberFormat="1" applyFont="1" applyBorder="1"/>
    <xf numFmtId="172" fontId="12" fillId="3" borderId="5" xfId="1" applyNumberFormat="1" applyFont="1" applyFill="1" applyBorder="1" applyAlignment="1">
      <alignment horizontal="right"/>
    </xf>
    <xf numFmtId="2" fontId="3" fillId="0" borderId="0" xfId="1" applyNumberFormat="1" applyFont="1" applyAlignment="1">
      <alignment horizontal="center"/>
    </xf>
    <xf numFmtId="2" fontId="11" fillId="0" borderId="0" xfId="5" applyNumberFormat="1" applyFont="1" applyAlignment="1">
      <alignment horizontal="center"/>
    </xf>
    <xf numFmtId="2" fontId="33" fillId="3" borderId="0" xfId="0" applyNumberFormat="1" applyFont="1" applyFill="1" applyAlignment="1">
      <alignment horizontal="right"/>
    </xf>
    <xf numFmtId="181" fontId="7" fillId="2" borderId="0" xfId="0" applyNumberFormat="1" applyFont="1" applyFill="1" applyAlignment="1">
      <alignment horizontal="right"/>
    </xf>
    <xf numFmtId="0" fontId="3" fillId="0" borderId="0" xfId="0" applyFont="1" applyAlignment="1">
      <alignment horizontal="center"/>
    </xf>
    <xf numFmtId="177" fontId="0" fillId="0" borderId="0" xfId="0" applyNumberFormat="1"/>
    <xf numFmtId="0" fontId="4" fillId="0" borderId="13" xfId="0" applyFont="1" applyBorder="1"/>
    <xf numFmtId="10" fontId="0" fillId="0" borderId="0" xfId="2" applyNumberFormat="1" applyFont="1" applyBorder="1"/>
    <xf numFmtId="0" fontId="0" fillId="0" borderId="14" xfId="0" applyBorder="1"/>
    <xf numFmtId="177" fontId="0" fillId="0" borderId="15" xfId="0" applyNumberFormat="1" applyBorder="1"/>
    <xf numFmtId="0" fontId="4" fillId="0" borderId="14" xfId="0" applyFont="1" applyBorder="1"/>
    <xf numFmtId="177" fontId="4" fillId="0" borderId="0" xfId="0" applyNumberFormat="1" applyFont="1"/>
    <xf numFmtId="171" fontId="3" fillId="0" borderId="0" xfId="2" applyNumberFormat="1" applyFont="1"/>
    <xf numFmtId="3" fontId="11" fillId="0" borderId="0" xfId="0" applyNumberFormat="1" applyFont="1"/>
    <xf numFmtId="0" fontId="66" fillId="0" borderId="8" xfId="0" applyFont="1" applyBorder="1" applyAlignment="1">
      <alignment horizontal="left" vertical="top" indent="1"/>
    </xf>
    <xf numFmtId="4" fontId="33" fillId="0" borderId="0" xfId="0" applyNumberFormat="1" applyFont="1"/>
    <xf numFmtId="171" fontId="0" fillId="0" borderId="0" xfId="0" applyNumberFormat="1"/>
    <xf numFmtId="0" fontId="0" fillId="0" borderId="85" xfId="0" applyBorder="1"/>
    <xf numFmtId="0" fontId="0" fillId="0" borderId="86" xfId="0" applyBorder="1"/>
    <xf numFmtId="0" fontId="0" fillId="0" borderId="87" xfId="0" applyBorder="1"/>
    <xf numFmtId="0" fontId="0" fillId="0" borderId="88" xfId="0" applyBorder="1"/>
    <xf numFmtId="171" fontId="0" fillId="0" borderId="82" xfId="2" applyNumberFormat="1" applyFont="1" applyBorder="1"/>
    <xf numFmtId="171" fontId="0" fillId="0" borderId="82" xfId="0" applyNumberFormat="1" applyBorder="1"/>
    <xf numFmtId="171" fontId="0" fillId="0" borderId="84" xfId="0" applyNumberFormat="1" applyBorder="1"/>
    <xf numFmtId="3" fontId="0" fillId="0" borderId="87" xfId="0" applyNumberFormat="1" applyBorder="1"/>
    <xf numFmtId="171" fontId="0" fillId="0" borderId="87" xfId="2" applyNumberFormat="1" applyFont="1" applyBorder="1"/>
    <xf numFmtId="171" fontId="0" fillId="0" borderId="87" xfId="0" applyNumberFormat="1" applyBorder="1"/>
    <xf numFmtId="0" fontId="0" fillId="0" borderId="98" xfId="0" applyBorder="1" applyAlignment="1">
      <alignment horizontal="center"/>
    </xf>
    <xf numFmtId="0" fontId="0" fillId="0" borderId="100" xfId="0" applyBorder="1"/>
    <xf numFmtId="0" fontId="0" fillId="0" borderId="99" xfId="0" applyBorder="1" applyAlignment="1">
      <alignment horizontal="center"/>
    </xf>
    <xf numFmtId="0" fontId="4" fillId="0" borderId="100" xfId="0" applyFont="1" applyBorder="1" applyAlignment="1">
      <alignment horizontal="right"/>
    </xf>
    <xf numFmtId="0" fontId="0" fillId="0" borderId="84" xfId="0" applyBorder="1"/>
    <xf numFmtId="0" fontId="0" fillId="0" borderId="92" xfId="0" applyBorder="1"/>
    <xf numFmtId="3" fontId="0" fillId="0" borderId="92" xfId="0" applyNumberFormat="1" applyBorder="1"/>
    <xf numFmtId="171" fontId="0" fillId="0" borderId="93" xfId="2" applyNumberFormat="1" applyFont="1" applyBorder="1"/>
    <xf numFmtId="3" fontId="0" fillId="0" borderId="86" xfId="0" applyNumberFormat="1" applyBorder="1"/>
    <xf numFmtId="3" fontId="0" fillId="0" borderId="101" xfId="0" applyNumberFormat="1" applyBorder="1"/>
    <xf numFmtId="171" fontId="0" fillId="0" borderId="43" xfId="2" applyNumberFormat="1" applyFont="1" applyBorder="1"/>
    <xf numFmtId="171" fontId="0" fillId="0" borderId="43" xfId="0" applyNumberFormat="1" applyBorder="1"/>
    <xf numFmtId="171" fontId="0" fillId="0" borderId="88" xfId="2" applyNumberFormat="1" applyFont="1" applyBorder="1"/>
    <xf numFmtId="0" fontId="0" fillId="0" borderId="83" xfId="0" applyBorder="1"/>
    <xf numFmtId="3" fontId="33" fillId="0" borderId="101" xfId="0" applyNumberFormat="1" applyFont="1" applyBorder="1"/>
    <xf numFmtId="3" fontId="33" fillId="0" borderId="92" xfId="0" applyNumberFormat="1" applyFont="1" applyBorder="1"/>
    <xf numFmtId="3" fontId="33" fillId="0" borderId="86" xfId="0" applyNumberFormat="1" applyFont="1" applyBorder="1"/>
    <xf numFmtId="3" fontId="33" fillId="0" borderId="88" xfId="0" applyNumberFormat="1" applyFont="1" applyBorder="1"/>
    <xf numFmtId="171" fontId="0" fillId="0" borderId="9" xfId="2" applyNumberFormat="1" applyFont="1" applyBorder="1"/>
    <xf numFmtId="171" fontId="0" fillId="0" borderId="42" xfId="2" applyNumberFormat="1" applyFont="1" applyBorder="1" applyAlignment="1">
      <alignment horizontal="center"/>
    </xf>
    <xf numFmtId="3" fontId="0" fillId="0" borderId="106" xfId="0" applyNumberFormat="1" applyBorder="1"/>
    <xf numFmtId="3" fontId="75" fillId="0" borderId="101" xfId="0" applyNumberFormat="1" applyFont="1" applyBorder="1"/>
    <xf numFmtId="3" fontId="75" fillId="0" borderId="86" xfId="0" applyNumberFormat="1" applyFont="1" applyBorder="1"/>
    <xf numFmtId="171" fontId="0" fillId="0" borderId="88" xfId="0" applyNumberFormat="1" applyBorder="1"/>
    <xf numFmtId="0" fontId="0" fillId="0" borderId="107" xfId="0" applyBorder="1"/>
    <xf numFmtId="0" fontId="0" fillId="0" borderId="108" xfId="0" applyBorder="1"/>
    <xf numFmtId="0" fontId="0" fillId="0" borderId="109" xfId="0" applyBorder="1"/>
    <xf numFmtId="171" fontId="0" fillId="13" borderId="102" xfId="2" applyNumberFormat="1" applyFont="1" applyFill="1" applyBorder="1"/>
    <xf numFmtId="171" fontId="0" fillId="13" borderId="88" xfId="0" applyNumberFormat="1" applyFill="1" applyBorder="1"/>
    <xf numFmtId="171" fontId="0" fillId="6" borderId="102" xfId="2" applyNumberFormat="1" applyFont="1" applyFill="1" applyBorder="1"/>
    <xf numFmtId="0" fontId="4" fillId="0" borderId="78" xfId="0" applyFont="1" applyBorder="1"/>
    <xf numFmtId="0" fontId="0" fillId="0" borderId="96" xfId="0" applyBorder="1"/>
    <xf numFmtId="0" fontId="0" fillId="0" borderId="114" xfId="0" applyBorder="1"/>
    <xf numFmtId="9" fontId="0" fillId="0" borderId="84" xfId="0" applyNumberFormat="1" applyBorder="1"/>
    <xf numFmtId="9" fontId="0" fillId="0" borderId="85" xfId="0" applyNumberFormat="1" applyBorder="1"/>
    <xf numFmtId="9" fontId="0" fillId="0" borderId="94" xfId="0" applyNumberFormat="1" applyBorder="1"/>
    <xf numFmtId="10" fontId="0" fillId="0" borderId="84" xfId="0" applyNumberFormat="1" applyBorder="1"/>
    <xf numFmtId="10" fontId="0" fillId="0" borderId="85" xfId="0" applyNumberFormat="1" applyBorder="1"/>
    <xf numFmtId="10" fontId="0" fillId="0" borderId="82" xfId="0" applyNumberFormat="1" applyBorder="1"/>
    <xf numFmtId="10" fontId="0" fillId="0" borderId="93" xfId="0" applyNumberFormat="1" applyBorder="1"/>
    <xf numFmtId="0" fontId="4" fillId="0" borderId="110" xfId="0" applyFont="1" applyBorder="1"/>
    <xf numFmtId="10" fontId="0" fillId="0" borderId="104" xfId="0" applyNumberFormat="1" applyBorder="1"/>
    <xf numFmtId="10" fontId="0" fillId="0" borderId="94" xfId="0" applyNumberFormat="1" applyBorder="1"/>
    <xf numFmtId="10" fontId="0" fillId="0" borderId="83" xfId="0" applyNumberFormat="1" applyBorder="1"/>
    <xf numFmtId="171" fontId="0" fillId="0" borderId="85" xfId="0" applyNumberFormat="1" applyBorder="1"/>
    <xf numFmtId="0" fontId="0" fillId="14" borderId="115" xfId="0" applyFill="1" applyBorder="1"/>
    <xf numFmtId="3" fontId="0" fillId="14" borderId="86" xfId="0" applyNumberFormat="1" applyFill="1" applyBorder="1"/>
    <xf numFmtId="3" fontId="0" fillId="14" borderId="87" xfId="0" applyNumberFormat="1" applyFill="1" applyBorder="1"/>
    <xf numFmtId="3" fontId="0" fillId="14" borderId="88" xfId="0" applyNumberFormat="1" applyFill="1" applyBorder="1"/>
    <xf numFmtId="0" fontId="0" fillId="14" borderId="103" xfId="0" applyFill="1" applyBorder="1"/>
    <xf numFmtId="0" fontId="0" fillId="14" borderId="118" xfId="0" applyFill="1" applyBorder="1"/>
    <xf numFmtId="0" fontId="0" fillId="14" borderId="116" xfId="0" applyFill="1" applyBorder="1"/>
    <xf numFmtId="3" fontId="0" fillId="14" borderId="89" xfId="0" applyNumberFormat="1" applyFill="1" applyBorder="1"/>
    <xf numFmtId="3" fontId="0" fillId="14" borderId="90" xfId="0" applyNumberFormat="1" applyFill="1" applyBorder="1"/>
    <xf numFmtId="3" fontId="0" fillId="14" borderId="91" xfId="0" applyNumberFormat="1" applyFill="1" applyBorder="1"/>
    <xf numFmtId="0" fontId="0" fillId="14" borderId="117" xfId="0" applyFill="1" applyBorder="1"/>
    <xf numFmtId="10" fontId="0" fillId="0" borderId="87" xfId="0" applyNumberFormat="1" applyBorder="1"/>
    <xf numFmtId="10" fontId="0" fillId="0" borderId="88" xfId="0" applyNumberFormat="1" applyBorder="1"/>
    <xf numFmtId="0" fontId="0" fillId="0" borderId="115" xfId="0" applyBorder="1" applyAlignment="1">
      <alignment horizontal="right"/>
    </xf>
    <xf numFmtId="10" fontId="0" fillId="0" borderId="103" xfId="0" applyNumberFormat="1" applyBorder="1"/>
    <xf numFmtId="0" fontId="0" fillId="6" borderId="83" xfId="0" applyFill="1" applyBorder="1"/>
    <xf numFmtId="0" fontId="0" fillId="6" borderId="84" xfId="0" applyFill="1" applyBorder="1"/>
    <xf numFmtId="0" fontId="0" fillId="6" borderId="85" xfId="0" applyFill="1" applyBorder="1"/>
    <xf numFmtId="174" fontId="0" fillId="6" borderId="94" xfId="0" applyNumberFormat="1" applyFill="1" applyBorder="1"/>
    <xf numFmtId="174" fontId="0" fillId="6" borderId="84" xfId="0" applyNumberFormat="1" applyFill="1" applyBorder="1"/>
    <xf numFmtId="174" fontId="0" fillId="6" borderId="85" xfId="0" applyNumberFormat="1" applyFill="1" applyBorder="1"/>
    <xf numFmtId="3" fontId="0" fillId="6" borderId="120" xfId="0" applyNumberFormat="1" applyFill="1" applyBorder="1"/>
    <xf numFmtId="3" fontId="0" fillId="6" borderId="44" xfId="0" applyNumberFormat="1" applyFill="1" applyBorder="1"/>
    <xf numFmtId="0" fontId="0" fillId="6" borderId="44" xfId="0" applyFill="1" applyBorder="1"/>
    <xf numFmtId="0" fontId="0" fillId="6" borderId="121" xfId="0" applyFill="1" applyBorder="1"/>
    <xf numFmtId="0" fontId="0" fillId="6" borderId="17" xfId="0" applyFill="1" applyBorder="1"/>
    <xf numFmtId="3" fontId="4" fillId="0" borderId="84" xfId="0" applyNumberFormat="1" applyFont="1" applyBorder="1"/>
    <xf numFmtId="3" fontId="4" fillId="0" borderId="85" xfId="0" applyNumberFormat="1" applyFont="1" applyBorder="1"/>
    <xf numFmtId="0" fontId="0" fillId="0" borderId="86" xfId="0" applyBorder="1" applyAlignment="1">
      <alignment horizontal="right"/>
    </xf>
    <xf numFmtId="10" fontId="4" fillId="0" borderId="87" xfId="0" applyNumberFormat="1" applyFont="1" applyBorder="1"/>
    <xf numFmtId="0" fontId="4" fillId="0" borderId="83" xfId="0" applyFont="1" applyBorder="1"/>
    <xf numFmtId="3" fontId="13" fillId="0" borderId="122" xfId="0" applyNumberFormat="1" applyFont="1" applyBorder="1"/>
    <xf numFmtId="171" fontId="36" fillId="5" borderId="122" xfId="0" applyNumberFormat="1" applyFont="1" applyFill="1" applyBorder="1"/>
    <xf numFmtId="10" fontId="13" fillId="0" borderId="0" xfId="0" applyNumberFormat="1" applyFont="1"/>
    <xf numFmtId="171" fontId="13" fillId="0" borderId="122" xfId="0" applyNumberFormat="1" applyFont="1" applyBorder="1"/>
    <xf numFmtId="171" fontId="14" fillId="0" borderId="0" xfId="0" applyNumberFormat="1" applyFont="1"/>
    <xf numFmtId="171" fontId="52" fillId="0" borderId="0" xfId="0" applyNumberFormat="1" applyFont="1"/>
    <xf numFmtId="171" fontId="76" fillId="0" borderId="0" xfId="0" applyNumberFormat="1" applyFont="1"/>
    <xf numFmtId="3" fontId="52" fillId="0" borderId="0" xfId="0" applyNumberFormat="1" applyFont="1"/>
    <xf numFmtId="3" fontId="52" fillId="0" borderId="26" xfId="0" applyNumberFormat="1" applyFont="1" applyBorder="1"/>
    <xf numFmtId="3" fontId="43" fillId="0" borderId="0" xfId="0" applyNumberFormat="1" applyFont="1"/>
    <xf numFmtId="3" fontId="40" fillId="0" borderId="0" xfId="0" applyNumberFormat="1" applyFont="1"/>
    <xf numFmtId="0" fontId="43" fillId="0" borderId="26" xfId="0" applyFont="1" applyBorder="1"/>
    <xf numFmtId="171" fontId="52" fillId="0" borderId="26" xfId="0" applyNumberFormat="1" applyFont="1" applyBorder="1"/>
    <xf numFmtId="171" fontId="36" fillId="0" borderId="122" xfId="0" applyNumberFormat="1" applyFont="1" applyBorder="1"/>
    <xf numFmtId="10" fontId="0" fillId="0" borderId="0" xfId="0" applyNumberFormat="1" applyAlignment="1">
      <alignment horizontal="right"/>
    </xf>
    <xf numFmtId="0" fontId="0" fillId="14" borderId="87" xfId="0" applyFill="1" applyBorder="1"/>
    <xf numFmtId="0" fontId="0" fillId="14" borderId="88" xfId="0" applyFill="1" applyBorder="1"/>
    <xf numFmtId="0" fontId="0" fillId="0" borderId="110" xfId="0" applyBorder="1" applyAlignment="1">
      <alignment horizontal="right"/>
    </xf>
    <xf numFmtId="0" fontId="0" fillId="0" borderId="119" xfId="0" applyBorder="1" applyAlignment="1">
      <alignment horizontal="right"/>
    </xf>
    <xf numFmtId="0" fontId="4" fillId="0" borderId="95" xfId="0" applyFont="1" applyBorder="1"/>
    <xf numFmtId="0" fontId="33" fillId="3" borderId="0" xfId="2" applyNumberFormat="1" applyFont="1" applyFill="1" applyAlignment="1">
      <alignment horizontal="right"/>
    </xf>
    <xf numFmtId="0" fontId="15" fillId="0" borderId="0" xfId="0" applyFont="1"/>
    <xf numFmtId="0" fontId="9" fillId="15" borderId="0" xfId="0" applyFont="1" applyFill="1"/>
    <xf numFmtId="0" fontId="4" fillId="7" borderId="0" xfId="0" applyFont="1" applyFill="1"/>
    <xf numFmtId="9" fontId="4" fillId="8" borderId="0" xfId="0" applyNumberFormat="1" applyFont="1" applyFill="1" applyAlignment="1">
      <alignment horizontal="right"/>
    </xf>
    <xf numFmtId="3" fontId="0" fillId="0" borderId="0" xfId="0" applyNumberFormat="1" applyAlignment="1">
      <alignment horizontal="right"/>
    </xf>
    <xf numFmtId="182" fontId="8" fillId="0" borderId="0" xfId="0" applyNumberFormat="1" applyFont="1" applyAlignment="1">
      <alignment horizontal="right"/>
    </xf>
    <xf numFmtId="2" fontId="0" fillId="0" borderId="0" xfId="0" applyNumberFormat="1" applyAlignment="1">
      <alignment horizontal="right"/>
    </xf>
    <xf numFmtId="3" fontId="33" fillId="3" borderId="0" xfId="0" applyNumberFormat="1" applyFont="1" applyFill="1" applyAlignment="1">
      <alignment horizontal="right"/>
    </xf>
    <xf numFmtId="37" fontId="0" fillId="0" borderId="0" xfId="0" applyNumberFormat="1" applyAlignment="1">
      <alignment horizontal="center"/>
    </xf>
    <xf numFmtId="1" fontId="0" fillId="0" borderId="0" xfId="0" applyNumberFormat="1" applyAlignment="1">
      <alignment horizontal="right"/>
    </xf>
    <xf numFmtId="10" fontId="47" fillId="0" borderId="0" xfId="1" applyNumberFormat="1" applyFont="1" applyBorder="1"/>
    <xf numFmtId="173" fontId="14" fillId="13" borderId="0" xfId="0" applyNumberFormat="1" applyFont="1" applyFill="1"/>
    <xf numFmtId="0" fontId="9" fillId="8" borderId="11" xfId="0" applyFont="1" applyFill="1" applyBorder="1"/>
    <xf numFmtId="0" fontId="9" fillId="15" borderId="0" xfId="0" applyFont="1" applyFill="1" applyAlignment="1">
      <alignment horizontal="right"/>
    </xf>
    <xf numFmtId="0" fontId="9" fillId="16" borderId="0" xfId="0" applyFont="1" applyFill="1" applyAlignment="1">
      <alignment horizontal="right"/>
    </xf>
    <xf numFmtId="0" fontId="20" fillId="8" borderId="0" xfId="5" applyFont="1" applyFill="1" applyAlignment="1">
      <alignment horizontal="center" vertical="center"/>
    </xf>
    <xf numFmtId="1" fontId="4" fillId="8" borderId="11" xfId="0" applyNumberFormat="1" applyFont="1" applyFill="1" applyBorder="1"/>
    <xf numFmtId="0" fontId="9" fillId="8" borderId="0" xfId="0" applyFont="1" applyFill="1" applyAlignment="1">
      <alignment horizontal="right"/>
    </xf>
    <xf numFmtId="174" fontId="4" fillId="7" borderId="0" xfId="0" applyNumberFormat="1" applyFont="1" applyFill="1" applyAlignment="1">
      <alignment horizontal="right"/>
    </xf>
    <xf numFmtId="0" fontId="4" fillId="8" borderId="0" xfId="0" applyFont="1" applyFill="1" applyAlignment="1">
      <alignment horizontal="right"/>
    </xf>
    <xf numFmtId="171" fontId="0" fillId="0" borderId="0" xfId="0" applyNumberFormat="1" applyAlignment="1">
      <alignment horizontal="right"/>
    </xf>
    <xf numFmtId="1" fontId="0" fillId="19" borderId="0" xfId="0" applyNumberFormat="1" applyFill="1" applyAlignment="1">
      <alignment horizontal="right"/>
    </xf>
    <xf numFmtId="37" fontId="0" fillId="19" borderId="0" xfId="0" applyNumberFormat="1" applyFill="1" applyAlignment="1">
      <alignment horizontal="right"/>
    </xf>
    <xf numFmtId="10" fontId="0" fillId="19" borderId="0" xfId="0" applyNumberFormat="1" applyFill="1" applyAlignment="1">
      <alignment horizontal="right"/>
    </xf>
    <xf numFmtId="0" fontId="26" fillId="13" borderId="0" xfId="0" applyFont="1" applyFill="1"/>
    <xf numFmtId="10" fontId="38" fillId="0" borderId="0" xfId="1" applyNumberFormat="1" applyFont="1" applyFill="1" applyAlignment="1">
      <alignment wrapText="1"/>
    </xf>
    <xf numFmtId="174" fontId="0" fillId="0" borderId="0" xfId="0" applyNumberFormat="1" applyAlignment="1">
      <alignment horizontal="right"/>
    </xf>
    <xf numFmtId="0" fontId="14" fillId="13" borderId="0" xfId="0" applyFont="1" applyFill="1"/>
    <xf numFmtId="10" fontId="50" fillId="0" borderId="0" xfId="0" applyNumberFormat="1" applyFont="1"/>
    <xf numFmtId="10" fontId="49" fillId="5" borderId="0" xfId="0" applyNumberFormat="1" applyFont="1" applyFill="1"/>
    <xf numFmtId="10" fontId="50" fillId="0" borderId="0" xfId="2" applyNumberFormat="1" applyFont="1" applyFill="1" applyBorder="1"/>
    <xf numFmtId="10" fontId="50" fillId="0" borderId="26" xfId="2" applyNumberFormat="1" applyFont="1" applyFill="1" applyBorder="1"/>
    <xf numFmtId="10" fontId="33" fillId="5" borderId="0" xfId="2" applyNumberFormat="1" applyFont="1" applyFill="1"/>
    <xf numFmtId="183" fontId="0" fillId="3" borderId="24" xfId="2" applyNumberFormat="1" applyFont="1" applyFill="1" applyBorder="1"/>
    <xf numFmtId="173" fontId="13" fillId="0" borderId="122" xfId="1" applyNumberFormat="1" applyFont="1" applyFill="1" applyBorder="1"/>
    <xf numFmtId="171" fontId="49" fillId="5" borderId="122" xfId="2" applyNumberFormat="1" applyFont="1" applyFill="1" applyBorder="1"/>
    <xf numFmtId="0" fontId="0" fillId="0" borderId="0" xfId="2" applyNumberFormat="1" applyFont="1"/>
    <xf numFmtId="0" fontId="0" fillId="0" borderId="15" xfId="2" applyNumberFormat="1" applyFont="1" applyBorder="1"/>
    <xf numFmtId="184" fontId="12" fillId="0" borderId="0" xfId="1" applyNumberFormat="1" applyFont="1" applyAlignment="1">
      <alignment horizontal="right"/>
    </xf>
    <xf numFmtId="165" fontId="12" fillId="0" borderId="2" xfId="1" applyNumberFormat="1" applyFont="1" applyBorder="1" applyAlignment="1">
      <alignment horizontal="right"/>
    </xf>
    <xf numFmtId="185" fontId="12" fillId="3" borderId="0" xfId="1" applyNumberFormat="1" applyFont="1" applyFill="1" applyAlignment="1">
      <alignment horizontal="right"/>
    </xf>
    <xf numFmtId="10" fontId="0" fillId="0" borderId="0" xfId="1" applyNumberFormat="1" applyFont="1" applyBorder="1" applyAlignment="1">
      <alignment horizontal="right"/>
    </xf>
    <xf numFmtId="0" fontId="0" fillId="0" borderId="123" xfId="0" applyBorder="1"/>
    <xf numFmtId="0" fontId="0" fillId="0" borderId="124" xfId="0" applyBorder="1"/>
    <xf numFmtId="171" fontId="0" fillId="13" borderId="125" xfId="2" applyNumberFormat="1" applyFont="1" applyFill="1" applyBorder="1"/>
    <xf numFmtId="171" fontId="0" fillId="0" borderId="99" xfId="2" applyNumberFormat="1" applyFont="1" applyBorder="1"/>
    <xf numFmtId="0" fontId="0" fillId="0" borderId="82" xfId="0" applyBorder="1"/>
    <xf numFmtId="171" fontId="0" fillId="0" borderId="93" xfId="0" applyNumberFormat="1" applyBorder="1"/>
    <xf numFmtId="10" fontId="0" fillId="13" borderId="87" xfId="0" applyNumberFormat="1" applyFill="1" applyBorder="1"/>
    <xf numFmtId="10" fontId="0" fillId="13" borderId="88" xfId="0" applyNumberFormat="1" applyFill="1" applyBorder="1"/>
    <xf numFmtId="171" fontId="4" fillId="0" borderId="101" xfId="0" applyNumberFormat="1" applyFont="1" applyBorder="1"/>
    <xf numFmtId="0" fontId="0" fillId="0" borderId="43" xfId="0" applyBorder="1"/>
    <xf numFmtId="171" fontId="0" fillId="0" borderId="102" xfId="0" applyNumberFormat="1" applyBorder="1"/>
    <xf numFmtId="0" fontId="0" fillId="0" borderId="93" xfId="0" applyBorder="1"/>
    <xf numFmtId="0" fontId="10" fillId="0" borderId="0" xfId="3" applyAlignment="1">
      <alignment horizontal="left" indent="1"/>
    </xf>
    <xf numFmtId="0" fontId="10" fillId="0" borderId="0" xfId="3" applyAlignment="1">
      <alignment horizontal="left" vertical="top" indent="1"/>
    </xf>
    <xf numFmtId="14" fontId="79" fillId="0" borderId="11" xfId="0" applyNumberFormat="1" applyFont="1" applyBorder="1" applyAlignment="1">
      <alignment vertical="top" wrapText="1"/>
    </xf>
    <xf numFmtId="0" fontId="80" fillId="0" borderId="0" xfId="3" applyFont="1" applyAlignment="1">
      <alignment vertical="top" wrapText="1"/>
    </xf>
    <xf numFmtId="1" fontId="0" fillId="0" borderId="0" xfId="0" applyNumberFormat="1" applyAlignment="1">
      <alignment vertical="top"/>
    </xf>
    <xf numFmtId="0" fontId="0" fillId="0" borderId="0" xfId="0" applyAlignment="1">
      <alignment horizontal="left" vertical="top" indent="1"/>
    </xf>
    <xf numFmtId="0" fontId="0" fillId="20" borderId="0" xfId="0" applyFill="1"/>
    <xf numFmtId="179" fontId="0" fillId="20" borderId="0" xfId="0" applyNumberFormat="1" applyFill="1"/>
    <xf numFmtId="0" fontId="0" fillId="20" borderId="0" xfId="0" applyFill="1" applyAlignment="1">
      <alignment horizontal="right"/>
    </xf>
    <xf numFmtId="1" fontId="0" fillId="20" borderId="0" xfId="0" applyNumberFormat="1" applyFill="1" applyAlignment="1">
      <alignment horizontal="right"/>
    </xf>
    <xf numFmtId="1" fontId="0" fillId="0" borderId="0" xfId="0" applyNumberFormat="1" applyAlignment="1">
      <alignment horizontal="center"/>
    </xf>
    <xf numFmtId="0" fontId="11" fillId="0" borderId="0" xfId="5" applyFont="1" applyAlignment="1">
      <alignment horizontal="left"/>
    </xf>
    <xf numFmtId="0" fontId="79" fillId="0" borderId="0" xfId="0" applyFont="1" applyAlignment="1">
      <alignment vertical="top" wrapText="1"/>
    </xf>
    <xf numFmtId="0" fontId="79" fillId="0" borderId="0" xfId="5" applyFont="1" applyAlignment="1">
      <alignment vertical="top" wrapText="1"/>
    </xf>
    <xf numFmtId="0" fontId="81" fillId="0" borderId="0" xfId="0" applyFont="1" applyAlignment="1">
      <alignment horizontal="right"/>
    </xf>
    <xf numFmtId="0" fontId="82" fillId="0" borderId="0" xfId="0" applyFont="1"/>
    <xf numFmtId="171" fontId="82" fillId="0" borderId="0" xfId="2" applyNumberFormat="1" applyFont="1"/>
    <xf numFmtId="171" fontId="82" fillId="0" borderId="4" xfId="2" applyNumberFormat="1" applyFont="1" applyBorder="1"/>
    <xf numFmtId="171" fontId="82" fillId="0" borderId="4" xfId="2" applyNumberFormat="1" applyFont="1" applyFill="1" applyBorder="1"/>
    <xf numFmtId="171" fontId="82" fillId="3" borderId="0" xfId="2" applyNumberFormat="1" applyFont="1" applyFill="1"/>
    <xf numFmtId="171" fontId="82" fillId="0" borderId="17" xfId="2" applyNumberFormat="1" applyFont="1" applyBorder="1"/>
    <xf numFmtId="171" fontId="82" fillId="0" borderId="0" xfId="2" applyNumberFormat="1" applyFont="1" applyFill="1"/>
    <xf numFmtId="171" fontId="82" fillId="0" borderId="0" xfId="0" applyNumberFormat="1" applyFont="1" applyAlignment="1">
      <alignment horizontal="right"/>
    </xf>
    <xf numFmtId="0" fontId="0" fillId="0" borderId="0" xfId="0" applyAlignment="1">
      <alignment vertical="center"/>
    </xf>
    <xf numFmtId="0" fontId="8" fillId="0" borderId="0" xfId="0" applyFont="1" applyAlignment="1">
      <alignment horizontal="center" vertical="center" wrapText="1"/>
    </xf>
    <xf numFmtId="0" fontId="8" fillId="0" borderId="8" xfId="0" applyFont="1" applyBorder="1" applyAlignment="1">
      <alignment horizontal="center" vertical="center" wrapText="1"/>
    </xf>
    <xf numFmtId="0" fontId="12" fillId="0" borderId="69" xfId="0" applyFont="1" applyBorder="1" applyAlignment="1">
      <alignment horizontal="left" vertical="center" wrapText="1"/>
    </xf>
    <xf numFmtId="0" fontId="12" fillId="0" borderId="70" xfId="0" applyFont="1" applyBorder="1" applyAlignment="1">
      <alignment horizontal="left" vertical="center" wrapText="1"/>
    </xf>
    <xf numFmtId="0" fontId="12" fillId="0" borderId="0" xfId="0" applyFont="1" applyAlignment="1">
      <alignment horizontal="left" vertical="center" wrapText="1"/>
    </xf>
    <xf numFmtId="0" fontId="12" fillId="0" borderId="68" xfId="0" applyFont="1" applyBorder="1" applyAlignment="1">
      <alignment horizontal="left" vertical="center" wrapText="1"/>
    </xf>
    <xf numFmtId="0" fontId="77" fillId="0" borderId="71" xfId="0" applyFont="1" applyBorder="1" applyAlignment="1">
      <alignment horizontal="left" vertical="center" wrapText="1"/>
    </xf>
    <xf numFmtId="0" fontId="12" fillId="0" borderId="72" xfId="0" applyFont="1" applyBorder="1" applyAlignment="1">
      <alignment horizontal="left" vertical="center" wrapText="1"/>
    </xf>
    <xf numFmtId="0" fontId="3" fillId="0" borderId="0" xfId="0" applyFont="1" applyAlignment="1">
      <alignment horizontal="left" vertical="top" wrapText="1"/>
    </xf>
    <xf numFmtId="0" fontId="77" fillId="0" borderId="69" xfId="0" applyFont="1" applyBorder="1" applyAlignment="1">
      <alignment horizontal="left" vertical="center" wrapText="1"/>
    </xf>
    <xf numFmtId="0" fontId="77" fillId="0" borderId="0" xfId="0" applyFont="1" applyAlignment="1">
      <alignment horizontal="left" wrapText="1"/>
    </xf>
    <xf numFmtId="0" fontId="3" fillId="0" borderId="79" xfId="0" applyFont="1" applyBorder="1" applyAlignment="1">
      <alignment horizontal="center"/>
    </xf>
    <xf numFmtId="0" fontId="3" fillId="0" borderId="0" xfId="0" applyFont="1" applyAlignment="1">
      <alignment horizontal="center"/>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xf>
    <xf numFmtId="0" fontId="0" fillId="0" borderId="0" xfId="0" applyAlignment="1">
      <alignment horizontal="left" vertical="center" wrapText="1"/>
    </xf>
    <xf numFmtId="0" fontId="7" fillId="2" borderId="0" xfId="0" applyFont="1" applyFill="1" applyAlignment="1">
      <alignment horizontal="center"/>
    </xf>
    <xf numFmtId="0" fontId="5" fillId="2" borderId="0" xfId="5" applyFont="1" applyFill="1" applyAlignment="1">
      <alignment horizontal="center" wrapText="1"/>
    </xf>
    <xf numFmtId="0" fontId="5" fillId="2" borderId="0" xfId="5" applyFont="1" applyFill="1" applyAlignment="1">
      <alignment horizontal="center"/>
    </xf>
    <xf numFmtId="0" fontId="5" fillId="2" borderId="58" xfId="5" applyFont="1" applyFill="1" applyBorder="1" applyAlignment="1">
      <alignment horizontal="center"/>
    </xf>
    <xf numFmtId="0" fontId="5" fillId="2" borderId="62" xfId="5" applyFont="1" applyFill="1" applyBorder="1" applyAlignment="1">
      <alignment horizontal="center"/>
    </xf>
    <xf numFmtId="0" fontId="5" fillId="2" borderId="59" xfId="5" applyFont="1" applyFill="1" applyBorder="1" applyAlignment="1">
      <alignment horizontal="center"/>
    </xf>
    <xf numFmtId="0" fontId="5" fillId="2" borderId="54" xfId="5" applyFont="1" applyFill="1" applyBorder="1" applyAlignment="1">
      <alignment horizontal="center"/>
    </xf>
    <xf numFmtId="0" fontId="0" fillId="0" borderId="11" xfId="0" applyBorder="1" applyAlignment="1">
      <alignment horizontal="left" vertical="top" wrapText="1"/>
    </xf>
    <xf numFmtId="0" fontId="4" fillId="0" borderId="11" xfId="0" applyFont="1" applyBorder="1" applyAlignment="1">
      <alignment horizontal="center" vertical="center" wrapText="1"/>
    </xf>
    <xf numFmtId="0" fontId="4"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5" fillId="0" borderId="0" xfId="5" applyAlignment="1">
      <alignment horizontal="center" vertical="center" wrapText="1"/>
    </xf>
    <xf numFmtId="0" fontId="78" fillId="0" borderId="0" xfId="5" applyFont="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center" vertical="center" wrapText="1"/>
    </xf>
    <xf numFmtId="0" fontId="77" fillId="0" borderId="0" xfId="5" applyFont="1" applyAlignment="1">
      <alignment horizontal="center" vertical="center" wrapText="1"/>
    </xf>
    <xf numFmtId="0" fontId="15" fillId="0" borderId="12" xfId="0" applyFont="1" applyBorder="1" applyAlignment="1">
      <alignment horizontal="center" vertical="center" wrapText="1"/>
    </xf>
    <xf numFmtId="0" fontId="77" fillId="0" borderId="0" xfId="0" applyFont="1" applyAlignment="1">
      <alignment horizontal="center" vertical="center" wrapText="1"/>
    </xf>
    <xf numFmtId="0" fontId="4" fillId="0" borderId="0" xfId="0" applyFont="1" applyAlignment="1">
      <alignment horizontal="left" vertical="center"/>
    </xf>
    <xf numFmtId="0" fontId="4" fillId="0" borderId="83" xfId="0" applyFont="1" applyBorder="1" applyAlignment="1">
      <alignment horizontal="center" vertical="center"/>
    </xf>
    <xf numFmtId="0" fontId="4" fillId="0" borderId="92" xfId="0" applyFont="1" applyBorder="1" applyAlignment="1">
      <alignment horizontal="center" vertical="center"/>
    </xf>
    <xf numFmtId="0" fontId="4" fillId="0" borderId="86" xfId="0" applyFont="1" applyBorder="1" applyAlignment="1">
      <alignment horizontal="center" vertical="center"/>
    </xf>
    <xf numFmtId="0" fontId="4" fillId="0" borderId="95" xfId="0" applyFont="1" applyBorder="1" applyAlignment="1">
      <alignment horizontal="center"/>
    </xf>
    <xf numFmtId="0" fontId="4" fillId="0" borderId="0" xfId="0" applyFont="1" applyAlignment="1">
      <alignment horizontal="center"/>
    </xf>
    <xf numFmtId="0" fontId="4" fillId="0" borderId="78" xfId="0" applyFont="1" applyBorder="1" applyAlignment="1">
      <alignment horizontal="center"/>
    </xf>
    <xf numFmtId="0" fontId="4" fillId="0" borderId="75" xfId="0" applyFont="1" applyBorder="1" applyAlignment="1">
      <alignment horizontal="center"/>
    </xf>
    <xf numFmtId="0" fontId="0" fillId="0" borderId="105" xfId="0" applyBorder="1" applyAlignment="1">
      <alignment horizontal="center" wrapText="1"/>
    </xf>
    <xf numFmtId="0" fontId="0" fillId="0" borderId="106" xfId="0" applyBorder="1" applyAlignment="1">
      <alignment horizontal="center" wrapText="1"/>
    </xf>
    <xf numFmtId="0" fontId="4" fillId="0" borderId="96" xfId="0" applyFont="1" applyBorder="1" applyAlignment="1">
      <alignment horizontal="center" vertical="center"/>
    </xf>
    <xf numFmtId="0" fontId="4" fillId="0" borderId="97" xfId="0" applyFont="1" applyBorder="1" applyAlignment="1">
      <alignment horizontal="center" vertical="center"/>
    </xf>
    <xf numFmtId="0" fontId="0" fillId="0" borderId="110" xfId="0" applyBorder="1" applyAlignment="1">
      <alignment horizontal="center"/>
    </xf>
    <xf numFmtId="0" fontId="0" fillId="0" borderId="105" xfId="0" applyBorder="1" applyAlignment="1">
      <alignment horizontal="center"/>
    </xf>
    <xf numFmtId="0" fontId="0" fillId="0" borderId="111" xfId="0" applyBorder="1" applyAlignment="1">
      <alignment horizontal="center"/>
    </xf>
    <xf numFmtId="0" fontId="0" fillId="0" borderId="112" xfId="0" applyBorder="1" applyAlignment="1">
      <alignment horizontal="center"/>
    </xf>
    <xf numFmtId="0" fontId="0" fillId="0" borderId="9" xfId="0" applyBorder="1" applyAlignment="1">
      <alignment horizontal="center"/>
    </xf>
    <xf numFmtId="0" fontId="0" fillId="0" borderId="113" xfId="0" applyBorder="1" applyAlignment="1">
      <alignment horizontal="center"/>
    </xf>
    <xf numFmtId="0" fontId="0" fillId="0" borderId="83" xfId="0" applyBorder="1" applyAlignment="1">
      <alignment horizontal="center"/>
    </xf>
    <xf numFmtId="0" fontId="0" fillId="0" borderId="84" xfId="0" applyBorder="1" applyAlignment="1">
      <alignment horizontal="center"/>
    </xf>
    <xf numFmtId="0" fontId="0" fillId="0" borderId="85" xfId="0" applyBorder="1" applyAlignment="1">
      <alignment horizontal="center"/>
    </xf>
    <xf numFmtId="0" fontId="0" fillId="0" borderId="0" xfId="0" applyAlignment="1">
      <alignment horizontal="center"/>
    </xf>
    <xf numFmtId="10" fontId="0" fillId="0" borderId="100" xfId="0" applyNumberFormat="1" applyBorder="1" applyAlignment="1">
      <alignment horizontal="center"/>
    </xf>
    <xf numFmtId="10" fontId="0" fillId="0" borderId="103" xfId="0" applyNumberFormat="1" applyBorder="1" applyAlignment="1">
      <alignment horizontal="center"/>
    </xf>
    <xf numFmtId="3" fontId="0" fillId="0" borderId="80" xfId="0" applyNumberFormat="1" applyBorder="1" applyAlignment="1">
      <alignment horizontal="center"/>
    </xf>
    <xf numFmtId="3" fontId="0" fillId="0" borderId="13" xfId="0" applyNumberFormat="1" applyBorder="1" applyAlignment="1">
      <alignment horizontal="center"/>
    </xf>
    <xf numFmtId="3" fontId="0" fillId="0" borderId="81" xfId="0" applyNumberFormat="1" applyBorder="1" applyAlignment="1">
      <alignment horizontal="center"/>
    </xf>
    <xf numFmtId="3" fontId="0" fillId="14" borderId="87" xfId="0" applyNumberFormat="1" applyFill="1" applyBorder="1" applyAlignment="1">
      <alignment horizontal="center"/>
    </xf>
    <xf numFmtId="10" fontId="0" fillId="0" borderId="82" xfId="0" applyNumberFormat="1" applyBorder="1" applyAlignment="1">
      <alignment horizontal="center"/>
    </xf>
    <xf numFmtId="0" fontId="0" fillId="6" borderId="84" xfId="0" applyFill="1" applyBorder="1" applyAlignment="1">
      <alignment horizontal="center"/>
    </xf>
    <xf numFmtId="10" fontId="0" fillId="0" borderId="87" xfId="0" applyNumberFormat="1" applyBorder="1" applyAlignment="1">
      <alignment horizontal="center"/>
    </xf>
    <xf numFmtId="0" fontId="15" fillId="17" borderId="0" xfId="0" applyFont="1" applyFill="1" applyAlignment="1"/>
    <xf numFmtId="0" fontId="15" fillId="16" borderId="0" xfId="0" applyFont="1" applyFill="1" applyAlignment="1"/>
    <xf numFmtId="0" fontId="15" fillId="15" borderId="0" xfId="0" applyFont="1" applyFill="1" applyAlignment="1"/>
    <xf numFmtId="0" fontId="15" fillId="7" borderId="0" xfId="0" applyFont="1" applyFill="1" applyAlignment="1"/>
    <xf numFmtId="0" fontId="15" fillId="13" borderId="0" xfId="0" applyFont="1" applyFill="1" applyAlignment="1"/>
    <xf numFmtId="0" fontId="15" fillId="8" borderId="0" xfId="0" applyFont="1" applyFill="1" applyAlignment="1"/>
    <xf numFmtId="0" fontId="15" fillId="17" borderId="12" xfId="0" applyFont="1" applyFill="1" applyBorder="1" applyAlignment="1"/>
    <xf numFmtId="0" fontId="59" fillId="18" borderId="0" xfId="0" applyFont="1" applyFill="1" applyAlignment="1"/>
  </cellXfs>
  <cellStyles count="14">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Hyperlink" xfId="3" builtinId="8"/>
    <cellStyle name="Normal" xfId="0" builtinId="0"/>
    <cellStyle name="Normal 2" xfId="8" xr:uid="{00000000-0005-0000-0000-000012000000}"/>
    <cellStyle name="Normal 2 2" xfId="5" xr:uid="{00000000-0005-0000-0000-000013000000}"/>
    <cellStyle name="Normal 3" xfId="13" xr:uid="{F77CA9C6-5815-46D9-89FF-C98C3C651732}"/>
    <cellStyle name="Normal 3 2" xfId="6" xr:uid="{00000000-0005-0000-0000-000014000000}"/>
    <cellStyle name="Normal 6" xfId="10" xr:uid="{00000000-0005-0000-0000-000015000000}"/>
    <cellStyle name="Percent" xfId="2" builtinId="5"/>
    <cellStyle name="Percent 2" xfId="4" xr:uid="{00000000-0005-0000-0000-000017000000}"/>
    <cellStyle name="Porcentaje 3" xfId="7" xr:uid="{00000000-0005-0000-0000-000018000000}"/>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0/07/relationships/rdRichValueWebImage" Target="richData/rdRichValueWebImage.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Array" Target="richData/rdarray.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Inputs!$B$109</c:f>
              <c:strCache>
                <c:ptCount val="1"/>
                <c:pt idx="0">
                  <c:v>Fixed</c:v>
                </c:pt>
              </c:strCache>
            </c:strRef>
          </c:tx>
          <c:spPr>
            <a:solidFill>
              <a:schemeClr val="accent1"/>
            </a:solidFill>
            <a:ln>
              <a:noFill/>
            </a:ln>
            <a:effectLst/>
          </c:spPr>
          <c:invertIfNegative val="0"/>
          <c:cat>
            <c:numRef>
              <c:f>Inputs!$H$106:$Q$106</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0.00</c:formatCode>
                <c:ptCount val="10"/>
                <c:pt idx="0">
                  <c:v>4291.4610778443111</c:v>
                </c:pt>
                <c:pt idx="1">
                  <c:v>5358.5868263473049</c:v>
                </c:pt>
                <c:pt idx="2">
                  <c:v>5405.3532934131727</c:v>
                </c:pt>
                <c:pt idx="3">
                  <c:v>3284.7065868263467</c:v>
                </c:pt>
                <c:pt idx="4">
                  <c:v>4188.5748502994002</c:v>
                </c:pt>
                <c:pt idx="5">
                  <c:v>5036.4934131736518</c:v>
                </c:pt>
                <c:pt idx="6">
                  <c:v>5036.4934131736518</c:v>
                </c:pt>
                <c:pt idx="7">
                  <c:v>5036.4934131736518</c:v>
                </c:pt>
                <c:pt idx="8">
                  <c:v>5036.4934131736518</c:v>
                </c:pt>
                <c:pt idx="9">
                  <c:v>5036.4934131736518</c:v>
                </c:pt>
              </c:numCache>
            </c:numRef>
          </c:val>
          <c:extLst>
            <c:ext xmlns:c16="http://schemas.microsoft.com/office/drawing/2014/chart" uri="{C3380CC4-5D6E-409C-BE32-E72D297353CC}">
              <c16:uniqueId val="{00000000-C818-4D7E-86F0-AA705E8DA356}"/>
            </c:ext>
          </c:extLst>
        </c:ser>
        <c:ser>
          <c:idx val="1"/>
          <c:order val="1"/>
          <c:tx>
            <c:strRef>
              <c:f>Inputs!$B$109</c:f>
              <c:strCache>
                <c:ptCount val="1"/>
                <c:pt idx="0">
                  <c:v>Fixed</c:v>
                </c:pt>
              </c:strCache>
            </c:strRef>
          </c:tx>
          <c:spPr>
            <a:solidFill>
              <a:srgbClr val="002060"/>
            </a:solidFill>
            <a:ln>
              <a:noFill/>
            </a:ln>
            <a:effectLst/>
          </c:spPr>
          <c:invertIfNegative val="0"/>
          <c:cat>
            <c:numRef>
              <c:f>Inputs!$H$106:$Q$106</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Inputs!$H$110:$Q$110</c:f>
              <c:numCache>
                <c:formatCode>0.00</c:formatCode>
                <c:ptCount val="10"/>
                <c:pt idx="0">
                  <c:v>650.39308882235525</c:v>
                </c:pt>
                <c:pt idx="1">
                  <c:v>812.12150698602784</c:v>
                </c:pt>
                <c:pt idx="2">
                  <c:v>819.20920658682621</c:v>
                </c:pt>
                <c:pt idx="3">
                  <c:v>497.81424650698597</c:v>
                </c:pt>
                <c:pt idx="4">
                  <c:v>634.80014970059869</c:v>
                </c:pt>
                <c:pt idx="5">
                  <c:v>763.30658682634714</c:v>
                </c:pt>
                <c:pt idx="6">
                  <c:v>763.30658682634703</c:v>
                </c:pt>
                <c:pt idx="7">
                  <c:v>763.30658682634703</c:v>
                </c:pt>
                <c:pt idx="8">
                  <c:v>763.30658682634703</c:v>
                </c:pt>
                <c:pt idx="9">
                  <c:v>763.30658682634703</c:v>
                </c:pt>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04924280"/>
        <c:crosses val="autoZero"/>
        <c:auto val="1"/>
        <c:lblAlgn val="ctr"/>
        <c:lblOffset val="100"/>
        <c:noMultiLvlLbl val="0"/>
      </c:catAx>
      <c:valAx>
        <c:axId val="1004924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B532-4F0E-BB01-74E4B16A80D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B532-4F0E-BB01-74E4B16A80DB}"/>
              </c:ext>
            </c:extLst>
          </c:dPt>
          <c:cat>
            <c:strRef>
              <c:f>Segments!$B$6:$B$10</c:f>
              <c:strCache>
                <c:ptCount val="2"/>
                <c:pt idx="0">
                  <c:v>United States of America</c:v>
                </c:pt>
                <c:pt idx="1">
                  <c:v>Other countries</c:v>
                </c:pt>
              </c:strCache>
            </c:strRef>
          </c:cat>
          <c:val>
            <c:numRef>
              <c:f>Segments!$D$6:$D$10</c:f>
              <c:numCache>
                <c:formatCode>0.0%</c:formatCode>
                <c:ptCount val="2"/>
                <c:pt idx="0">
                  <c:v>0.41463736989922351</c:v>
                </c:pt>
                <c:pt idx="1">
                  <c:v>0.58536263010077649</c:v>
                </c:pt>
              </c:numCache>
            </c:numRef>
          </c:val>
          <c:extLst>
            <c:ext xmlns:c16="http://schemas.microsoft.com/office/drawing/2014/chart" uri="{C3380CC4-5D6E-409C-BE32-E72D297353CC}">
              <c16:uniqueId val="{00000004-B532-4F0E-BB01-74E4B16A80D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05E-468C-BECC-90507C77D6E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05E-468C-BECC-90507C77D6E6}"/>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505E-468C-BECC-90507C77D6E6}"/>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505E-468C-BECC-90507C77D6E6}"/>
              </c:ext>
            </c:extLst>
          </c:dPt>
          <c:cat>
            <c:strRef>
              <c:f>Segments!$B$17:$B$21</c:f>
              <c:strCache>
                <c:ptCount val="4"/>
                <c:pt idx="0">
                  <c:v>Software</c:v>
                </c:pt>
                <c:pt idx="1">
                  <c:v>Consulting</c:v>
                </c:pt>
                <c:pt idx="2">
                  <c:v>Infraestructure</c:v>
                </c:pt>
                <c:pt idx="3">
                  <c:v>Financing</c:v>
                </c:pt>
              </c:strCache>
            </c:strRef>
          </c:cat>
          <c:val>
            <c:numRef>
              <c:f>Segments!$D$17:$D$21</c:f>
              <c:numCache>
                <c:formatCode>0.0%</c:formatCode>
                <c:ptCount val="4"/>
                <c:pt idx="0">
                  <c:v>0.43329067349224126</c:v>
                </c:pt>
                <c:pt idx="1">
                  <c:v>0.33101903695408735</c:v>
                </c:pt>
                <c:pt idx="2">
                  <c:v>0.22428411454167332</c:v>
                </c:pt>
                <c:pt idx="3">
                  <c:v>1.1406175011998081E-2</c:v>
                </c:pt>
              </c:numCache>
            </c:numRef>
          </c:val>
          <c:extLst>
            <c:ext xmlns:c16="http://schemas.microsoft.com/office/drawing/2014/chart" uri="{C3380CC4-5D6E-409C-BE32-E72D297353CC}">
              <c16:uniqueId val="{00000008-505E-468C-BECC-90507C77D6E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cat>
            <c:strRef>
              <c:f>Segments!$B$6:$B$10</c:f>
              <c:strCache>
                <c:ptCount val="2"/>
                <c:pt idx="0">
                  <c:v>United States of America</c:v>
                </c:pt>
                <c:pt idx="1">
                  <c:v>Other countries</c:v>
                </c:pt>
              </c:strCache>
            </c:strRef>
          </c:cat>
          <c:val>
            <c:numRef>
              <c:f>Segments!$D$6:$D$10</c:f>
              <c:numCache>
                <c:formatCode>0.0%</c:formatCode>
                <c:ptCount val="2"/>
                <c:pt idx="0">
                  <c:v>0.41463736989922351</c:v>
                </c:pt>
                <c:pt idx="1">
                  <c:v>0.58536263010077649</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cat>
            <c:strRef>
              <c:f>Segments!$B$17:$B$21</c:f>
              <c:strCache>
                <c:ptCount val="4"/>
                <c:pt idx="0">
                  <c:v>Software</c:v>
                </c:pt>
                <c:pt idx="1">
                  <c:v>Consulting</c:v>
                </c:pt>
                <c:pt idx="2">
                  <c:v>Infraestructure</c:v>
                </c:pt>
                <c:pt idx="3">
                  <c:v>Financing</c:v>
                </c:pt>
              </c:strCache>
            </c:strRef>
          </c:cat>
          <c:val>
            <c:numRef>
              <c:f>Segments!$D$17:$D$21</c:f>
              <c:numCache>
                <c:formatCode>0.0%</c:formatCode>
                <c:ptCount val="4"/>
                <c:pt idx="0">
                  <c:v>0.43329067349224126</c:v>
                </c:pt>
                <c:pt idx="1">
                  <c:v>0.33101903695408735</c:v>
                </c:pt>
                <c:pt idx="2">
                  <c:v>0.22428411454167332</c:v>
                </c:pt>
                <c:pt idx="3">
                  <c:v>1.1406175011998081E-2</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(Industry!$B$41,Industry!$B$48,Industry!$B$54,Industry!$B$60,Industry!$B$66)</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(Industry!$C$41,Industry!$C$48,Industry!$C$54,Industry!$C$60,Industry!$C$66)</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(Industry!$B$41,Industry!$B$48,Industry!$B$54,Industry!$B$60,Industry!$B$66)</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(Industry!$D$41,Industry!$D$48,Industry!$D$54,Industry!$D$60,Industry!$D$66)</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(Industry!$B$41,Industry!$B$48,Industry!$B$54,Industry!$B$60,Industry!$B$66)</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(Industry!$E$41,Industry!$E$48,Industry!$E$54,Industry!$E$60,Industry!$E$66)</c:f>
              <c:numCache>
                <c:formatCode>General</c:formatCode>
                <c:ptCount val="5"/>
                <c:pt idx="0" formatCode="0.00">
                  <c:v>2.8333333333333335</c:v>
                </c:pt>
                <c:pt idx="1">
                  <c:v>4.4000000000000004</c:v>
                </c:pt>
                <c:pt idx="2">
                  <c:v>4</c:v>
                </c:pt>
                <c:pt idx="3">
                  <c:v>4.2</c:v>
                </c:pt>
                <c:pt idx="4" formatCode="0.00">
                  <c:v>3.5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pt-PT"/>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cat>
            <c:strRef>
              <c:f>Industry!$B$25:$B$36</c:f>
              <c:strCache>
                <c:ptCount val="9"/>
                <c:pt idx="0">
                  <c:v>INTERNATIONAL BUSINESS MACHINES CORPORATION</c:v>
                </c:pt>
                <c:pt idx="1">
                  <c:v>ACCENTURE PUBLIC LIMITED COMPANY (XNYS:ACN)</c:v>
                </c:pt>
                <c:pt idx="2">
                  <c:v>Capgemini (OTCM:CAPMF)</c:v>
                </c:pt>
                <c:pt idx="3">
                  <c:v>MICROSOFT CORPORATION (XNAS:MSFT)</c:v>
                </c:pt>
                <c:pt idx="4">
                  <c:v>ORACLE CORPORATION (XNYS:ORCL)</c:v>
                </c:pt>
                <c:pt idx="5">
                  <c:v>HEWLETT PACKARD ENTERPRISE COMPANY (XNYS:HPE)</c:v>
                </c:pt>
                <c:pt idx="6">
                  <c:v>IONQ (XNYS:IONQ)</c:v>
                </c:pt>
                <c:pt idx="7">
                  <c:v>Rigetti (XNAS:RGTI)</c:v>
                </c:pt>
                <c:pt idx="8">
                  <c:v>Others</c:v>
                </c:pt>
              </c:strCache>
            </c:strRef>
          </c:cat>
          <c:val>
            <c:numRef>
              <c:f>Industry!$I$25:$I$36</c:f>
              <c:numCache>
                <c:formatCode>0%</c:formatCode>
                <c:ptCount val="9"/>
                <c:pt idx="0">
                  <c:v>4.1835333333333335E-2</c:v>
                </c:pt>
                <c:pt idx="1">
                  <c:v>4.3264333333333335E-2</c:v>
                </c:pt>
                <c:pt idx="2">
                  <c:v>1.4730666666666666E-2</c:v>
                </c:pt>
                <c:pt idx="3">
                  <c:v>0.16341466666666668</c:v>
                </c:pt>
                <c:pt idx="4">
                  <c:v>3.5307333333333336E-2</c:v>
                </c:pt>
                <c:pt idx="5">
                  <c:v>2.0084666666666667E-2</c:v>
                </c:pt>
                <c:pt idx="6">
                  <c:v>2.8715333333333332E-2</c:v>
                </c:pt>
                <c:pt idx="7">
                  <c:v>7.1933333333333337E-3</c:v>
                </c:pt>
                <c:pt idx="8">
                  <c:v>0.64545433333333335</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43333434535E-2"/>
          <c:y val="4.2776890068837108E-2"/>
          <c:w val="0.93558591437983274"/>
          <c:h val="0.73811215454464207"/>
        </c:manualLayout>
      </c:layout>
      <c:lineChart>
        <c:grouping val="standard"/>
        <c:varyColors val="0"/>
        <c:ser>
          <c:idx val="4"/>
          <c:order val="0"/>
          <c:tx>
            <c:strRef>
              <c:f>'ESG Inputs'!$B$76</c:f>
              <c:strCache>
                <c:ptCount val="1"/>
                <c:pt idx="0">
                  <c:v>INTERNATIONAL BUSINESS MACHINES CORPORATION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extLst>
                <c:ext xmlns:c15="http://schemas.microsoft.com/office/drawing/2012/chart" uri="{02D57815-91ED-43cb-92C2-25804820EDAC}">
                  <c15:fullRef>
                    <c15:sqref>'ESG Inputs'!$G$74:$Q$74</c15:sqref>
                  </c15:fullRef>
                </c:ext>
              </c:extLst>
              <c:f>'ESG Inputs'!$H$74:$P$74</c:f>
              <c:numCache>
                <c:formatCode>0</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'ESG Inputs'!$G$76:$Q$76</c15:sqref>
                  </c15:fullRef>
                </c:ext>
              </c:extLst>
              <c:f>'ESG Inputs'!$H$76:$P$76</c:f>
              <c:numCache>
                <c:formatCode>General</c:formatCode>
                <c:ptCount val="9"/>
                <c:pt idx="0">
                  <c:v>1787.5060000000001</c:v>
                </c:pt>
                <c:pt idx="1">
                  <c:v>1289.4929999999999</c:v>
                </c:pt>
                <c:pt idx="2">
                  <c:v>1201.7810000000002</c:v>
                </c:pt>
                <c:pt idx="3">
                  <c:v>610</c:v>
                </c:pt>
                <c:pt idx="4">
                  <c:v>558</c:v>
                </c:pt>
                <c:pt idx="5">
                  <c:v>335</c:v>
                </c:pt>
                <c:pt idx="6">
                  <c:v>299</c:v>
                </c:pt>
                <c:pt idx="7">
                  <c:v>261</c:v>
                </c:pt>
                <c:pt idx="8">
                  <c:v>221</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pt idx="0">
                  <c:v>ACCENTURE PUBLIC LIMITED COMPANY (XNYS:ACN)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xmlns:c15="http://schemas.microsoft.com/office/drawing/2012/chart" uri="{02D57815-91ED-43cb-92C2-25804820EDAC}">
                  <c15:fullRef>
                    <c15:sqref>'ESG Inputs'!$G$74:$Q$74</c15:sqref>
                  </c15:fullRef>
                </c:ext>
              </c:extLst>
              <c:f>'ESG Inputs'!$H$74:$P$74</c:f>
              <c:numCache>
                <c:formatCode>0</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'ESG Inputs'!$G$77:$Q$77</c15:sqref>
                  </c15:fullRef>
                </c:ext>
              </c:extLst>
              <c:f>'ESG Inputs'!$H$77:$P$77</c:f>
              <c:numCache>
                <c:formatCode>General</c:formatCode>
                <c:ptCount val="9"/>
                <c:pt idx="0">
                  <c:v>263.529</c:v>
                </c:pt>
                <c:pt idx="1">
                  <c:v>290.25299999999999</c:v>
                </c:pt>
                <c:pt idx="2">
                  <c:v>267.86799999999999</c:v>
                </c:pt>
                <c:pt idx="3">
                  <c:v>241.03799999999998</c:v>
                </c:pt>
                <c:pt idx="4">
                  <c:v>246.005</c:v>
                </c:pt>
                <c:pt idx="5">
                  <c:v>176.928</c:v>
                </c:pt>
                <c:pt idx="6">
                  <c:v>79.909000000000006</c:v>
                </c:pt>
                <c:pt idx="7">
                  <c:v>26.159999999999997</c:v>
                </c:pt>
                <c:pt idx="8">
                  <c:v>26.823999999999998</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Capgemini (OTCM:CAPMF)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xmlns:c15="http://schemas.microsoft.com/office/drawing/2012/chart" uri="{02D57815-91ED-43cb-92C2-25804820EDAC}">
                  <c15:fullRef>
                    <c15:sqref>'ESG Inputs'!$G$74:$Q$74</c15:sqref>
                  </c15:fullRef>
                </c:ext>
              </c:extLst>
              <c:f>'ESG Inputs'!$H$74:$P$74</c:f>
              <c:numCache>
                <c:formatCode>0</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'ESG Inputs'!$G$78:$Q$78</c15:sqref>
                  </c15:fullRef>
                </c:ext>
              </c:extLst>
              <c:f>'ESG Inputs'!$H$78:$P$78</c:f>
              <c:numCache>
                <c:formatCode>General</c:formatCode>
                <c:ptCount val="9"/>
                <c:pt idx="0">
                  <c:v>196.68800000000002</c:v>
                </c:pt>
                <c:pt idx="1">
                  <c:v>164.50700000000001</c:v>
                </c:pt>
                <c:pt idx="2">
                  <c:v>144.59700000000001</c:v>
                </c:pt>
                <c:pt idx="3">
                  <c:v>135.95500000000001</c:v>
                </c:pt>
                <c:pt idx="4">
                  <c:v>153.87700000000001</c:v>
                </c:pt>
                <c:pt idx="5">
                  <c:v>78.332999999999998</c:v>
                </c:pt>
                <c:pt idx="6">
                  <c:v>63.843000000000004</c:v>
                </c:pt>
                <c:pt idx="7">
                  <c:v>18.916</c:v>
                </c:pt>
                <c:pt idx="8">
                  <c:v>13.594999999999999</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MICROSOFT CORPORATION (XNAS:MSFT)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extLst>
                <c:ext xmlns:c15="http://schemas.microsoft.com/office/drawing/2012/chart" uri="{02D57815-91ED-43cb-92C2-25804820EDAC}">
                  <c15:fullRef>
                    <c15:sqref>'ESG Inputs'!$G$74:$Q$74</c15:sqref>
                  </c15:fullRef>
                </c:ext>
              </c:extLst>
              <c:f>'ESG Inputs'!$H$74:$P$74</c:f>
              <c:numCache>
                <c:formatCode>0</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'ESG Inputs'!$G$79:$Q$79</c15:sqref>
                  </c15:fullRef>
                </c:ext>
              </c:extLst>
              <c:f>'ESG Inputs'!$H$79:$P$79</c:f>
              <c:numCache>
                <c:formatCode>General</c:formatCode>
                <c:ptCount val="9"/>
                <c:pt idx="0">
                  <c:v>244.34100000000001</c:v>
                </c:pt>
                <c:pt idx="1">
                  <c:v>125.57300000000001</c:v>
                </c:pt>
                <c:pt idx="2">
                  <c:v>246.518</c:v>
                </c:pt>
                <c:pt idx="3">
                  <c:v>282.33699999999999</c:v>
                </c:pt>
                <c:pt idx="4">
                  <c:v>393.37600000000003</c:v>
                </c:pt>
                <c:pt idx="5">
                  <c:v>574.21900000000005</c:v>
                </c:pt>
                <c:pt idx="6">
                  <c:v>553.10899999999992</c:v>
                </c:pt>
                <c:pt idx="7">
                  <c:v>427.44200000000001</c:v>
                </c:pt>
                <c:pt idx="8">
                  <c:v>538.09400000000005</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pt idx="0">
                  <c:v>ORACLE CORPORATION (XNYS:ORCL)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c:ext xmlns:c15="http://schemas.microsoft.com/office/drawing/2012/chart" uri="{02D57815-91ED-43cb-92C2-25804820EDAC}">
                  <c15:fullRef>
                    <c15:sqref>'ESG Inputs'!$G$74:$Q$74</c15:sqref>
                  </c15:fullRef>
                </c:ext>
              </c:extLst>
              <c:f>'ESG Inputs'!$H$74:$P$74</c:f>
              <c:numCache>
                <c:formatCode>0</c:formatCode>
                <c:ptCount val="9"/>
                <c:pt idx="0">
                  <c:v>2015</c:v>
                </c:pt>
                <c:pt idx="1">
                  <c:v>2016</c:v>
                </c:pt>
                <c:pt idx="2">
                  <c:v>2017</c:v>
                </c:pt>
                <c:pt idx="3">
                  <c:v>2018</c:v>
                </c:pt>
                <c:pt idx="4">
                  <c:v>2019</c:v>
                </c:pt>
                <c:pt idx="5">
                  <c:v>2020</c:v>
                </c:pt>
                <c:pt idx="6">
                  <c:v>2021</c:v>
                </c:pt>
                <c:pt idx="7">
                  <c:v>2022</c:v>
                </c:pt>
                <c:pt idx="8">
                  <c:v>2023</c:v>
                </c:pt>
              </c:numCache>
            </c:numRef>
          </c:cat>
          <c:val>
            <c:numRef>
              <c:extLst>
                <c:ext xmlns:c15="http://schemas.microsoft.com/office/drawing/2012/chart" uri="{02D57815-91ED-43cb-92C2-25804820EDAC}">
                  <c15:fullRef>
                    <c15:sqref>'ESG Inputs'!$G$80:$Q$80</c15:sqref>
                  </c15:fullRef>
                </c:ext>
              </c:extLst>
              <c:f>'ESG Inputs'!$H$80:$P$80</c:f>
              <c:numCache>
                <c:formatCode>General</c:formatCode>
                <c:ptCount val="9"/>
                <c:pt idx="0">
                  <c:v>386.71999999999997</c:v>
                </c:pt>
                <c:pt idx="1">
                  <c:v>459.51599999999996</c:v>
                </c:pt>
                <c:pt idx="2">
                  <c:v>365.721</c:v>
                </c:pt>
                <c:pt idx="3">
                  <c:v>417.923</c:v>
                </c:pt>
                <c:pt idx="4">
                  <c:v>379.53199999999998</c:v>
                </c:pt>
                <c:pt idx="5">
                  <c:v>365.54199999999997</c:v>
                </c:pt>
                <c:pt idx="6">
                  <c:v>429.577</c:v>
                </c:pt>
                <c:pt idx="7">
                  <c:v>460.18899999999996</c:v>
                </c:pt>
                <c:pt idx="8">
                  <c:v>272.57600000000002</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legend>
      <c:legendPos val="b"/>
      <c:layout>
        <c:manualLayout>
          <c:xMode val="edge"/>
          <c:yMode val="edge"/>
          <c:x val="1.2949953955591448E-2"/>
          <c:y val="0.84488196610549504"/>
          <c:w val="0.64430341833546967"/>
          <c:h val="0.155117845486316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INTERNATIONAL BUSINESS MACHINES CORPORATION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pt idx="1">
                  <c:v>1607.38</c:v>
                </c:pt>
                <c:pt idx="2">
                  <c:v>1612.78</c:v>
                </c:pt>
                <c:pt idx="3">
                  <c:v>1528.13</c:v>
                </c:pt>
                <c:pt idx="4">
                  <c:v>1521.92</c:v>
                </c:pt>
                <c:pt idx="5">
                  <c:v>1492.5</c:v>
                </c:pt>
                <c:pt idx="6">
                  <c:v>1305.8</c:v>
                </c:pt>
                <c:pt idx="7">
                  <c:v>1253</c:v>
                </c:pt>
                <c:pt idx="8">
                  <c:v>494</c:v>
                </c:pt>
                <c:pt idx="9">
                  <c:v>756</c:v>
                </c:pt>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MICROSOFT CORPORATION (XNAS:MSFT)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pt idx="1">
                  <c:v>4633.49</c:v>
                </c:pt>
                <c:pt idx="2">
                  <c:v>4687.75</c:v>
                </c:pt>
                <c:pt idx="3">
                  <c:v>5148.45</c:v>
                </c:pt>
                <c:pt idx="4">
                  <c:v>6718.98</c:v>
                </c:pt>
                <c:pt idx="5">
                  <c:v>7505.08</c:v>
                </c:pt>
                <c:pt idx="6">
                  <c:v>7936</c:v>
                </c:pt>
                <c:pt idx="7">
                  <c:v>8068</c:v>
                </c:pt>
                <c:pt idx="8">
                  <c:v>10706</c:v>
                </c:pt>
                <c:pt idx="9">
                  <c:v>12951</c:v>
                </c:pt>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pt idx="0">
                  <c:v>ORACLE CORPORATION (XNYS:ORCL)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pt idx="2">
                  <c:v>959.59</c:v>
                </c:pt>
                <c:pt idx="3">
                  <c:v>929.67</c:v>
                </c:pt>
                <c:pt idx="4">
                  <c:v>893.18</c:v>
                </c:pt>
                <c:pt idx="5">
                  <c:v>852.12</c:v>
                </c:pt>
                <c:pt idx="6">
                  <c:v>832.69</c:v>
                </c:pt>
                <c:pt idx="7">
                  <c:v>741.73</c:v>
                </c:pt>
                <c:pt idx="8">
                  <c:v>583.44000000000005</c:v>
                </c:pt>
                <c:pt idx="9">
                  <c:v>708.36</c:v>
                </c:pt>
                <c:pt idx="10">
                  <c:v>866.07</c:v>
                </c:pt>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Capgemini (OTCM:CAPMF)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pt idx="1">
                  <c:v>1899.6</c:v>
                </c:pt>
                <c:pt idx="2">
                  <c:v>1236.69</c:v>
                </c:pt>
                <c:pt idx="3">
                  <c:v>1281.1400000000001</c:v>
                </c:pt>
                <c:pt idx="4">
                  <c:v>1407.23</c:v>
                </c:pt>
                <c:pt idx="5">
                  <c:v>1873.05</c:v>
                </c:pt>
                <c:pt idx="6">
                  <c:v>882.62</c:v>
                </c:pt>
                <c:pt idx="7">
                  <c:v>622.17999999999995</c:v>
                </c:pt>
                <c:pt idx="8">
                  <c:v>773.63</c:v>
                </c:pt>
                <c:pt idx="9">
                  <c:v>834.39</c:v>
                </c:pt>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ACCENTURE PUBLIC LIMITED COMPANY (XNYS:ACN)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pt idx="1">
                        <c:v>1934</c:v>
                      </c:pt>
                      <c:pt idx="2">
                        <c:v>2191</c:v>
                      </c:pt>
                      <c:pt idx="3">
                        <c:v>2179</c:v>
                      </c:pt>
                      <c:pt idx="4">
                        <c:v>2518</c:v>
                      </c:pt>
                      <c:pt idx="5">
                        <c:v>2639.44</c:v>
                      </c:pt>
                      <c:pt idx="6">
                        <c:v>1997.04</c:v>
                      </c:pt>
                      <c:pt idx="7">
                        <c:v>1019.07</c:v>
                      </c:pt>
                      <c:pt idx="8">
                        <c:v>1100.71</c:v>
                      </c:pt>
                      <c:pt idx="9">
                        <c:v>1442.86</c:v>
                      </c:pt>
                      <c:pt idx="10">
                        <c:v>1495.73</c:v>
                      </c:pt>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INTERNATIONAL BUSINESS MACHINES CORPORATION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pt idx="0">
                  <c:v>107</c:v>
                </c:pt>
                <c:pt idx="1">
                  <c:v>53</c:v>
                </c:pt>
                <c:pt idx="2">
                  <c:v>44.5</c:v>
                </c:pt>
                <c:pt idx="3">
                  <c:v>36.9</c:v>
                </c:pt>
                <c:pt idx="4">
                  <c:v>28.3</c:v>
                </c:pt>
                <c:pt idx="5">
                  <c:v>31.5</c:v>
                </c:pt>
                <c:pt idx="6">
                  <c:v>22.1</c:v>
                </c:pt>
                <c:pt idx="7">
                  <c:v>20.7</c:v>
                </c:pt>
                <c:pt idx="8">
                  <c:v>14.8</c:v>
                </c:pt>
                <c:pt idx="9">
                  <c:v>16.5</c:v>
                </c:pt>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MICROSOFT CORPORATION (XNAS:MSFT)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pt idx="1">
                  <c:v>30.410000000000004</c:v>
                </c:pt>
                <c:pt idx="2">
                  <c:v>31.242999999999999</c:v>
                </c:pt>
                <c:pt idx="3">
                  <c:v>26.059000000000001</c:v>
                </c:pt>
                <c:pt idx="4">
                  <c:v>48.125999999999998</c:v>
                </c:pt>
                <c:pt idx="5">
                  <c:v>46.177999999999997</c:v>
                </c:pt>
                <c:pt idx="6">
                  <c:v>40.570999999999998</c:v>
                </c:pt>
                <c:pt idx="7">
                  <c:v>22.518000000000001</c:v>
                </c:pt>
                <c:pt idx="8">
                  <c:v>29.596</c:v>
                </c:pt>
                <c:pt idx="9">
                  <c:v>36.392000000000003</c:v>
                </c:pt>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pt idx="0">
                  <c:v>ORACLE CORPORATION (XNYS:ORCL)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pt idx="0">
                  <c:v>264</c:v>
                </c:pt>
                <c:pt idx="1">
                  <c:v>296</c:v>
                </c:pt>
                <c:pt idx="2">
                  <c:v>281</c:v>
                </c:pt>
                <c:pt idx="3">
                  <c:v>212</c:v>
                </c:pt>
                <c:pt idx="4">
                  <c:v>154</c:v>
                </c:pt>
                <c:pt idx="5">
                  <c:v>113</c:v>
                </c:pt>
                <c:pt idx="7">
                  <c:v>36.049999999999997</c:v>
                </c:pt>
                <c:pt idx="8">
                  <c:v>137.37</c:v>
                </c:pt>
                <c:pt idx="9">
                  <c:v>94.71</c:v>
                </c:pt>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pt idx="0">
                  <c:v>HEWLETT PACKARD ENTERPRISE COMPANY (XNYS:HPE)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pt idx="2">
                  <c:v>43.241</c:v>
                </c:pt>
                <c:pt idx="3">
                  <c:v>13.308999999999999</c:v>
                </c:pt>
                <c:pt idx="4">
                  <c:v>13.321</c:v>
                </c:pt>
                <c:pt idx="5">
                  <c:v>8.2569999999999997</c:v>
                </c:pt>
                <c:pt idx="6">
                  <c:v>6.5490000000000004</c:v>
                </c:pt>
                <c:pt idx="7">
                  <c:v>5.4859999999999998</c:v>
                </c:pt>
                <c:pt idx="8">
                  <c:v>5.1420000000000003</c:v>
                </c:pt>
                <c:pt idx="9">
                  <c:v>5.1360000000000001</c:v>
                </c:pt>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ACCENTURE PUBLIC LIMITED COMPANY (XNYS:ACN)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pt idx="0">
                        <c:v>0.26600000000000001</c:v>
                      </c:pt>
                      <c:pt idx="1">
                        <c:v>0.18</c:v>
                      </c:pt>
                      <c:pt idx="2">
                        <c:v>0.36</c:v>
                      </c:pt>
                      <c:pt idx="3">
                        <c:v>0.30199999999999999</c:v>
                      </c:pt>
                      <c:pt idx="4">
                        <c:v>0.58299999999999996</c:v>
                      </c:pt>
                      <c:pt idx="5">
                        <c:v>0.42299999999999999</c:v>
                      </c:pt>
                      <c:pt idx="6">
                        <c:v>0.27800000000000002</c:v>
                      </c:pt>
                      <c:pt idx="7">
                        <c:v>0.32</c:v>
                      </c:pt>
                      <c:pt idx="8">
                        <c:v>0.51200000000000001</c:v>
                      </c:pt>
                      <c:pt idx="9">
                        <c:v>0.42899999999999999</c:v>
                      </c:pt>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Capgemini (OTCM:CAPMF)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pt idx="1">
                        <c:v>6.2249999999999996</c:v>
                      </c:pt>
                      <c:pt idx="2">
                        <c:v>4.601</c:v>
                      </c:pt>
                      <c:pt idx="3">
                        <c:v>4.68</c:v>
                      </c:pt>
                      <c:pt idx="4">
                        <c:v>4.3330000000000002</c:v>
                      </c:pt>
                      <c:pt idx="5">
                        <c:v>6.0650000000000004</c:v>
                      </c:pt>
                      <c:pt idx="6">
                        <c:v>3.1349999999999998</c:v>
                      </c:pt>
                      <c:pt idx="7">
                        <c:v>2.6139999999999999</c:v>
                      </c:pt>
                      <c:pt idx="8">
                        <c:v>2.1800000000000002</c:v>
                      </c:pt>
                      <c:pt idx="9">
                        <c:v>2.4969999999999999</c:v>
                      </c:pt>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INTERNATIONAL BUSINESS MACHINES CORPORATION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pt idx="1">
                  <c:v>5375.73</c:v>
                </c:pt>
                <c:pt idx="2">
                  <c:v>4912.71</c:v>
                </c:pt>
                <c:pt idx="3">
                  <c:v>4845.6899999999996</c:v>
                </c:pt>
                <c:pt idx="4">
                  <c:v>4666.51</c:v>
                </c:pt>
                <c:pt idx="5">
                  <c:v>2837</c:v>
                </c:pt>
                <c:pt idx="6">
                  <c:v>2529</c:v>
                </c:pt>
                <c:pt idx="7">
                  <c:v>2486</c:v>
                </c:pt>
                <c:pt idx="8">
                  <c:v>2248</c:v>
                </c:pt>
                <c:pt idx="9">
                  <c:v>2287</c:v>
                </c:pt>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ACCENTURE PUBLIC LIMITED COMPANY (XNYS:ACN)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pt idx="1">
                  <c:v>469.31</c:v>
                </c:pt>
                <c:pt idx="2">
                  <c:v>512.29</c:v>
                </c:pt>
                <c:pt idx="3">
                  <c:v>499.05</c:v>
                </c:pt>
                <c:pt idx="4">
                  <c:v>489.08</c:v>
                </c:pt>
                <c:pt idx="5">
                  <c:v>492.82</c:v>
                </c:pt>
                <c:pt idx="6">
                  <c:v>405.93</c:v>
                </c:pt>
                <c:pt idx="7">
                  <c:v>299.42</c:v>
                </c:pt>
                <c:pt idx="8">
                  <c:v>330.39</c:v>
                </c:pt>
                <c:pt idx="9">
                  <c:v>360.97</c:v>
                </c:pt>
                <c:pt idx="10">
                  <c:v>345.86</c:v>
                </c:pt>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Capgemini (OTCM:CAPMF)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pt idx="1">
                  <c:v>481.97</c:v>
                </c:pt>
                <c:pt idx="2">
                  <c:v>418.43</c:v>
                </c:pt>
                <c:pt idx="3">
                  <c:v>412.31</c:v>
                </c:pt>
                <c:pt idx="4">
                  <c:v>380.15</c:v>
                </c:pt>
                <c:pt idx="5">
                  <c:v>337.12</c:v>
                </c:pt>
                <c:pt idx="6">
                  <c:v>229.94</c:v>
                </c:pt>
                <c:pt idx="7">
                  <c:v>193.39</c:v>
                </c:pt>
                <c:pt idx="8">
                  <c:v>205.92</c:v>
                </c:pt>
                <c:pt idx="9">
                  <c:v>201.05</c:v>
                </c:pt>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MICROSOFT CORPORATION (XNAS:MSFT)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pt idx="1">
                  <c:v>4194.7</c:v>
                </c:pt>
                <c:pt idx="2">
                  <c:v>5187.18</c:v>
                </c:pt>
                <c:pt idx="3">
                  <c:v>6756.78</c:v>
                </c:pt>
                <c:pt idx="4" formatCode="General">
                  <c:v>7781.38</c:v>
                </c:pt>
                <c:pt idx="5" formatCode="General">
                  <c:v>9249.36</c:v>
                </c:pt>
                <c:pt idx="6" formatCode="General">
                  <c:v>11283.5</c:v>
                </c:pt>
                <c:pt idx="7" formatCode="General">
                  <c:v>14134</c:v>
                </c:pt>
                <c:pt idx="8" formatCode="General">
                  <c:v>18644.900000000001</c:v>
                </c:pt>
                <c:pt idx="9" formatCode="General">
                  <c:v>24007.9</c:v>
                </c:pt>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ORACLE CORPORATION (XNYS:ORCL)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pt idx="2">
                  <c:v>1067.1099999999999</c:v>
                </c:pt>
                <c:pt idx="3">
                  <c:v>1100.43</c:v>
                </c:pt>
                <c:pt idx="4">
                  <c:v>1224.31</c:v>
                </c:pt>
                <c:pt idx="5">
                  <c:v>1202.31</c:v>
                </c:pt>
                <c:pt idx="6">
                  <c:v>1471.52</c:v>
                </c:pt>
                <c:pt idx="7">
                  <c:v>1631.25</c:v>
                </c:pt>
                <c:pt idx="8">
                  <c:v>1907.06</c:v>
                </c:pt>
                <c:pt idx="9">
                  <c:v>2343.7600000000002</c:v>
                </c:pt>
                <c:pt idx="10">
                  <c:v>3623.17</c:v>
                </c:pt>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pt idx="0">
                  <c:v>HEWLETT PACKARD ENTERPRISE COMPANY (XNYS:HPE)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Hybrid Cloud</a:t>
            </a:r>
            <a:r>
              <a:rPr lang="en-US" altLang="zh-CN" baseline="0"/>
              <a:t> &amp; Solutions Growth</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lineChart>
        <c:grouping val="standard"/>
        <c:varyColors val="0"/>
        <c:ser>
          <c:idx val="0"/>
          <c:order val="0"/>
          <c:spPr>
            <a:ln w="28575" cap="rnd">
              <a:solidFill>
                <a:schemeClr val="accent1"/>
              </a:solidFill>
              <a:round/>
            </a:ln>
            <a:effectLst/>
          </c:spPr>
          <c:marker>
            <c:symbol val="none"/>
          </c:marker>
          <c:cat>
            <c:numRef>
              <c:f>Sheet1!$V$3:$AE$3</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Sheet1!$V$4:$AE$4</c:f>
              <c:numCache>
                <c:formatCode>0.0%</c:formatCode>
                <c:ptCount val="10"/>
                <c:pt idx="0">
                  <c:v>9.5000000000000001E-2</c:v>
                </c:pt>
                <c:pt idx="1">
                  <c:v>0.1</c:v>
                </c:pt>
                <c:pt idx="2">
                  <c:v>0.106</c:v>
                </c:pt>
                <c:pt idx="3">
                  <c:v>0.111</c:v>
                </c:pt>
                <c:pt idx="4">
                  <c:v>0.11600000000000001</c:v>
                </c:pt>
                <c:pt idx="5">
                  <c:v>0.12</c:v>
                </c:pt>
                <c:pt idx="6">
                  <c:v>0.11</c:v>
                </c:pt>
                <c:pt idx="7">
                  <c:v>0.1</c:v>
                </c:pt>
                <c:pt idx="8">
                  <c:v>0.09</c:v>
                </c:pt>
                <c:pt idx="9">
                  <c:v>0.08</c:v>
                </c:pt>
              </c:numCache>
            </c:numRef>
          </c:val>
          <c:smooth val="0"/>
          <c:extLst>
            <c:ext xmlns:c16="http://schemas.microsoft.com/office/drawing/2014/chart" uri="{C3380CC4-5D6E-409C-BE32-E72D297353CC}">
              <c16:uniqueId val="{00000000-F36B-453C-A230-E14B8AA88DE0}"/>
            </c:ext>
          </c:extLst>
        </c:ser>
        <c:dLbls>
          <c:showLegendKey val="0"/>
          <c:showVal val="0"/>
          <c:showCatName val="0"/>
          <c:showSerName val="0"/>
          <c:showPercent val="0"/>
          <c:showBubbleSize val="0"/>
        </c:dLbls>
        <c:smooth val="0"/>
        <c:axId val="828306639"/>
        <c:axId val="828304239"/>
      </c:lineChart>
      <c:catAx>
        <c:axId val="82830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28304239"/>
        <c:crosses val="autoZero"/>
        <c:auto val="1"/>
        <c:lblAlgn val="ctr"/>
        <c:lblOffset val="100"/>
        <c:noMultiLvlLbl val="0"/>
      </c:catAx>
      <c:valAx>
        <c:axId val="8283042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2830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lHtZc902tu5fSfn5soOZQNfp+wByb02WLc92XliyIhMkQQIECE6//qzt03WuJflK1S9JJTshpjV8
w/J/3a3/vLP3t+GPtbdD/Ofd+q9XZpr8P//8M96Z+/42/qNv7oKL7sf0jzvX/+l+/Gju7v/8O9wu
zVD/SRBmf96Z2zDdr6/+73/B1+p7V95Ot4dhaqbtXboP2/v7mOwUn/31//PjH/c/P/Nx8/f/enXn
0jCdPlc3bnj1758u/v7XK4Ff/fHnr1/4929vbnv438r7ob8N3eP/4f42Tv96hfk/MOdKKIFVzpHK
81d/LPenX+Q/UC4JVYwhhXMlpHz1x+DCZP71iuf/yDmB3wjJiWLwt1d/RJd+/sT+AZ8jSjEh4S+Y
4f+9lRtnt9oN/3sP//7nP4bU37hmmCJ8+NUf/n/+q5/HUkpSWBlWIiwXLMewBX93+x4uHv5j/H/c
0GVr2+xLsbhAtRpVU1aTHw9bM7rzX+7kN0upp0tJzBmsgjCmVMKRfl2qa/JqZymuBaGZ0bAcOTZb
7F6v+Ty8Nqj2Z0vo7afWB3nmm9lcPL88Zb9ZP6ecEsGlknDrD9dPi9mqvt6nomFdbW4wMfJAVtnI
Y0vnYdRZ088MrmAzbVFjMeaFMTX+kNM5v6vbvLohTIW8DHZDvW47Piq945CPx6rLenwke9sPZzlu
lx/jMuZtOQgzmmKUcKUhs70p2tmRRZswDj/Wyu1W96TNsa6X0XyE+JF1EdhYfa/zbf4yz5x8QjEb
rtW8ZdNhGaz59PyFYAyR9/jxZc64oIyfXkScguOXx988qoLY2qlYGoWMToiR22HmeaM3z/teZ61g
X5Al+NZGQWiZS9ws2juPai12Ov699wshujUVP2bG1qKMTe3vIl59rtXs+6rgQytzbeuat2e2T/QO
r4Tjs5p308dqIospTWvtd57MaI/ZLMN6Lifvvq5JUlc0otre87EPnQ7SrEmvImttqWSY7tq0rR9j
l8f+kMEpljd4S+bNvMaRXEbmDX9rqtR2R9TnfbxAIx9mONDa77pXXqRyFWQKh25RYtMhMBNK0zdr
XqhumG6RRX2nB7FhdxETycX1Ll2elTFS+VeFR9mdu9ws/mDmgPdjE9Y8L3Glmrwc9jR9EJzV9Q0d
2pUU1SjNbR5yIs6JI3w9W/K1nwsR8kh0jMM+Hrqpol77yONUor1hY2FCg7qy5Y1kemc7F3rcZ5aS
poNKrNjmFY3ltC8dfT1nlcqvYlXFsaiYsO8boRp0yNdswCVJ9ZJKJm3Izxu8KnIHBxb8aquUQEXO
8rp511UyX66rOlPVcW+kb45NO2N7tBAVfdGhgdiLilJry2ruIjlMnqjhbYvbvdOub8lUcrNYWtoW
h7dEDLsrqc0XVSw8DkLzao7V97Qz0xzZRPO6gEfadt1moxjLfVHMlHmn6KbR0MulVF0b/IEluxyz
rlqbI9okmsvng/93xUhCycU5FQgjDvX919CPLd+6GaWpqF2uzoTBrIwijm87TOZdp2VaD/ucueOM
Wq+lTdWP59cXT1NPsZwhgZRgIj81hV/Xn3BWN1baufBtPRym4NgViam5JKzHZw6r9vXz6+HfFHrF
scyJFAQ6B6cPFxSjwc5jloplWJyemJiKsA7hqglO3qZxDecV2Vk58bUtt3FGF3b09LtbOrcd1w0L
3beVPe48o1c0a+tcv7C/U/V/2IgYIpIpjnKFCKPo0f6E8nga7VT02TbcOLXxs0RbdlhQN1tdrw0u
2no158Pc50q7leCCTmw/uj6bzlio0Qvd6mm3gF6NOGdcQd+m6FFjHLI4IEwTKmLPRlLM7VIrnW9t
X7xw8KdFmAM+YNCPVM4k54+KMPYdX5DcUGHcMt8Y28b2AOWMtrpnMb/PVrc1em25QBoFE7DetwZa
NRPGWY3T0m5lF7bl68h3io9JhBGVecbsWZ/Fqi+T63l8Yc9Pg5djQanKCYWbARDy8K0kz3k+V6ct
z7v/jqmLZ9Va9ccmH8yHZs/Y2Qt3dHr8/xccOUKMSyIIIpwgCTnzKFuzvHOpzggq5syyz2PFlNBN
EEsqZL3TUozLYM56bOu3req6z8sSqNDLGLPj8xt5GBSAWwC5IIqxBCCDxE8o92vWmp177HE7Fkxm
yzsrJdFo7raPz6+Cf7cMVopzJIXMAaM9vF8qMHTGzoxF5lb1fht7i4t+7MX7JtntLjFfHacY9k+9
t/Prqh4IKVY0tEizVnQd1PC+689EzuVhnFZy/fzuHlbO0x0whQA2MkKkBCT1qJB42ZLIKthcWPrq
YuQyO6wWm7Ohmz/VqWsPks24rMbOXKFtjh/+89WxhCDgQiCRs0cgsgkk1iwJX+T7hOvDZN2iXddk
u95MHct9ddl1N5OlL7FH6RDyffnr+R08zNf/OT8hBEHoQ+Hm4nQ/v4AmmSMDIA9iYB7aYS8mX+FF
T+243jgvrK5a25yTLc6H55fFDwvkaV2OmADgz6FKMsiwh+vS0QkS/OIL1lLXHCqC0CdbjwCNZlp3
14DV8kMWHX7Le9HyYljNsh4b3nS2dNzu/igQN2v5/K4eVoKfm8qhe0EjVVwxoh5VbYgRRC3NUrFX
dtY5q6eLhNb0mVm2X80myC/Pr4cfVwK4BQkAMc9/gnj6GMTTOaboHE1FsgoX+95kJSB4fOyyjB86
3FmdBTl96H0uD8tYrxczCdl/1kt/nloCj4FKpODw/OcmfwmBRXFh+RjmwnrTn9e2qa5poF0xJjx8
TDYPZzFl31PE+ZH1MdOmyetPaqrRNduwuoy96y7awIZbPnP5QoLgp/kpMJIUYQWVikIlfBgn1tWA
Y4NdCk46bPUwOV8Xyxa8KzgP3V3D2yQK0rb725asuNdrXpG68GYjk+4zkmKxbcOW6WSW1BZ7btJf
wVsf9TRmbCi5Qs1QRLS1jQZIYNMLIcXQQ6jy83ox5gLKjMBCIfko0pNLJG5KjEX0y009Uvmuydbo
9YBs0gDyQ5lbP2myTzPAxDc89QfV9SVvszNpurUrRNt2Vy7kPOgaiCjSlAZoonSvxKixncRdT9zU
FNGwzJW+bmlemg6br8Jw1R5sBJDuK2/PIL32G1arL22N6tc5NKbq0GXSUOBKTQ7NmttJA7hOP7hR
5ivL1tDCjZtmPyDuY130EYXhOKx+u8tMNZrDtEhysSTer+XeT/NaVh2pyjAIDoVTbv4bGxf0NvNY
9ro3Yh71NMDiV90s975gCs95iaaqeUuypTU6ekwukPMqXgAy904TRcSiZef5h8WppSrSMrZYB3Z6
42Hb5kyjXMwD0IOehrOhwVO83LZ1OvaNw7YEkC5/yDHLNi1XMX4WOKlFj0AP17KO3Ro1n8ZwTyqT
9wXlPd9Lb7PmcmgjYPY6G/bSzmn6uHLqvtqqifeypuNerLwfeMljaO8NBqJxAcnFpKZxm7newrp8
B3DYBL0D7vqIWN2vR7ErG86hvCxSt6jq6mMrSZVp7PD2dkgW3ye5rt8lNuYNUPCZfoTDqM9zHDog
Gk1k1ynDA5BvR0yjm8a5BSAvoT1AzKQaXU191xVkRVN3ELkbsPY1VEq9+B12Bv1nlG+sp83X3gq1
lQRv8KATMp3XU5XCWK7EqLNd5ENTOO9VueJh24sKc3oxBJvvOmzJwveALf69pW7/zCqo2npeeHWx
jhG3Olu2CRed3+ZQjDxT8H42tp+l29JtO0+KFbRF6BsB9Ps3kJVtLBPu9x+iy+uvpjPTUHZoxevF
ZjdOtckG+jFk3fjNpQW9cwSrd5ldkC3RRtvL3rW1190Ad14QtagVFIp9fTPNu4tF5umWX8C58jss
uVVa9XkHOeYYveSdFNUZMCPQCALU3nAgntfzVc1mIKGZiJKcxTWr6+MMfCuWvelEVc5T1816440D
etut60UrjefabhmFYySJmksqutCVzdwliM1qZBO0EQPkFws33oq+m2LB88ovBegOZNerdwgXs1/H
H8yu5lY66kPB1z3JYms6OR96lJzX9QxCF9xkCt2hi3WSl1sQzBZj12UX80ZMVnTGbq2eAE18rzK2
rzrfR+Ev4eR+fZM2XuOzzmwA7xJFHDQfv7aonCpcYT3vFBQCDa2mjWfMxz5qwPceFd0kWCxThbbh
rIkQJ7rLYk2PljgFgT058hVkgaUtZFPRNx0E66oDmkR/TsSMpjJMrfCHakcVKdkg6UeV+qnWed2p
Nw7eSJbA1pHXMyS3hxdsptdj5rpY1mKYqR5bJuGDfU2+1o3sGj1y5UdgbK34vERL5lJMCQQpO1Tt
V0at23SeyZRddFzlf3k3ZVXZKofvVjH5d9k8RlekbMvFWdZkCt58q4arsEN3OYDIk793IjS2yOQA
qWQnqr6RjMofk1LV154P+0fX23S61/WUdlTFj9u2E9j37uVwwGumuOZNDS0y5jL7hnkNoG6inQII
ZTi9qXGz98exNXw6JxST66lmXh7EDldz4N7mxeLnEaQKP7P3ituVl3mQcS/dOo5Gky4tH/wG7UW7
GcftwLY2IU0IDxAg+9y/bhrMPUTsZLyGc6Mrisb9Zl4b+wGhZdi0t7SyupsCB7HImtqdqxYU6SIh
QteD5D47p9MwmyKuAr/xrqXrEbSm+hzvp8gfYlv/zTGrbbF2K7psICJU2duA2TXeGJA3NfUqFXk1
Z9lRTgLgXLQMuG4X93fZQoZ7tNP2C3yB/YhZlZayXcfhm+zDorTdu6Ypm6pBA/S4xptyk8yVyIh6
0NQg2ujFhuY9bpTYr4TipEyU0OGtJH6qCjdSECRRUOL9Wo3b53ZY57wA8WD9Mlu3+sstQrCcs5i2
7sDnwOdCTiAvlNFv1p6veBeg+jDmksbLsv+AyonfqLYCnWCMcql1mk3dlHtLp6CTR+IiLWueChzG
yvUaObun4xJd52vNa9+Rt2lhaXltjIg31lRRlDt2Yi5ia2NfhLCOrfaD7/8a9j1foHgjkLqK4DpA
gTMObDtrxrqn13gcFNa4dS0v64bl2YGSfV6LzXC5FnL2VXV0KM1TwTw2UDewiZeQOYKWvRLzu87x
dMRdIz6PZMve7w7v08Vu++6arBE6oSEGgZJLU0pn2d4d7OKy10uqfHPOqm5sixjeN5Wggx7nui/2
MV73aoj3vbX+Cx6XmzAL+I3KS1/3rnmBmP+GJABLPsE+kGIRZfQRUR5X7Hu7irVQI4qaStqe+a1X
qkygrvyN8vEDa3hy2uAuXIDyg+48Z+vHhq4g6c5ooOtLO0IU8Oav3B0jkAoYMHgqGTmBu4d4dDIA
54euS4VSUNQuZxROAbQ4eiukAHlU+Ub50pKs+ZwjWTeFD90oC7w07ece0dQUi8TzOzU4tOulRiBq
Qh4IqUE4aeTbSLG550SYvlR2moNWRoYNaBiZt9OSG6DFLDN/L5No50NlFjYUJBEIp5p6+30MqsKX
+6DGpWh4np0nBFhXzzjLJj3PW/Uh9Xh2YI9s9ccKouU2omql5VQn+gOkVPTN7jVrdKfG1ENzrQZX
oIW5tQTDpYfD7Nva6WoBtH6+LzlurkTdi0+2WZMpTEXDNwMWzweKu54X/TCPAQTkZjizsiYAj6Yp
Hw8MFPDsirqW7SWvE9+1EF2t7bp1P5rYjkL7BlqpXqAd85JR1lsdKyReI3Cj/pJz2G/ndmvtIbjQ
O51HhbJyqPngdb9kc1dIO7RVybdmmguADu7Ih75nukeuOtg6jV+SCrguE889LfoJhNNiiMr+VWep
hlTkzh4ywmd8JvPY/RAAc9i5TTM7ToC5IJN36o2msLYvmrbzVWHFNr1Ve954DdqNfQ0dQMZiRN7H
cu1M3Wrgmv4a4B3HReWyLtOLMk69IDo+pUoc3CCBc5DdSP5Ec0wuU42t3FR0ONpDjaF/Tu0OIM/n
2RWIs8OBTBaVXduiN2KYyAtq0m/IMwUFAQFzBqOP0VPm/EIj8UYsqkClK4JR25vdVP4s2wIrRUro
KETTviBpPlUuOAW2DtwwpxSj/FEm+nWXSxehgw3rWH+VfmPFgNN6lNATP6nQLgA+KvvuBcZ+KjkP
8x8yH7wljghSnOFHfBQMjjC3s4hFVI1/bdWafWkjmi83xUHXDIB/lyq2ZWZSBd7fAPp/JkVhlA9v
nt/Jb47PJFaEggguFFSkh9edDY0Epm5gI67NQNadxEEty3w+M74VucG+QFuHLp5flP4mxkDcJT8F
EilBLHi4asfm3ObDHAtq4/z3ANHACjwHKMlL44fpOGVT1xYZyPDV2SDWietKme3WTKSixQiAYyh3
T8JwWKe9Po6YN7yobErXigzCFiQPgIHZIpfp2HmcfUM0Agoj3n7cN9+VtWlZkfZuO3RO0WvFZ4fL
YcqnQfd5cKLgcXYzuEpy9XrrmT3sAxnqUoINuxZx3CpR1uCGxTOVuQjWEspWvaBmrQ5uyiv6QkY+
VT55TgkS4KhJBCn5SPls+9kgAK9LkcJQfQGJoeOFtcO2vrDO6TuPgjIHATGXIGUiBFrew1fJYOWp
9VUqmglT0A4lA9SKBT4k595VbIFKBaAxNJqE5aUzPk17AQkhRQ6ythQifxQRe60IF6sBB5AYfKb4
uhxq1srCK7ldZq1aXhBUfrMeg1kCBnItI4g9djLQHNzOQj8VVa32N9D1xgbs5LV6O0HyN0UP/kL2
wvU+fUYwtRTcMAU7RwhySopfKlueHPx7P4GxLGgozCTBXod4zscX1nmaXCAS5Cd8gU+zCz+1sF/W
wcnFGBgU8HyLzQ3kfHtMNdCLGofsa+qBT3OAfRcg480H2mftzfPJ/VSoAsIGUiRosoBVgIU8PCZC
ldnRDBMF8zrJY0pU3eDk16JHyH19fqnfPCIHnRVMAWhYhNNHVRTJWFuo0HDSfN8+mFSTSrs6dwep
AGFz08XP//mCEpxCOBw4LzBx8vBsdspQFhyeCtnx9ihB7D+vgKt+HHOxvR7F0r6wHnmq7AqYkiFg
sYDlAfn3KCXdsIkoEMRM6AHCF904UNAj+34oRyLzMxyx2s+6JW0fveBZ1HZU7HPWtVuneT6ithBd
a/yx4nN6E1cFZn3e1iwUkq/pfTtlvC2R30Ag3pzyqFzqiF/S6H8Tjlyd/FyoFLmSj8O+TybijYKM
UYPeeBnS2r3t+wZY58hR0Dmv68t1yeghDi29sGTd+Qv58LTFQVFjMNHBTxo5aOUPH60G4SYNrIIo
iZUpguzp2Yo2/2OqOgFktV61QDBi8Hyk/CbZoZISxCnMh3DyuGZ7lW8pBjUVK4Gg3MGNuaSm3V+w
nX63CkwPgfEIuX6S3h8dzeUTJhZWES7f3wUASwWMPfir589y+srDviAEY4LnDAA5B0/j4SoBMGBC
sZqLNUh3xFvvy6qlQK4HfuKfQbzwYL+pIDnAA04gXgiBqHm4Xs894kuQwHPJwK/UlDVf3DL1R8wc
kOjnz4Z/w8RyRfMcTEUKLYg8KldQM3KQJ/qlACHgLxBlw5WPI8jJQDsuGj+NBcVZfgNKKkjP07gd
2saQN/PQb8cOiaoGXc0G9NKmfpP2EguobEDuYA6Jk4c3MO9BjU23pmKqs+qtZIM/l1vrPk/Yb6kQ
aBEH6asead827TcI8EFzktJLNPW0zKOHB0sH7DXAHTD/kj8CHsNUU9PMPbDUNLJce7A/P8WuJx/G
rY45mEox+5Z3jaw0cut6L8OsthvbGHwHFIHAOFsnZX14/sF+k80SLGB8MvwIXNGjq4lzlH1OI4xs
ZNXtwOrtgkZBL9G87gfVAElcYEbhhYt4CoxOsyFguoASBh4be8RJpM2kXWuTCjbs7UVd1bbErFMa
VNaxyKHPHfZ2Rq/NPMe7//i0CkNzoxQYCuzgUerVK/SbVqkZqHaHbgy4oW8zsvUwHifq842H6Tuw
VHf7/KLk6R3LnOYYTipPPfxxWXFNX5/UJigrwgVZZDyR6Q1gtsaXEbBDpWM3pb0wowLrowLcmw4t
ijt+PZJh+pKvpAXK7JkZig0ZEo4g1kkG81bJrhp04qUFYdDjNzAmBpOsnWT3ZuJQmimuQJ+p+cqP
+8j6TG+A5sWZWRqyQl+P23W/V/EFDPG02MBAAgAWBIMrkOqPlZjMWumdBBUuSzM/C6yzBwCNUauq
cRfP3+uTpX6yapgtJCqHCdXTZOuvALCr2r41Tu5FT6aP+5itZ1VYOJiMhv+nAQsIBVSlk9MMBoR8
nCSN7LceL6B4gTbelAseq4sBZJ8CZdiXa8RVOVIf31MyxOPzZ3w6pgHBKvFpeotTzmAPDw8JjYHy
qqr3QgmLPgzYWE03UJaDFO5833ZxYweY2Mt2MMXAkqBvYhvdO2xGptNU5xddO8Y30Z3Kx/M7e9Ir
BewMVGjI4dOgsHjUK5HqqYOj70W7iurayCSueN3Ry+dXIT+p+4OiCewFxpdP88M5KOnsUffiXSL9
6MharA5m9I4NVpkpptxbcsjB6Pw65dZ9RSs/TVHxNcD84NAuYDpSVy/AucS66QUMP1soAz1Zw2R0
+EutnfzuWrfigxmWQV4TECWGw9Ih9CHLxvltL+M0HnmD2loD+hv3siKtq0BBRMwVeMyEuWDLSJIG
K3wKRQZjx+DdgAhlDmvsx3DEc5LXqh2rAdxt0Is16gxoixtrUNJxCUC8uz2Cbth06VvEGMY0SR9g
+ggUvRS0SKBHlovx+UdnrEFXwSTmLuuxA2V7CSnOQOERihdLJ2ahhbLtduFVVoH5BbU+K/1CUzxP
YDDm73u5harcawiIH3Rc+Cc1rvPfXLp9ODd93yoN9cvDXGAIm9FQfzw9AikH6ynADPFQ9vM8fa9s
Rf4CTyYqPWd1D7A5raBw87kfb6Z+qkCCJ30Fw8l5Vt/zvN5O/v3YgPQuRnbXjIw4vU1j+ta5iv0A
65Zc7SuB6c4sdF4dhFPDUPSbHa7BSsHt5d52Q68FzErBxA2tpw9goXED8FqBckM2GwzsoxVJI7FZ
CmOdEZhf3giRletCc1id+fBh4HVAZ97BoHDJ5wnGTpdp2D8PfkCfZDTjN7BF7aJ3iAWpwR7ZBg1D
oWNVprj4tzVblztJhhUdBhW2v6a9aogeR99/ytIo+MF0k8wKIzo66g7Yaq8hWVAFM2vLAEIyDOSa
83zHXXeWSD2cI5gXCuegi0h77EaPUclaNE7gkQGXKGGSG5z9sdtWB7B6Ij9YM4VYVKBSJGB/UOH0
CoMBAboADnoYeGe0Woi7hhm6XmkB2AYDmemWujD9cBq66F3mL8bJ+/oA82bLBmM9KbGyMgNiGld1
Ts+MXdbvHmxT+tqQSh1REpEd0hbG9rXLxJzrtmHha4Aid+OEka6wZkzXMB80fGnNSD4msLndIdq1
SmXKTprxQoJ6r3piPrZqVaJYQI39jsCX+x73eSGgSCvxtQeoJvQ24h3m3GEWFGZqmmVTepQj56UE
787oNVZZGTAIwDAYmpFPlIN3GcI+3gG3SRd9R2mvY7/NXWlMUneApLNGx3mcjgPbQXmeOIOLmeME
U91hyeV4NGCrwhNvmbPFAOAcRsglTC/roYOM1KYf1d/cifGr3UH41pOhDEZCCPZXeJvU/bbMNZQC
YWbI5yhMV7okx6TnZjDg0zLhs5LCANNQTpLP6BhrGK6+soA93wCzqSYdMgdzdMAJavJCi3pajk+2
B4F5UgFTLbl6hLubqettswDIZ/U4l93E4M83ZH5/qR09gW6gKMGfGFEgKsFMJoyIPWxHU1U5BfYf
uK1pAf8xQLj8ZfGOtakyeQmxFG+IlfOVZ347s8aN38C0h5hxVhYWnWa4djKerxtMnpD/Zu/MduxG
siz7K4l+p5o00jgAjQKavLPPsyteCA0uGud5/KP6jvqxXpSUGXIPlVTx0EAX0Mh8UbhL9/Jeo9k5
+6y9CceyZyT7vio17aHka2h+c0T97PB0HGHgPnGZDf1FX2iRFAfGpHrQKcspdpEonIfCdhldJMBK
Z0zQksV37Gm6Zd8Jb2vmtMeiTuObsYjS/mwFiGy/7I3miYFI0v/m7f2kfqF/1x3JuzM8jvnXnyUl
aFbg4RgDkSfmx44Zd1BaRfu+LNVvKtC/Em18bdS7YMYuzS3o1uuXAkcoMy1sx0AxN92IEMaeotNN
XhB87Kt+8up92c9uwNwoulDxVJ4NjEr/bt/Lm0ARR5+mkjGAx16/CVmVJmcm0FieC20/zqHw3Xp6
b8rOuhyYHf6ms/lLm72+HG0vIxeDFfv2mqcBgdV1kHkHNZiXkZ7nHydrSY94B3AieXH4m3vjL8IM
r0ePjYeGag2bzpvJR8oho+kxypzQyho6Kq8aX8uL+aLQVbQNvdA5jOHi3rbMpLaNG3L0/bpW+kub
sb4BpDvAUeHx+b4pFUs3msdlwvukl065ifvcOZnN4nyQSfIyJPn4PClLPv36Nf+6hnlNqjKkBUuA
qby5aF3LVC7acgrCOE2YpcXVcYKvgByNnN/scPInX6hhCI53Se/mCGd9Lz8IsaE3a8pi/BogZsRx
EEOBTH7fWPb7cfSc/sxRQ/se2SGL9lYiEaBtPY7PlzDkaOfOtm4rFfVPsZaIu06LwGswiCz9fpCV
8WBrRlj7UywvcSuFNzq8Yu6XMsduZJYNeoC2VPrHpTCtOLCB9fYZKuJDUXnqQ6iLCMyJNvlsHArv
YokHV+2ENUjIpC7Jr90wmQffntrC2VRGvewn6WXxJsnMCHi6SYoPs2OoeJtrZvVRttS3jF1Hi37N
AjXptAR3SKzlughGXVNy75jR8AVZfZx90S4No8TRa6KLARSmvhly5ebBvCRxuXNN6JWgxvv3O9Xg
Z18Fq8ymqxV8GW+7EqYqnS3NmoZoyt7nuS3Op5yr04YRpglUovjN0v7J67FnoNnS5zFf+zoA++Gr
d00vXoB8KGA8o8M5ZoUahJNT5YHGzrZhYeu/2zJ/srJNXCxIWPzrGFre7FbYrKRmcD/B3y7L5cSB
5keVWV6CnLQfyk6lO1W2xgZmNTlvkglYi5Yaj5H9XHn6fAAAc7dDopubRMuT5jd720/fHAe9QfPL
5+K+0TG0enS9wqIpqo0pfjKVl/pJNzgIWLa9/KbN/sm2Ar7KvQ3wwQT5rVGg6/NRaabDa3nJ4Md1
XZ9X/aKfgWvW/LFU+7BU828uUPzsG6fRNhlnUmc47puNpS8TFWuSKxyUh4Opnm07PCtSW1m7yhKD
TYEeRvHOGTPxpGoNt6MXVrpvdBCFGxXHw3zOHckxNyfoWX4T5emnyg3NjBlnUj/BOnV3EgVuCZrW
qqfdktfuFf+m5WyR5frtIJO03ldVUn6BsWX82WtD5/5mS/srSkNfL4Th4tKybJOv8vWWNnDjTiEC
X+DaffMYI0jt0Kbzwa+MwttGYZNjnzO1IBpAwFRmIhCnWmfhhLHb86b2msOvt/OfVJG8H9cxPFpu
XX/rGGuMKvSgkMGdiiqNqWIZPflMxaLftPX4h99IobTywqL2YaCFNfntfLLBLupV7TgGejTHh97Q
y247Q5zezE4xGr5dQEMy2EvUhwUBqNsY9jTWcNl59CGZEK79LDTVMW5CWflWaee3OrWFc6otym96
8taog96ZpxuEo+kpzjS9CZZ4nCLfapUWg62rMApC5qdnaZQuVqAVdvmZxtd4ScXk0IvrsrjFcZuc
O7OnrtMMJte3ta4Nd66uAzsnY1g/GUsF/Z46AGEBQJH9JQvrbNnNqo64NUQifzfz/Cqfv1JDwOOY
snLGo+dbGLtfL5ioc9wkjCsZgAUb5cbWsLFqS2iOwDHLAMLnGE9oc+LW1aTXsTtNU36qctd6jGVo
3qSDVUQ3lB6ttQsZIPbnWjjlH4oZ4/KmSh10Co9332+dtvbKO8dJamfLiRo33+wN//Obc/7621v+
5hH/VFYMsSP13Tr/rz/+28U/Hfn/a/1rf/731X7/55+uqpfirmteXrqLD9Xb33z1F3m576+/Ovdf
/eEvNv4fbfb/1R/+F138fCW/cPGXeVzEnziMvkUCfDXI8ze+2fg123jHXYHCCMIidQRqtsVvPv71
R+y/uJJcyBoccWvr9d3Ij/vfpsKVHlogoisn5L+M/PwIIsbB+4+PiSYIJ9E/L/3Vl0Tcwfc//2jk
/9qS/Ln8aKAMjCgAZ6sZZz1+1rPih3PY0PEDdLFRb0SX67slcfVgyiyh+aGWrWP+3uxoqLB5tL6V
zawmFWXtRhoAHnWaO5U/drr7khbJycJxXgeZV10bxST2fWvbAzy4KL6IUkMi89IKWAQe3cISDrW8
qY0xOo9tbca3zMwVAXTszxN3mJ+qUpRiq6whf7R7QzwUdd7v+zJdTkx9prMQpLv2IViaOKiZQm8n
tVxW+ED73ddv8v/Gmh5emq5vXv7Bkm7/seuLzx86wiD+G6xuYz3+//Plffsf/94Xb2Itvv6Vb+tb
yndYLF20bM6Xb7ES35c3P2E8aTAc00E5iYlg4X9f3Vgu33EigdF4q9j8Ldzie06FJox3JhZr7hXm
tStBa/6t9f261mFnRWnnJuH4wygMJPTmPBbuAsHZhvCRTqq0S2dMxzJwp6LVNsOEVXBnzprBIYJo
GgbW4A2dH4LwjmfQwVbkT5gd6q0Zesmy1wYQZz+E+myPxoSTJkCXSrKTY2jV6IuuC/XA9MblFmtm
5mxaU7crXzZKXBeNoxWbXnlF5lvGrGD/wag+w+94kJF1b96GLeroxrQm2QRt5gEyxyNqrxUh+gaD
WT23vV1+irTY+WgVTfn576/z/2678qqI/OfL9n/nLw2bcvGPuw/5Ot37c29e/973vdmw3XcG9QPn
O7gKGyB3wve9mZX7jk2bnAtGqMx11zrvn6vX4EeQ0uuuuTrmwMH+tTlrBjErLFruBiAYTOD46P7G
7vy6ZIbcgcVewWxc2hwR2KZfb85N59VghoNzJxZDbKLVTy/x/myRmfRjmHTtbxqDr+zoD6cBM36b
Im51aJsY6ey3Ll28GF6dL+Vw73izGeKx6bLYbyDeT4vX9ht3tMS5rPFU6dRlh5I2dN/O2lBssBuo
UxJy90w9VkEY8sE6mrE5vxRV/z53JYqsYxjWbWPNKwFspvsoNLQrLXEGYPs2j49zMiQfJkJW9MAo
C32j7A43omUVJ1mqnRE+Ohi3HB+7hdhi5snf/7A+fnISvm7A+Iq5dKnDUXroipyub7pDQ4R5OOdD
d58CGAaxK9Smn83npTHk5tev9HpLWl/JMUzc7rR6FG7WW8XV6/SsMVcoqnDi7jLOIuPokLOwCZ3O
AWGOqvKsH6PfYcNvFMNvL8sYdyVuLB2a9U2HaSpVToWa8vumxvEv4t7ZZJ3XQH4zIkKFQvqORlyQ
nTovnOkTXNV0/+sLX+OHqtfLiwMBcYENmY2de+71etZpDRpL5Pm9WRfiMqqbeD+5nec3Mr8sHS45
MtNxW2lutGO0dqOrtj96IwtRT9PVlCVJEUm1cW9nTfo+tcoG3cCJj0NpNScxfAFXrHbz0jQXWTOL
w6/f/Nv14QlndVDTN3+lfN5Se9HSk2Xixdpdoj/ZuCJL7STS3y2Ntzf8+iLkOoARfaU33t7wQ9TW
Whyl2h3GhL0dv3R5tWcX2E/fubn/G5XNf7NqnWX9i2OhiMrs1XHAr387DYTFhg8USjoBisjXuvr7
YcB+j/zLqFoyTuZ3Vm3mn2eB9Q76aNUzaN/wzRgriPTPSsYgqQudBW5CJzGGH/2tSuZrrNKfNw9t
AgUWLTYsvol2Q7rI65unVHpHyeTsHKJz9H2TLR5Tj7zqSXfYu2amX+fhIO8gWvEwJRP+o9UspwWi
9ubPkWYDcBQIiR/qGSnW7zHlPjeLGq9mOWh/dDHD3A25SuNTkzi1FbRdMl5aHePBs6zvEC0sb7CZ
MOaN9mmwNIVhBuYYsTYviiSoNepDv0nmrAqytPfuEuhJ0EVOXtxTVjkP24EoAHMfji62aD3WCocU
rN66L2Wqg7+kKvwSpXqUb1I8vPPWyHqCgPQ2ix/nOanLbazFvALOj+TekcVI3pImZbkpsyzTfQaV
fbIZGp0QmgnbqRXQVJV14Fa1PgRxYXSP1hhH06kamUBv25YRvV/j2vUY1E7jGF1oaZPtHb2gwtuM
s1sxwhw1kaDgVmZSfPlhyf3kpFlLzldfJAqfzaWvCASDk7c5KGNVLQLx64gJz7lKdWd8QtD2qt8o
Ua/3K/51F41NuOirpmR04L3Z7r2s6PpBGFfjwFB1o5VWnR+asm/VgYlnHF//+ppsa5XvfrgqqFHW
JquSF1wJyLf7Y5EvaRjG/UcaApCN2kyz58Jz8g+I+i1cS6yV6uSVhahRImyBm8pWHvo82/W4VUwZ
zspowv+2dGp8nzQu6U6KL61uX7IOcqJ8jqLZK/ZVZkTXU4rZ3++iztX3bjeH7pk5G93o220L8i9s
bNZE/3iN6Zu1mc1kvkwTg5MJr3aYZwqvfR5VF56htO7a7IzyybXm2PTdoTPHzULpt11wZxlBptUT
HrhllCtPFhvufTiaZJRljWXm28VZzGanuxVHaB+3q9G4a6oDZ/s4n8AW4BO0KueolUnZf9Zz5TzP
rK00kI3LkLKYrUEd2li3D/3SzNWhRp5291Jm8qVzlTyNskLCGVMs4OTGafHgddu6nRhjb0RNKz30
QSnmpAgSZcirxpmZlDcLfkMsbkv+Ma2XxfKjuouZqBOANnDQV5OzJ5xLXk8FTqxTbMfmSL4BHwFp
bGn6sYuGqNiBn8RusAgnJRKITr+mCivzGo7NFB8MxUwq6NN8NgJba2LLR34jxCeb00LcLotheRjD
lDOuvmuQajNv5bnd5VhZ9GEMT63ET+CrrE+9s4bBsggWz+qflOmRnDY3TlUEpcv7PFmVuSSB5O4/
X0aV5URfaP19k+H+9bWI2dVuyVLzaRlE6/phg+eYdArX7rYqb50ySK1crVflpg3UQT12p05z+Sgo
3ae7KgpFHCjU/3gVJEAn5tXKskeHjCWGuCTEVubWY87SmSOGbkXqnJddBlWuTHPSjgr3jdpESxVX
e5x0imCZAgtKkIy1Xmx7I9HBPsrYeEyjoX4Zozl9UdB9C4ALaY3cjYtdY+Vs8mMjtF4GqdtWOGby
aTl0OMfPSf8bYFgaPQvaRV6KRBTFqYqbxGAElKSnpZ4s6Kh5kU+mu0wPo+ZWp1wfOyrjbnxB72Qs
xqcoNo7VJFUAYBCXG5rJVOABzvs8wMBptVv83c217aYMisdsKQCmijkR5EO5g9p0Qrq4PRbrk81n
/JRpWiTP3Mpjqi0aI8UFuwZD7JeoUZov677DYhRHfBuZiF0A4bjENN2IYryb9Tbvd5Xp5sq30jnG
QBMVxSbU+7EJMhcX/q4D5jh2NNtfMjaYwk9KVONN3cnmYXE1sK7CFM29QVDHi+xHU/ijabdHOZGI
hhnGaWQwcx6+8C2mziacoxFAMdVUtXVnysMN04bwpsyUmRySpRrAbHIQsqCcs2nxIxssZzOI0v3o
ij670Ei2MM56LOdfJgiVq5GUyRe1lFWz1WpTFpvVjKpxbzUxg70xI8+Hqjd9UEvfXDjVMn3BRNKW
/qTl4XOVD7hGWR6xu4mMim1qMUZx51ltdTtXM7/GTWRGvoC6mTdzXDlXkZ6KaJNFY+Pssg7pYEfE
R/SpwMrOZCilXO/IMUqDRgNt3yyuuTZKA5hpsLh5fGjNZTCwK5febegWpE7SZ+h8YAPmUYIULNIX
ilCvH0KOR2Ct1Apf7EXaiY9XRUBHeJnOWC4b3PNOmFAcn4qpSLtAq+skRxbsSRUsxzZ3wYvs8kZv
pyr2VT3VzcHLiFIw/SharHJvkhIqljPy4ZiyqB5Tp7/oUhtOdW9I5H5N1NoGElQKn+3BcdBgCCRM
s3nRyC5sqhsxV2MRmGwDw8YtRHy1OJIgI7vUogvSRyNnW+Gw+YOGMXcPGrzHS2xHptzZkZofmloL
bd9wtQI8yW3iQ1fgKfQxvCYFjU4iXIjC1qwuvXmgE7LbItYzojdmY5+lEWPIkeSk6qRMagHwqrSM
NmMYL1jUlauTjNAZLw0RjZ/JMuFT7eZIXZlSaM/TkABmMs2MvyTRjEkstLO6P41p7kn8FbU1A0TR
7gbC7WWPjUr1X0jiIkgQcadnwptbmD6seZr4rkIx1dvMqtveZz5eF6RIhEvrj1M9JSTS2Jbwh5Cw
S3/wPHb/eF6Ke1VF2ieQaOu9t3Td1WIr56lsGv1TEYYMxD3VEoLjmIs7c5+6BJ1krYFByGj0QRJq
o9dEuPC5t4HThMlTggvaCmwvkvHGGgAwAlNPQrwp5MPV29iyzI/KzoWArp9HSrhZ1H6t6d1VyPZb
BBEdJlE3uAn1M5mX8jHSu/iuY703QTjL9KZJBft+haP1auq8DBsn3LSCHJs0g3CdbHxfRYPMmNUt
qtzM4BZqY+VVfpITd5fvgoBGGw7B9HpM2p5DZ/ZKGcSEnFyTp0A9Sb5u9ik3C9ANwkz1L/XQF8/p
EIWf3VTPWt9OIvfZHXq+fKPQdHujSHslwcQp7c+ZkoRjYnGcLd/0ukJss3Sy75cmsz/g5I7eA0nq
MZENHYycnrZQalJPGCuJaFFTEGuabvoxowG1GYZieM6L0H4mSHiRO49UB4f4sSytp+wsHceKeMU4
jkrKg0Evv+QGBAGHWCsuJ+6yP8rKMT9JZ0SMV5y3hGbZi4o2SW7WKekQqTOcg8ZkDWf6qJrr1vWS
ZwBDyLgKjOOQG8tMSs9Y9/XRGVSRBhOAXrtzwh6c2yMEZQnakGnRVoWkAAWhrAlNElUMsi7NaXH2
Tpdp3Zm3tFX1NEdmaAUTAR/D7aQK4PtoHIs7Qh5DcTlq7VQfGm3BleKvE+2GbqNcQovBr7Q6g+xK
u5HGR5JboiHxQS1mWQTYanQKM7vGMtPvSUQQcw1+CqNS8Tb0aHlKY0rKUy2rfA450d0IVrKIRjki
xgNKjH6eNkv8MZZKWYc5ysgkKMswlOdZZdgCHjAXOLuoGocwv9aISqzmQKOMEFhspVSFn2VpCrqF
jczRzMDOYqFdzwsm2HO3B8ONCMtrF/VZNDLTdnlhJZheGiXtz2RDcz1uWMSxtc1mdsaj7g46iImh
plSHkBsLTwRwMGW8q0LRVJuynrgKgghmWpmU0bazb52+jh9AiZTMNkntJv3jAqZcPsQ9QM4ua1M9
vO+TXJqGn5pLbO8oRURziDy8/L0v88YVN7GCgHB8gwwrYv8Wmo8oiBW8nvLHxOEU1QreLWb5JSW/
hB2ybB9mBhseqVnKJhTEjDRYJkOPrPYCEEMV5wWJZeMFKK7TlT7STIpGpSYa32NoNbV+1deWTIOc
+KLxpqqGUNyJtnLti7yJMhHMoO2Pnrawpxkp2Rt+OueUN+5ILJURJpb5NKpp/tIaDXkdetoMLk1e
LbJDEZnjc2tUfbiVkzec1fYcuxBu4Uh5YjachoXbavcatfXkE2K42Ns4zBnj2rIT0XliO63ORjkv
elB66UjMI5pnULmjeFaAq/WmaXvLONTwR8sWblpWR480LnEyyFXWg1phrd46Jh8+6yskJqHqHBw9
izUvsb/kU9lf1V0GHN6FyZBuoWuraRPnmlWdEjOP4m3iVdEXIlk5eRVpN4lPAndzq8s8Xg5zK3Ox
tUKd0n4mWex6wvkL93uWDHlkcXQ7cL+U7DFtwmhRBtehys0NmlF2Oxqy/yQYHHxe6HujZw0k+zmr
muiGjO8w9aNyIIHJNluM2MswjZ+FPojkOizJg9gyJYepZon3M5de9tvcNji9waHbl4YloXxDm+KD
2yzL4KeNK2km9JlcJ2SrhlQ85fQPk2V2j5JTMPHnpS6I8Rli2/HLuB1v3LJskTAnVOa9ak0QUY1u
l1AZvZBXRuKk7kb3ouheb+z8PagWzjiPEwLAO6nMbFcreLAtoTnLx8VJ3MivJpXVfkksBbuHPsXW
UcjE/VSHcAWhjZ18k1S41H27YRbpZx5hPNs4yZ2QW8Qgnexrk/v/RbP/YaJR/OeqmU919uFVsP36
+99kM0+8M9ZRx+rjWKVLGwHse069Sxg9dnybO2sVfFe677tsJtx3DP6YnZA2idRJDtO/VDNhv4O3
XP+HZobKwL/3NwYo5huzCdNEQBx4NuYwr+baUVhw4nRSHKStjacSTXwTm14qOJURQpQboxjXuvO5
KVTl4vY13dTHIUuqd2zmRvdAzHL6qOnyCcKSY4OwGXTqrJvadOe0yk2CRDrqpivyAR9K7gxjxg1r
3LipK6qN0jPv/WRU6g/IeRtyA/cv9e3qHg0MszdiCJfKvVvGVhICin0yOs+bRJ7aYYpucWQYzMkz
Mt78QiN0MU30zvWjIrYcBu+kLMlBRI81qXbzwSwkhoneVqG1ScTqUgHTvuWAneNrTRSxCMhNy8BW
G8erttqy6gUtMSpy03OiNITau8V9ChVzI1ENrq2iHE+ml7UHuKom0K0ac9JiFxfKmLI/BjuaT/SN
3rkYRXywp36EpRuxS7C1YaKJ7fJj2LfFbq5qAK9mGffEI5YXrcqnswjlZYsZd1+RaXwTOVJd1A5h
ggBeIo/IWgTclPUkDiM5TX2RViR6yEdY0IiCeQqJuxtdDH0Sb19mx/b7DEXpkEZwA5Mz1WcE3bY3
nSPv6nqsDvir8CL2+rInp70JGtfr/ciSF4VtTp/CQVjUvvN8aaXtcHKybqaw06x7KqjiapH1iNHD
jYe9aWtEb7lD/USeizzVWUJsKsWyc5zpQRq/qpwCzwJJSGU+GFduEYkHncHPzll6x7fhFW4WEO7U
t9Os3VqajKfNrCftbbVUVO7GkCBDtl7ZbjQIhr2ppWvPmFmsH70+I8XjkBOPR+NV6UcMHd2Grd06
U5FuPZFPbuIO05+0SB/OZiO1LsZ8iJ5Cyluy4DuPyL6hNoOmqucg6ioH6q5RB4sPAMsJCVYqt5+S
Mmb/HamXHBsFlUWJw96vJypEH/CTrkDmhCj7mhxpUOl2wnFTFlyM3y+l9blTNGVkK83VURvJluWA
JpiisRC3KtuaL4BkyR/qU8LJlr5vWs7+Jm83MVGVgvjTaSKDLMn769HWQooVgoV2C3IT7zdEAwgW
VZtXpPVHzTZS5O0cccw6JCzKxIxJj5zHs0LlxkXkjMujIzXHvSyzfKgOfRQZ51kj9XtCzLRlHxfu
uLW7qqBJgS83bhtP1g4kL/OpbqeRc0lv2w6CEKeojk5EIXPa50qWpxHWaldEbh5tYN60GwjoZgNE
6+x1ZAFuO9Sei1mT3VPkJdVFjEqicZFlj2JmjO6eSWC3N0O7yg+cUsTXjVZyoQFmBQ5RcWfZoFve
ptRydDqLr8h3C6tWu3yJXB8dRnXbtlPaAyx8cUE6ZtOtrM2tJUv4SKvGQqMKi7qXaP/xaMtBHs2w
Mr5At4U3kRHmzWauOnHfmS2aw5h1gobKmF1nG0rSwf05DJsrcpiBH8rQiKSPiiXSveb006dec7Kj
7S58c22nZdcq6eZTnyUUBUmMGkL9TbnqC1OWV4swtBtChp0dKZ41qQoEKu/1sS+PlZ1jz+uTkUat
SjJYVrqSaWQfjow/OjchgKP2xoIc0XE5UVA2md/FE3dqMrrWNYtrPhe1U4d+Vy5VskntRqt9ndYW
dVkICnae9nFoh1gRcmWK6w7D3AVRrSIjrLCkSg7Rv8+xEpH+2LkkTBcVdefea3PnGGpjiHI5ptml
DA3nXB/qOQ8yslyOrTdbmzyS5dablESXIaHrhsFc1/me3mlHQyOGx08KNz5zZdye567WPBGYPczc
j7R5fszDJ8pWPDixE99hIJveUw7XH91hjEpSrzRxGMJpfPn7pQm7DP9/ixy9Qu/2L+X67Jn27S+t
JdC/AL3/N6g7sLRf1SR3H3gyzT/8D7g7/+Pfs5d8/pHx+Pp3v0Metnjn8HgApiE4OVbK7U/Igx9h
g2QWT8Lcilr8UKEYzjtGeojVWBNWAkNQvHyf6/EjZoBsNRAZ2GRd4jL+ToXyek6DGRzuwODfxzjk
QJu8fYJB2EXNRHSR2IhFrg8MmEEoaJ03Q/LAlHyvR2Jfd84LKYn3drxO/LpY25JseHL6zgs6Ed+H
5y4H3M6avecxETxKxCNJdl6J1r577HRynNMcS2EmfUdLkSU6rQiGAXNfsiyOjxtv2DsTbQGPHWm2
hSzfzwTC7RvdOdmD/P7ggr9VQ/8SNfpxJf7b1X9brG4d3f+iom561Mgfl+z6+99WLJPid+tU0LQ5
RdaCmhXzraKGj+HZT+uKsRk4E3jDT75X1BIkifIU3ohnQuFVWs0N39crf4d5MbNjwyVPba3S/856
fRsHstqQWPcm4Ul4KLh11unmD8DoUmk62YNjflziyUYveMDtOwO2F6TEePPjaGEE5Dkk6XCseBjO
0emH+LAs1eXsJb+J1H8NSzBoXN8JnQKmFbkqQW+IHUaZac7IMT9W6XikbCB2VVjxe/JrDf+HL+cn
E9ufXjSfocAosAb+WetN/MNF121i6oqxybHTQw5fEv4mDDIEdh7MRhmIOviW0mjMLmEJVy69nLd2
kyW7RVAnG33rbX/9htizfhi2fr10yGGi2om7Bl6z15//8H4cTytnuEsesFOOuAokdz7K/7aprKOy
R2dDVDzzG91++PXLrpf554z3ry/7ZqaMF9g05nrOjojjTVAQDI+q05oBSQ43v36ln3y3P17g29DB
HkgySxsjOyo1fuShN3tUloGy0/mcxb+9qq8+xT+vi1VMzUaAy9cPk6/3bYhI2HiN3kri9bUMbTt0
GCGNVsgUm6K4auQjvcI+94wvTXiUpbaN0lOlLFgky33mmQ08Q2Tac9vuQhfLI25sOP7o2I37rIvn
LVFU6SXo1eJbhUBgr3ng01xuMH6VtzAjxnVf1K3fatZHmagrHtdEKkxiPJMFQFyoXlKAGAelhgc8
DfWutduHhDkm+3c/bXPVDBuyAUYf7+N7NojhxqYPxQPtBomxrFHj7iVVuNjCUJWPTWeh9fRD8V60
2uXcJ+VpNtW9PvcNM+rhSRusgEE4VkYh7gwYBZzUkbrgYSIX3mTt2zzvCVmefYqj0Tem9GT0JBBT
6B4Sw/DQanKidSNuxFb1DzZxvBRu+bgt89C488zqzIqK9GpM5Rb6zWVg3LUMU2rfaqbBz2Sxa+Pu
hR7qMw4ohiRttu8sIgYbtaD+q/fu4uyWod+Vo06pGo2bZo1TjqsHfcyfjaK1fCKg/Ejfly3zypEZ
khaHBzq28ki6d0UcYVsdCOM9tKU4sE88D4SJxql4IQ0C87O0y71Ls+GHeNLG2lpTCGgTrb4/VERA
UpOaD5ExcSy2H7WQgWdbl7yx7A8kL5rzmpK9q/dLu9Ax9kyAcpoYv8F9ey4R6cje1/dDy/3SMDn2
mzaj23Ktu4YgS7+I68s2cjOfUkPfot5FW8KkroVcVr6NXyjtR8dYZ5a4ZbZ6nLuPHZ7+LcP/P0SJ
vpjTYhAiO+/p8dlzFpNOMUcKnAmR9D386aeJGJuA++ART8lH+FXvCan7QS4G2ilaOBGOq+hstkEx
9GTDUcVWznRYTHM72TTrCZnjtT5ti/oIHfRpSraz5/p9Ot9khr7VFK2Ig3rfKQVporqTlkfE4tfx
mTIKoshDnSHleBtq4mZSfQV85FzlrXvj0tjiKtA2+tAJ7hqYii6+XRIjmKd43OhTxkRRPNqRfp+E
1YndOTAHosxxs0zJk8tjqFrjTnjFMZo+R0qck40WVFO2z4Zt1ctNhu2yKz7qa/7t0BzdsLkQ5uTD
n1ZRGsQ8t2LQtUNk3EVs6OVobWG9falJ301gipzniQcb1H25FXV4ygkjmbN+S0qHOwnfk9UT9PgD
boke9tuLyusYcMLwdWmf/g91Z9LduJFm0V+EOpiHLUGQkqg5lZJSGxyNCMxARGD89X1hV592Zlfb
5d6Vd3amRZEEAt/w3n21Ko8OJF/jKkQJ6w9Hxy2vh6q57EpI5OI6G45ZeJ/l5Tlm3sRcSWZg1DK/
0DcNmndXDpcDkWLdeGjlvFv7Fy9cXl3x2g0fxqKIZlhjg41y8QFsL6ksmOffVwF3d97PHZctcnMA
GzNuq8joznwkJNlH0TAEEV8z9R4Wu05/4Jzai4EwCeOk7fGAemCu72H879PISqZxN3aAgWEL55jF
fH3dSC9xjGC/BVUYDNGEkAfb8RMjeibno5r3gUNHacuLFFlA/sTHG6n5fnabHULdXT6BMwJnXLmJ
FXGtlCCF7T3gm3OghEa/b23z5Nr8hTIlSNGFeR7tjWobpE88VbmEx/rQqjEeWhBI/btXr8nym4bt
aKz2PmRijrDgxh7HmLYs8ador+WQbJ9lDeskn/yD1Ji4NXclRDCUyzxIon3EPrUsDk5t33s9GJns
WwcYcQzDvd8RKmna+9kRh74fDxBFEOVnu2ajfa7JsCYreR+uvx4sUUOkRc6f28Rp+XFnL6fQfs3l
acjFvoCQOUTmpRYsGkz56KdVTI9/ZYvqh2SO1fhm4pmXSy2PHiQZw5fQVfPYoBFuzGQo272SxpnI
awR2t2uRoE+8Z0bDNJ2FS2EnNjR0dnqx672uE5JRbztTrhoAub5LSsuLZWHgqS1+ypXdlveA2a4j
4lObm6xBhZC9e214iHzkS+ATizZgDRDtPXBI6HTgy1/rajjatQlwXxITwaAqZabHr92DUztS4PKF
FV60d2R1huDlfCII79Ba+UsjM5cuGI8z8RLq0FWq2W9bVjPLfDjQ1gJpHjjcODKyWrFhcmisi2Ud
gJs8sjX66mt9NWVivcir6duMNfuUWtrZtVWJ8W1kujY+oPn6cuzxVlp7Wrij4WbhPjfkqTUhqmhA
GVPNztWoPnFrZLtCdtc8s05uUX20JC+e5cVwZ/flpXSqS0v1VaLN7PjnBQzukp+Kpa2oQH3gRg42
LR5/UAR+rtFyS3ka0aJxRgDOfsqX/r5Iz9DrNd/GuhyTUqyncsAGJRmREyiCO97dg1bHhutP/REl
Un1a5n5L3Zvh7y/GsKv7821paynFsxIqeVS8Lox1Kh4QQn2ka+/6+5DTZ2cMjygqnAeoRk/sp0QC
pnlndR9dFR7aBZEkZ19VPMx6i7dojPk6rWq5IieDAnOOKT//suwpuPWHFb1olQT9j7W7kcaY5LqN
EZbwqyjWm64yyAfI1ssV7m2ePWVOJOOMkZSIrg12qKNlXk5uIHeF1SfdGj2tDUtbm5wJdBjObpwe
ASbF7Tic+4FO37ZsU9g94zeL1c3JbY3+NoSCj7jC8m8FtvqrBUALMjIWQ2JlhWcKubwJsH9P+dIe
pqa/0kpfo6At77QPMWlZ6mdSU2wu6JBNM6dJjf59165RUhAZustC4M3TFty4tgTJ+IlVVMNtGnTf
J4c9lLfIpYoLZnVxgURJbHN+Tnh7ubGjZVsoIw6QbNsTArLCuBmi9BRIkLVeuIkxuqiEY9b2PHfH
yjyM1fpSpBkLtRGCFENuw4uNiWVmZKuLZjCXu1ZbT/jePCDG5oV0O+PKkCvXa5hdk2bSMgSNPgKZ
LYxjaySMfVeAzqQFKxbKkhoP1zFCXnhB4YXcCchTHEojY5LFicwRwtkU9fZ5245ndevIG1WhT+yb
9jg3hKJG3TXn4CVo0e/Lal0AEzp37Jy1Zl2/OIH5KIV+zowOXfC6oA/BG3DuaG7r0rb7I5qRYW9R
tF6ZfsGAYmJSiX9UvqTgRrNdNONdGWeW+HyTq3FXRdPwrst2/NY40ZMLOWTHbpJC232GcRwx4Mhu
S21dzh4QqKYaX1efWQZyqeI0t7OMyRC8WTOSGGrKEPBchHZ4R3NQrF0kvvLcggOvbUHEDEE3WgVP
cyWpMJzxOSyqvnlpMQkve9gDPRCipYwukNFZAZIYmz1uaCAEGV1bDQkJBJoainBjdWeUGtAlHd57
qXyeaHZQT5+V7Vz5A9mFeIZxPsqeSCYk0LHpvRbmRVEerV68l5HMowTlwcOgh+61MfWrN3c3AieY
NrqIwW2ZnRU9sQF9PQJZdwf33FMvDUF+a7wMxJtOnm6vJXSIJxb4F3q00R0QWovkyiJFaR3reCAI
x0BF0idt02asqpfzbmxIV0ovQcCczRWtgkF8iOE9u5lBxstCZsFOuYz27XHq96H7YutCXtEgUTUN
S4LaYUB3pOOqv3Jl08TbA22NjqBpd5Naw73NbcSNfa5YxqTthYK6v2248On0VYCgxDnV3PuR92UV
hznn4uAzfXOGo4EAm5CJp9F6axX/fT5YEd54sznac5s0s4WO8MGF8LKW1lPnMCpG89R231oPmUQl
zqP8tl8XUIfOSa39rS3rK6a3U/fUjyd/WeKSKoI04nC6Ndf+ALboEHnM/VX+WjIErzXO1eF9mFCf
U2Yf4W899NywzaAuszBNGWiDPrff8rW5QJeVo99ws+3J2Oxsv/PPVG/teuHEsCEQKxTRetbmLJxV
6R6A5yGbMgFslrsQjEddPQ/TZ61OjhZFQrBanPV6h7GFmnM4ZeEQl42f9P7EWF2eebKNjltNRRm9
Z2uKzuK89zkrdV3A4Kjrk86rM9d9rC3Ejbl7YI642ybYBlBAEVREfxILRmLCsVoeAo6IobgpOvfE
1ort/EMl8jcn/Bzmy6IpkH31xHx2I6zKVBTXcr4yUsqwGV+4HxlVjJ3xVtgg2ro1vJoVD9TMRr2Q
1p9dIB0OzGnCheZcy8Y6uVL8Llv/W/PBf2OQ/e85zf+Dxt1M8/5QYGx29396Fn/Pir/9lMMfx4W/
/fX/nnCH//A9PLlwoMLNUrZJ738fGBohZtqNdvLHMfY/J4aGuY0M4ULA4oDvu40bGff8wbsChN20
sehSuTBs/Fsu858dD7h/N547622G8PxQmOc/l0ICzTf70iJLehNxX9d669FHDvQXrOefh2L/fJXN
iEM4n+vwln5+FdmhoMGbmCHG6e6Ngiowyl/FHFy5rYj2eTneGk779Ydv4V9MBvmS/jAR+/018YcC
vQ03W9+v7O4m7JpGCszEE3LGxDRS456bO7301Po6j6NzNW8xq3/+mj9P4X5/zQ3RA4/Z4p9f0TkT
asOFdggiJNxnK6LfrlS20pOioPnzV/pXnyhDYwzUxOhxEW1Tuj+MGa3WI4IyRJ6zzGp6xJQJDI9Y
h+spG63d0qTWmYPm/LDUTXX+56/8v94jr2e7jHUZ7m5ZC798lxERUF7pYhYZAQKY+5YxyDf0ox6x
KqkNZ/jPX+1/XZ+bcoVxMiI1bIn41X9+n6g8JVx3VyYBRve4y9V44KQVZ/+PV+GV4CBauLjMzUHz
h09TLwEhWIUvEyi/6VXYVBgBhN0lf+9VPC9gRg0LH8smK63fbKB/eBWUro5y81QmlW6W24i99oHF
WPMXn9iv38/2KkzeKYqBt3Pw/PJeCMFyVVNlii57pTWDpfutZdN90fVW+led1C+3GC/FohwfP7MT
ZA2/0opKx9Me1DWVLAvoyShj0oDU4a+SxH+9BHgVKMf4L/ncQgxMv7whuczVwDRRJd3EMxZeBdv2
Zf0ryta/fBUkf+zsMUuR2vLzJVBJssvsrlcJhg1/p6AEAl0N2795CXAw8BDgCMSNhSXr13H24hWY
vSBYJT2ApzNGZ7N1TDW1wl8cD9tt8T9jc9/ZTLwhVkkANhsE8FegFl+CHJGOmklgKkpMc1ZntmGW
PzI3THN4eW5z++fX9m8m7J9eEYaRh6CLJxPXHCvTnz8/wTxnGMfQTAiwwkLQO+Z+sIzyQLwZABK/
e80wERzxkFkJ0W3qZLtVfhkgUfmLd04q2s/tPZw0b1va8nTEMr7J235p76me1zEY6zHBqu0GcauY
LKCaWZEEdUXdEaIDhS5y9m5e4FWaShnVj4TDZuEdcZnZciRiM/tcTFdVF3bVz+qqx4m4Pns2Z91t
y7O0vogUBpZ25zAUoUedJmZDBYKye2Mui3yPsgwubN26qzyriqm7VVY5jYdm6uSl2Y4ETDK/ApQX
2V35sEWhIHvzVWAf80wTjzYj12FGAulNJwXzZAw7cLZV0o95xMhompYPsBnFmow6XWnNLLxn3U74
dX4ys94t7yfiNJaTKrP5NBQe4YJmgI8jzhoxyb1YunW5tkpyHYwTZbUOLwN3wS+dkf512eYtJg+g
/CG6Y89sv8NDy1WcM6JPosZLoaW7RX4qiGFD95GV5cOUg0mi5M2Wy1Q7ZvfRhDWKz3DYblm/zIMi
rsZUmvE6WK06eJVgDNJWusZcgvnNTpxpCJ5UQF+NgkfLMDH82XR3rSUcNEWu8m7RKfktrgfDPbk8
6ZhRrOSS701Po8g1lCBsNHOgAtRRv4Ul5rYH9pkkYG/fWPY6J7aag3uzDjYM4bz9FLOcQxxDvO8v
g7wCSMduvnUeKlXvhUZlFue1GDJGgHP2IiwV3YP3c14MMdFwWBAGxx04BHT4hTuZ0xFTELrAvLCm
+Q4V/vQDiNn8RbAlT+bBzZ4RYsvXHARUuq/zCRp12makMivIYs9usdB69ClWhLhzVXDpEyVF92eE
xg14lu69HDtHnBWkf60H7W9zD2LJCZEj8FldYPCCfqUDn4sxbbmsd7BUFOSUllSp0cbMY2SBeS17
Xz6qBsvr0UEqSJalzAk4nYs0Oo6dYOJj2l3a71OeFB7rojEviXvF6E4cS/Cis7x7NurFf8JjOVdA
Fke/CNu7yISNcjWwUxuGRAc2KalpPlnI2u3onq/MdveONxl5UlIWMZUBUPzol0M30fMqZjtMuu3i
FBp6rI4S10RzID128He5DmF8MTvoIS8gWsQBl3nBjYtK3dkcnsxu3WWx18uMYDnrirFhqdMfZbjK
myybp4HvJvM/VrvqHjo9e4Qqr3reJE7TbOB76McXg8BmA9WRFdwtbbEWuBQD/JIpJOlvYmqRVoo0
7W7adptMdxrR/c4WGXZqyxLjQzAUPobOsIgeSjFVHhTOgUWirN0xTmvXob0FNlteOYilfhgrUyWU
lLPF+NAQM9FgEjdXkhqkwxLkZXIQiUZ4V8AXrM8gp7XbD26QXkxwyTaQerAsB8+S2oCj2lZ+jCHa
V9kV4jhr4zJig4AubQXTAZNcujdyOwdP3WC8YOljEI5m5p5zCn4z3CnQE30SESssduwqF49EwAbG
09AY+mtyZ7aX0KHzIkETHo0XwsO7Mo6yXy5Q27AmYHfHbK61ZfbBlqmfZII3yb3yuk68tTzKFqKy
Q8Eex5u9z8GFEeVIV2VMpG33B5Fc4qVkiP24MjMmZZG29phmHYGACwmKxR5i6PytikaLeOrCqM7N
VbUkEC4FtQWOxaph7JexA1oQ6/yoJmd5m5a+vSchvChozVPdY35DIbljQO2Bn1IjWw2ntdMH4F+5
DWEbQxmJBWWU7viEzffWVX2fDFnNzVNxV0w7poAYiv1c+V80aJUXE3XXV2epu4hxV3tZ0J974+Cc
jVVAmQP+s3+qVEBsdxBMNZmkndsCvxmM01pWoUV4QGT98HAjP9eynKO4oMJgHYg3sIwJWmSAXLgL
d2PglK44D7vRPXItwzgZgca/ruakcDrb2ON23jKM6kR28XIfNmX4FTFkdDmKqQJghOersSfLBaAp
Z8CHgSWZqFDX8Jmka4+seLdkFpdhRCuY7GKVxEzIFC1vR3FLggcA0XQO2Gi2ZQuefhod8TZoBbnP
DfMtVlsOA8i7IrJkgh6x/JZyzbONLWzkScxPMtaGTjvUp45gkZtytHPvqB2/xYWKmbgiolP2XzBX
nZGA2aw9BDrIcQHMmEluIfh4d47XTddwc+p3tHrdbWFIFN9Bt+CDWxe5rUVMgtvIrjcepnldQOsO
rEX61ObSr+3O+cABHizneCOxyRRp3YF0XOrFOyxuZyGGcMyGVFsG+uqixP8I/YDJz+1YNaXJsmaw
7sy1w3ODtMfoDywP8GzySXT37SzY/9um8NwYEU31FfVrxJBGQY7GuWhAvRwcth74pNo7W4+ob6G6
W2InJn/xznxXdE8hfGe8b9Kq2dMaOn+sMNqzgwvaIIgFHpwvV0kHzXcztPLSberUPjP8il1ctxLr
svelyaKPiKSyPyk6l3sc3Nza5F8HF3Db2S4HYmluLF1uAYBLXd1FDjbQuMYB41/1lRPAi1sxBsaz
tsZTjV9K872I9G7mEac5awfzSpItgrq4TNV3zpzSYbVHRHUxIXKJzWD0P3vTRjPRSfXpOyvZ19WC
ovOYtenwbRwqVpeiAtJ6FUQCj3sr4ZbvFjUZL9Kt1+fBDNhCLO6g7lMnd2/cfkZpsOI+Q2rKpnFZ
R55TjW8xbq456V4WfzGHvT+7mrlfqt0nH+bcOzHa7dlQuUMTEy9sP7ZL42Orlblx07WMvXEnOeLT
pYS/oQww31wc1Rhq+Nli59hcDvsudc03S7nWbZfr/pPaztU4Yj393QAl2exI+lZXdtYpmegQZvS+
H/XKUm11nTtLp1iaaqu2ziN76i4HGax4Hycxvq11yKR2sNlM7JSzlOdpj4R2Pweawg/kBTNvjDQl
NbE1nDfZSKaWaaflPQ3mSvIr08BvAP18bJfp2q7JJM2S8gn4HroUMKbNHu8W6kK4Vj0ghSkqzpUU
prXLCeIU7LwLrtcgDcPbKuCEi6myIPevblQ+FJbHL1labvVW2xYxEnOqrFsx9SuB6auThjshJyTO
YUEUEyPWBbYTzgf1Xfd1eCWhCvbH3uhTYmVqKJ8Pw5raKi5qMx3ODOoGhOX+ohbswSmQ2LRUzD4J
v64EhWzXzIk7RnXOYygU5haCndd7r8VGl7guVuVEDj6uJq9pESlEWro9hYcRkjom1PyYOQESaYRr
aU+uNcNjZtFtRHLQbsVY8UOH2rzRa8uCN5xYDUErldwAfPrGm2l2zF6Neaq/D7KO7iptWeQz9ChR
9ihHxlsysyy8a4yd2KY3ZXuQC5yHRKY5ujA4TKI9YP/KBhgVJSED9E0WhrVobK+gkc/2ngwZ+d5L
DMg73+5rIqI9aNnoUIIVU4ckyYmBc1R/IGUnaWjsXPejzbPVj/seSdCuDSmjEoUYDCdCALoOV5Zd
WgdXO4O5X1aFm8/Jio5FbE+gCPUcCocUO9f3ke6ATUKonHMXGQlAjWxeml2Dgv1dqlFeGp4ZtXv8
L+ypkc2IT39iQzm2Uj2bUDa+86nVn33e9XacFekKzjUQ3duqhLzPojT141QI6uC8aqIXkn5JESEz
U3kQMRwi611taqJx2gbhQk4cc4wqJ4CL7c54B1JHmwQ5m6r5Tspy/QA8BfdzZPbBY1qH1cec2rWP
3TTrz6Mx5BAuHe1V55m3+Byb1cT7yDmbrmx2bGzLRRl863ohEKtg7B8Rf+TVGjt52rxY0p1WliFz
38Uu6iC8h1YVvVVoLUn7qka0QW0xzN+5vzDRF0Yzf4lqpPQt8ci++k41hbFD98YRW45Vjo5gKi4d
GRDalJYzFv7FKBYkHQQ8kGZTDD/WPpTPgZBluVtXG2TPbHYaZ01oXTVWaZ4Mx14evKKbXEQmJV5B
DUc8SJoxC7Ey9/UF5ONV8TSyh5fBw0bLqZall4Yqqxssts4DeN7pRvg+jiILCuytyDQPOAfmG3U1
fegZTqf6K8qMWcXGqFr8qbKdn0QbkaORN6s77aTTiGHXjcp5H7gS6EZyODe7ABPv64atuiGEY/yQ
giJgp4dmCwevC76wLTUjQbhcU7tNcnpYmiF4GIvtziQGRHyFtKvfZmuoBMu4jIjrKZvcLfo31Pl+
QUVm7xerbohIMZbmrnDNOk2CsJ3x5GbTVMT11EbEPKTNWwnuoeNc81nVFF67lLvSZI3L8ru1cDQS
tL3Ewgiad1KISgsIjQypmHyNv7AeMuoQT8nlNQ3aAqFLmEXPDhm7igfnurgJmLIAK0NpQ3IH2Rtd
4N6liCjyfD35YTPmOydNw/cJEaHc9ZUFnrSwKvPC66QGpYLs79mrJrGcii50TaQhxmAnJczJZidH
iwvB73TDIjQMre/dWvl35NEvJFvwOwFnk47xowsm9Rn1DsiBoC2HG54oc3fgoK5vWJAvP1YV1d/R
4qDSsOs5/0plL7tk3Ha8jtbZ5zDOJT6cZm00uhmDZdUmNvha+EgJ3xl9Uga61OeRKW3322TR1sSS
leKZDcdGxGGwjC9wssTTYLoo2DKZMWVXTQTu2gy1b3PqkAp28BF4ZSQgRs6lbgC0xT7lthUDemV3
pxwYmRe6sxAohSLD0SPwbGOuaHxGFlK3bod2FhVeUvq1oBVrW4umoBo2741q5mAvFzV+Y85JfEdv
GTyep9miiXP6DpjGmCoo/R4XQ3lGkmU2HYJZVetjiZOKnZZfg1QBcxdoOoww+AzocO7MIJ8/DaMr
VFx5M/azqrTALORNhtjMrly0m2Ne92glRt+FSSPX4iXtzeDVLVTvIJAaLLlTdlj4e5PC34nhR4xV
0jrk/8QDHQy/Fv75eu8UPW6pyzxSbI7rLv3uFunUOA+a/DEfx0imUYNNwxhJlo/DHIrwYdVeLu+Y
QaCSiYpGF0nAnz4F/WqeCzLPM54csn9bcaFZe5KKVHY55vAldmSi9Oi3qlyfmS1OJpD61izicQkZ
bXaydecLt+h8MhV8zfa5QUDH3RjMBerJokL3UPvhEudrAfM3F83GkR4DLFtRPptXyI973JHkp+LO
X9pHc17dbwXOdy8GbMiNagJBf8JoJiPmgu1yORZy/rIjw/7QRcODzl4qeiA3nBU2OkWrvxNFUZXU
M96As8eaCMiz8bVHce2X0612xK0GvknNjej1tlq24PpsGCK0t6HlPs+D4ZWJOQeotCocVZAneNyw
/CT+yk04BnAV4eWukAoGld8/W8UQsp9e0UolrVsvnICK7VUCdIFvamfLqkGMxfMVMhMLZTM3D0xN
Jo6WyjeIdiHqJCwu66JJR4m2sR7D89EUo8SHH9apewwHMc8IYT1g9jtoNOFXU/HUg0jgtGz6wRJh
Lpsi+TDnYmivC7LNwr1XzRVTTdPAbHRBrog3PEgxzR0iOmcu6v1aMgFEV6Ld4Q6p1pqeIPwIfSnA
Vsp8b1bB4F1H1cpFuWu70WehHRFyYDxKcDHqzsECN72EYJmr66yb9Jgepi1d+egKGL57a+DjS4Z0
kow0uWk11UxTZjjaiEKKFgLM4Nzkd53aqFt41oPoMGCu2fRJC/mLxl6nYuYxiQPe7OtLC2WCXGLT
J9Jj3NuIKFps2qOOmG/YirFWxUe55K1ByUnX9gEvDk79gYWT5CMzxaScQ+iuXUUb7ZCltfNKQyIv
WLcWxKwq/1PYprxyxsnjWOubZk2sAVHNu7ALdz0uaAXzZG5TgBr15DCX9LDP0nzzLhqGNXmfL9qM
4b2V3neOwyJAQoG5X5dHXQ7Ey+Cc5Cy1+OhLr/4IpzEPmHsuDcNC7bX1Zz2u24HCGI0EVqsJoupk
2lg2gW1lLaujAkV3954HynJiUgtyNDAzx0x/OYdZPz0QqL45CNOWFQAKcHj6zMzsykvj1rIyzGsh
afMDagvDbfJvPLdU+ahzjti4FJA/9m7j9cX3xYjs9pg6fdifSul5+f1czIu1s/zZiWjOB9BoZGyA
DNuR/a7qMl5S1gD7pjFBh8FmcltspAPlXJPu+l5bwZnT+oZzXrJlIdWqBt/9XKcyvWfbg8eOJDzM
wfkx82RRzueLpWb0kHr05yw85oOljTFDbJE5jI1LRw4p42QapqCCGqO0Ce5/8jlsQYN1lbyckBPw
UB4ND61DknEnqDXxg5qF9P9DVPDvKQb+cw1H1uZ/+b8dR5e5FsNrk7/+pCLY/p/fVQT47kPH2/aG
2woU3jGrqd9FBMC6AWihvPKxqWGS8PiT/3Yd+f9wYaICS7ZYA/5OSf6ngsBz/gHFG1YmO9ntD/6W
6cjm1/rDpilAAemBEvJZ+rA2xS/3i9/FTb2KCZDX7QOkcNG+a7bACBO6zCtFmqY4qsflqeoYm4L6
eyEkLI3NNQ/Kw5qvFbsgSwRqX3q6Po2K5UyyYgLtdk7L/Duxx0zDbMv7MbptsmJRp3m2jAVAiD8/
/uEj/xdqASf4eQGIvZgYAOKCWZwFGLvsXxNOQxU6wWpg2/CnVURna9aL4ZgToLhelNSsiOXLKv/I
bRmdgtrsP6kyCUfkxFCAXLocMTQzZMfddd7as72xu+y7rmV+66du7cRrO1Snmfi0Yq/nTN+bGQrU
3eZyzM9nD/bgoUfmJ2IjDKvszAh8SD3K1qB2JpPHDs1lltGZ9G31nA6TecGelZlYqMgIwIjB7uk2
yqb6EZMIIOZIwTGOxdrLHuiIrt67UPy2DiNBaC8q/MXxZKJMhW+mx35XYEZxUB37tAINbqUKXNWI
qJKMJKvfjb5jBbFbGgxPc5l1twKoGYPprqSYUMEYdgeVpROZjHzJOP51eOeHFSjALHCmMSmsPALH
3irFQBqmiToDWWWABgonedkMPbpIz2vSjjx4e7VpiKvug7Sh/oJZm3cCN1lDWUAkf17hFPhRBIVE
wVxkDh8S2DMqAYwMMEcdJF+9BPzkrZO+HQW99KGa7XyEEhCO11hUBgugYAO30TZWA0Eprmc6QLpo
5N10NhmjBqu4qfORrdMYNetHqvGAoEudnK+eHaHiTVTTA/zT0YjBy9ifGU8VkmJKmSeanvHaErqw
b0A525f95NMN1lXLHTDxG9dgtcy4CwqYb545rQ+lkznTfeBnYKMoChfnMPeeujHrHCqXNa0BXiMe
Ow61c+5dhsqzLLIc27BFRkwwy4Em2HtsKJTfWSgtPsBHIehpVEPr1DZcnzHBUFuOTRZ18C9Ka+75
9sSSscWT883KKlDvjcYs+j0Qt9C9NAwER0fKnFGeEPSuXxSmXM1RShEH/gcUwoErEQlmpYY13Lnj
JF4nSr4g2VxbPxZf08dXNLqM8kbumgSiHvF3U+G535iNHm0kjCR7gSGDfMg+laovrXB1rKZAIWwu
aW/EeY6BjeuPRItJIh014ESU8YaTYIe4ptMTnkeYpLIOh9uot1RLN6z1U1pY4b0FC2t6YLBdPBdV
G7BFCufphWUPuc2CDmLe0t4HnpxNQ57sYsDVwYDTdV9GP1jY6oXu4Bo0yxnbgDA8ZmtYfTXeoq/q
oGwfGBvFpRqge42cIbQ+3MQnkwjkt1pk/oVXg1bAOkJn3oThDx2EoTpbxZI+kMLKly0Mrj4i8vR7
1RGqeg7kR63c3zTzF3ZX+OZemR3CkCBorDfsX6N1NFQfPkfDMGo8ZjPtb9R1NX6WaHTyWGUUhFqV
o8m8W7RBbHkpG+fBSAOHttVylnOUVtQqvepnDik4Jl9qqKzifOTz3ofCh3cFSkBbifIGfBWmlBSB
lPGIkwXTyW6n2l4BVYoylSZMAtWb7ZXqyWuyBnYrULiLbGTHdazNAOv/4Li63Y8VdRciRQu0gVFy
My/+NAz7ZoW5FguCrRhYTcHyhk6obZJ0riAx2W52BxFAlQlb7KCMJ9WSJdp5eqmS0QVJzwCHi4ZK
XuqnkqM1YhiYM7cV6TA3xHuLwE80SE7nZAY1BGEwBRcZ/56yEE9L5OeTsRz8mQHQbp77mu3mUGX3
ItK0MdaQM6iwVNg0JGyBRtkJD1H+zu3plQmog1EWt44z2NjFZkUmkW/lmHpSkPoHUW/UP/zjdXvw
y65Y9+gfYEDr0qpztK06u85JT9VnhnSB+w0BA4nLOipzJrmyml5tW4qHEEFQHTdV6X/YQ+TOiYnI
fmQFXEz1h5+jMxbc4/4uXFNN6W055F5U0o7WC4N5GOPmwq/dfWc3yymb7LDeT6E5v5ZhaV3ls+4G
eB2T++65eF0ZAISIv3Em0OvkPgiuIdLALnNfn6a+Wr6zjKC3LEEx3qGYCG8CUdp3djqrLxm29htx
e7M8lGh+0LdOA9TJFNIEFArIPVBjDYfbX6csqBPw1+zfi0lkN0VNZljcTl6DB5Cra1f2KQiQsNPq
dcnXkiHZsOE4QwfKL3V9p+lrdQDjxw1YRc0QVrnYx8BbzlIDVBk/Kh96mJujfoEFxpgBGUJLpyvK
fE7SySvfhed5JASOIQbRHjxVsQ/7yn0A/cDfrmo9hhea9IAsdrk/bn2nZjPsAeGG94JGH/CcrTdO
Zufh6su4xPYpIlsV2xmAw93oQVS7tGUb3SKl1w9zbQq9b/SU3i6ytwgMcwRoNSKqkDH8VqD8LfXt
v1ko/4dh4W2PUuz/Lo//i7ozaa5bybbzX3F4/FCRaBLNwJMDnHPYkyLVUROEJJLom0SXAH69P/C9
sqVDWYzrCA9cFRW3QlcSiC6xc++1voXKFjbgb8Xx65/4r+KYLBuikRAIoj/CYB8gA/23Jf9fFMwe
mkGEfY4jHPt/FceG6f4rwJ5twsVGv+b96sk3IGBh1SeLEJUe3ku8+//ElE8F/kt57CNb3P6LBoke
BbGop9EOLYFR5mINVBfIFD708/CtB7GKLsZ/L0UC4dTpsVwPnsZGy3NJK4P8xb//RV+IVNJcuiRT
bMI7dvswcPhkc+i8rGYjHOp4xjBWagDKzujesNSk+9ad9YNHlPj3drDrm0ZotChjWvEVlsUZ6xk9
VGZnu5JyJzBc56xtiXhrAvuiH3vjLhutISIHyyK0LXYebdopD9QoN6lpBDtEAAGfl+l56ZhxkPJr
/8wMyhg/TvBQr3Qp3RZ4ERF8MDoHXlAMxxioGUJM7nTbV5RxzK+fYzsGFG1K74cvCX7OwPNSMTHh
dub8opyWTU2jpobk9yoIu7Fz9nFNCBSpx0S1o8YLqZTxKyxLph465eGxYiATpPtxiT0go3hanldi
6ebInjFgIq9vok3YiNQ/o2ozuuGhMgKjMPeMjYxSPBDJbKemf0b4WEPUFtNWp1QXggbaOhwm9vSe
vvBm39BfF6vE3JXqnBF/oD1b3nbUqXdTYY4/yzkB02OMFRmnpajt76A5zXmfCEwmgplhGjrNsIDz
hfLzGFDhfViruHkiaii7N0fUF2EbZ5MTTWZPMHyuF0lgunKD87KtJA3B1OKa0wIKkguZ2vDNm5rO
/zxsoKBai/liRIaylZFufLbGU/+pbzTNXN0B8Lpw1h52qUkPkRZb2jEnWoIBF/RiiuyLBUcQH3Ff
LAz1AAyyxVCVF1w0LVq8HdtOxiQdPQ25JwbSoW7hwE2ETVUhVKrgEh1aRSKNN7YGbtmFNuuuWLv6
M/OqZThwDsPHXEhEa06w8JXKxOi++LPfUAOUE8jBZNCgUkw/xYDC1kpj8Vw9N945omfyYy8EAIdN
4dlf+nxKmzAwUaDtCEMwnmlAdxV7ntJ68tsC/lTg9cGXgRF5suMjBmjUztPAQH3hG0wb6ZBerDqL
t96rE1OvTpmkDW1sTy4dl+ZnXpnlrSNi1UV578+KgEwPGHunG3P73YN6WgsXOcDkxUUD39NTLtD4
cqRbzrRzOkArWobkQz/ohXWBRWlp++fiFbAvNtY+/mtYSnVlEI/AWH7d269gfvqEQPpTo8S6B4Wu
TkGvLl1z5g1D9d3N7eLr0uG3ispXzuJi0m7cVa/8Rb/oIbz7cSE0ltaN0dhtuEaSLhmNvDIc21ee
o1lOBavIK+eR1ufyA4w4zdrBKqzykJNyhaSLxB/2rx2wyGIVxoP1SpDUju/cAppfIB6/MiYd4i6s
Y/DKntSgvz/gpHIZMGaIFXdD2W2kyg1aCSt0/NTXteWdD00xbO1hH0Ne77Hr3M1aZme1qxnkNxsO
E6kAtIQly8Y9zW94mYgbXbUjSAGOpi02pqaYwGt69kbaTEGzUS6+EjjZCBiYssFy0gXH/G9vsM55
w3bSNi3vu1eWJ35zuJ4MZmF8tq+8z+KV/amkTQmLziAtV1LE94DL+7u41Sty4RZcwt58JYg2ZKvf
mzQaGBehALZ2xYYbLf6TPPpKIV07RdN/fKWTdq+kUvFKLRWvBFOwVAPaoleyqf9KOe1eiafWK/00
jSfPIq1ho6IqGxXnfqJHa54FtD7hV+S59XUE3W+H2gqmYzI7i4BSV28vkuWI5ApGSIZIED+iu1+x
vOFitwRmK2sDtw6vDFf8FKm/cze0a5HBUd7j6dJffeQ6uIlfObAz9ehm02dwg+AbXsCXvoD+R0vZ
d4EqNKwDzFeYtAHunj5jOqYmSoTJZqoMZJV8YzwoAUp0Zl29qKle5x9NbNFGR7ChYI6Xpqm7e4Bk
jv+hb6SxksAp6xJ7YzrRKduTZSL0Q2DoJLtZ6gxY3057MQBwfJ9WPuxknNZTS8wrdlOXLVBj2Mex
W3LN9pr+0TlcsAY8vHAnyG42f3+Mk9sggx46ucMpzU5ZIu8iVju2X3KjABKHngnlIsi1yfCbXUNB
6h0aZRsawdFS15i52eGB9UgGI2ZFEp7qP2m2FD0KlQII+mdUfHnP4pzk6h55grYjn53welYvsiFi
tqcTu9e2YmaRDzEFtUOEY8ZGxsTcJktkzHfoBRkb7RjK8w3lQzvieAd+fhS15RDfMubs/BMcaLxR
ioxKYOw58YEQZUFm3Bc9b8dZXXSjB0kFYEqzw2Bp5k+2NlXwZemZs+7rLpCgVdqmU/nPdRqs4WM7
upN1DRh4rq4l8lLAJZWDJot3klb6VUsgnjzGE22UT4hg1ykKBNkZR4sBb8VP30NRKIxK36JZhkmQ
0hdKr1l/tX4eVlGRDAMIXH7QhbCv5pT19VKvSk9RX6Q2+IDFnev7gpH1cIFiyf2JwCxZiGgIctRr
fUkI9oB2Ybyjnrd+SDIrx5duAcj7nV5fNV47Y6mSq8bNPeu8EDXz7l0jgoEZNvkmwsMmsyj3yKMy
52ApOqdbZIitcHUuxLo8zWzq2TJCWwjyrLpxDYNygSqFiTeZIFCDq2CVCJJaPC951cOGbJaMCYpN
oyuecyqOWCZn0pk/5pZbP2rEHIjmKtnuaXxmYJlSmESok19kI8r9MrBs7Xg6+wMS55U3GfVbRTDK
bVdUJJyPymrDdpKsuZh99/De1bnDvOg4C4yoELtl5A3gHqepWT/XRGCYu5HWb+QPDDqtfrPL4nkH
6+hIA9XC7B87i5GhS3Muwr92g5lgV7ceU4bW1lem2evD1HtP7VJMZ+kwuHARWUmKJG4PalTJAe7I
0zoaw9G1GAqNcZGWNDjGLyqf67tgxieae7AVOqayX2m6xY9zgQZyx7mmbjRBXeYmlxZSshgQEyZO
9Ho7o4Rek3ieOtCJPHPKBBCz5w5LRESFxQPdokfb0eNDauQE5QFZmfEziN0fPCb93ewgh7UHj3Zm
54zXnQ0BdbYMC629X3b71B7XuwVQQcTK114oF46aKQfjZ+I4V2hWh0gZRRVVq23cMvBFi61UcZF7
S/cwuahWwswbDcEq1uVHv09fGAyNEdUcaac0u/MIgYK8GeaOVCen/ExmUQziGqW67rW4b2MyXjwU
pee4mbbok7p6aOMZJqLp44zH4Htel5Lip4Jyny8M21JB01QQDQKoB77KQtwSXzans5mSiewKMOvD
PATJ3mzSFuNXSr6H0daE0NDxLeY6+crL20VeMg6PwqoFaN3Zup472b7UzRJ/iBd6Oy1IrR3eqzvC
Lz9ZbS0Y9BrGWTnEL84iqzNN0gmyrTXib85otBJRdCSuYvlc0jNVhzRwvklK3N00uvN5XdsJ9bso
Bx35Ky91RKiL+x3nvXdnz3zWvaCX1y4fzmNr6s/e3FWPy4SMlBQd+6KcPbzPlWqeVECnzUYCdWGt
ZXlep+UDnT6UIZoffBtkdiC+db2H5B14YZ85ZH1alvspyIjT2Tlt2jwTUejmexs714vVW9l54+D+
tkbZBAgrwF2DKkdeOTuwSoPWGMhOtAix47XLh2e0fDSsiCDdq4ny1HfNr3khPfY4pYyMopDncghm
FH22Fnva8+NLrtIp+X83FPv/bK+/4dD+z1v98+65/F4//ToH2/7Af5lp5b+IseXLBShSuuyo2Zj/
20xrin+5+G59OmCuKXDV8qf+PQgD2Yd9zPZ8hmH80Y3M9+9BGCnPECT5VboAHn/+H+30f7dcAXjx
3G2nazrgJ11wlieDMDPx+h61XBsqy3p0UV4eAsKS9zkgn6OsvSr65cr8YWBl/u5v/c/j8ZODrPDx
gdDo+H23X5CfS2gkx6PnT9FixHD7W4ukximwapwi03AMYr7z7Dsx/aSu/JpLdJH54MB/7evlYtBw
gGBLA3MZzQjBU7HPAcLku7//oL93QF5/TslYUBKoRnSnlNt1+6UrgXFgZYhP/Bz6gW+q0SnJLXRx
oa6od4Lu394BsuzwUwtuNMNS6+RIwPxMPANtxwYuVUc9zy6FCFRdjKrNN28O5Dtn9vYOeK5EGr15
Rn2iIU/ueGaVWdVZ4PYsIKHhkhNtnxbUglsQ0DUoA+pf2/Dfue9/OEnazFsQpUlsuXVqMS5p5lBr
ZJus3TNgS1R0y/uiiLpxUUgEjJe/373TYFAea54tmwPRZQMlf2r3HfouscusAGXEzChDQlBMn1Kz
YPPdiLr/mjMYJg4Hq98Dil0ziOK1cx9U6csnTzTEE6B1zfmMLBT7e1SF0tszDAGQwjnQcyFnwv1Y
mpP9kwVefGPWBf+otVb/Ia8aU539/WT+dO14QMCimDjdnVOPZ5cps5Rpq8J5Ev5V3XXML4htu4LE
AuJitNz934/39tH3IYUCwuQB2cz/J68o6XKtJ/i6hrhe1KXRxN65VeZi3zGWecf1u/X2/rf9cnvL
fE9I23EJJOZ/9vbvf33LzHImu6hpQ73gXMV/mp/5fvKet/jE5clhWGKRGlAZIC5g8TyxVmLQxbzS
cRjhBvM+38pgM4/9H/Nkm/uioUyQRUz7PZXrXjL9PI5ts8J8id2bv1/aN++eLyweLcyWJiEC0j65
tInndmjIq5YJIBpYn35FiN9fXpYzGS4MgRicJoH5jvV9e6F/u8gcdCML2/zHgyF14kT2EGCprDMa
JjZ2jhi5onxVhhU6A2iX3nKT4yQGPyqRA7xze/904RElsIii9yC59NReay50zoyM800dm6RlM0Yb
m6co2AzgQNCEzFDjCb+h6LEuR7RTkY9uilaPNb+z/vzpwvOMYcjnoiMu2fQgvzxo5ohxbXPHQC7G
F2pkDVo7NtNp36dhkgTGxSr87p339u11B3wI6oDlVuDV8unk/3pMt/aFDYozCT1ZtseFtnC4DmD/
6zwJQhTBfeg3NrMyIhLfueN/uO5Mx7avueTem0wZfj80rg9PacalYeNiZA2qrr0cRjM92nWSfZ4H
1L8Lkd8Ag4p0n7kdQPzRqaKxs96jlr1ZS3x+EFSiqFNgthJQ+vsPMuc+G6jKb7jPXbLraj2HclK4
MRBsvPNde7OWcCgYFoC5HRuAhthuxy+3uNRqsga5JTXWfnGmyhKzBM6zdxbHt0fhKeJ1Ilpjy90+
TUFF+JM640yMnBKiO1pZhUTOoEP693Xi7WVDk8RsaGNWUBqeVmUDllw/WXs8Qy3o1SmtimNKzuFO
TGSG/f1Qb98MvinEqzJPsjaB1cmbEedqSkebQ6GGFONet45xGDLYZVXuTmGwoh4I4TIU/4itsi3J
fNACqNRs51kL/ZOqJ1Od0dd0+0OapcVhkYZ9OZdxfTWZGoPaYAlQi+iK3eG91ZD5FQ/Cb+sh0A3G
a1v1I6AzWCcPCsmEg63Ktgh7eiMXcUIy5M5X1niXZaJNo8Lss2MzorrZ9eOcnGO9sL9ObhNcAvga
uQcIo/IbZ/EnucOES7OKyJMWdTG96QsjT9xln3kuRYcK6uXZrpT8qkbHqM4TIu2v075K2Nwj+e+P
LeaMC5rbub3vFrP+zPs3wLqTbOyPqY+kKqTvQcZI0TX9Hhu4ddHS7/yA/Zk+X++5WY3Xke4UynMz
ZtnEFHw/kzJ52/aT+K78xaEqMcvOYBDSZTP6KCzhA7kYuNdheax7qxmaMiQHyfLZWQ7qcwAjH7tk
C5hsZzbZdFB8T1AQdIiEd2tOv+bMYQLyM85m+ZmKHQsqpZQiLmrt74oR5HGIPtM785RwPqy50Pl+
0ok466kz5FU2V+Vj0wytRfqgUD9i2uWfnC7w1gg9ShBpmyhUxhaY56J5lPMYaR2LnzQYrUdGJuRG
KIupECyAHlyYbooFd3E99xuwdiUNMqmybU13seKEiIM2pRiUFoDBaPLpc7epQuVDBu61V3vWp65q
sQERg6vhfwUlaEtZ25DHSY8gOgw5uX9NYjNK1xVVGSgySAvZ2Ti1UEszWWTdHq09k6aA4IpP2mrZ
HODBMnCVkn39SP9kQ3O19FLDpacDtsdj0H2rhIm3mVS+nu3LDPMznbwmPqzeZpfILJOv0Zqq9qbd
ssh2lVXnTshKDqE4wS/jHHpMF5ouVo+cP/C9pNxbrS3Bvpig/EMmqfVnnekp4Tua05l222BkiqIb
m//viPoLapxVozHujEfMUpg+eMA1YIJ6XDXuzgJ/RTWOhEOKfP4C/4jsXRwYpMExoNKPkA15ijpa
3N+9VqJ31PWA7Uf29KbwwrU+UAm6KOnBcdR6s9ANcveMhNhMYGwqj+noqs0AOzZTOA1Nj1lySeIz
d1kX90CqR9+HrSQVLnQy/H4WblIGNtOAoiKGEp3sxzTT15kui5cJWGMSovUtv5Su1HfuKkignacV
X3G+FMmNVdYj2mSea31I0EQjXxtUedtWlv1JIOkZ94tvtedkoBEWmfQC/uSEVQ546azzSEMm+KHr
qb7xOx/ly4g8VEKI7Hlwk27se7qSdfaET86EkuSmnRut3J8HBpc+ZiofV/Yew+uiotQz0LH1vprP
wVoqpljLLGsSxUigJasmFS9cfsquYUB/CbRUmy9LkWYi7OzJGPbDWC5BhBOb6DhZ2C5GMWkal+ng
m/UGFCeOcqbtChYSy0sAe6/mjU8Rpl9BAUQJQnbPSBYQ9r8yHCpyP/FvC2OIKqTq0CckswhmcVv/
sh/a5QeIJG3vCEXJ8Eb4DFmGsdeYbXuCgHeu37hfkX4x1c6LsqsjJD5675WKcPdsUsHTuA14IcBl
xsd6gORcabYRx6klPTVEcnfWChHfb++2c3SXGowlq9T0iKg9+IJghkaamWQN/d+l1hnO0M3EtLRV
8IxnK13ZKAp9qRh6gepkBgGlLsURiKbHooHQJ0nzgCd4mnZEnmIBsBervyrKQdJ3J4nTRdPVuR96
RsgypDtf9GHXp80na1iLapcLIZ/ksA6bS6lpjnrq5UAYYR5HZiJoUg72xI5h8JYZVF/RjPdundUt
KUj1PB4IdwYIWPoe/TStZzGdp72Kb5khM/GfWvznIcFeSNVdIu7IBGWwfkw9fIfRXCb2F0t3/sd2
icVwpC05fgtWT5WwMLVCW6YN5+uSblKqtKhkt8cOu9IMT0farwu6XTyUPUHQXhpc81a239JpaX66
udXrSPaNhbMOwgIjVauaLucJSdklO7L0VqAtwtzi1h2hUTqRT6s0upxua2t9G4mgTMIUAOMtSBF7
ZKSHSSE0DVNcm6NfTpimIcIeJlfC6fcW8Asv3E5d34MRk5AvEHgMUcG4BWfWkFhPMErLFTta0UXM
JrxPvWGU39YULkiUGkDfw7nUo7ho6ISBhxxSKCJACpncEcgJH9hbJbJPXKtbn79qzuIpo+dPP5eY
NH6VCaEKunkjYWsCINtY/pwIBcK+v/AyINxyobVmrTVB4/BndukVQ1EPnUiDmWdlSkZLVSzAEaeG
pHetZsaiysRUE6atgX8pztea7Efdiz2tsgzHlseshdn4mq67HtStccTzUNyqYo6XSDGlx3+CUvnT
Qg+mD+daofPyAal94QM2sAprJikt7ZA0zNt4/eEWdZ/ueUKXB4jgiqtRdXzKGX+3yWF1G/DiqhFE
0o5DCQt3rlzsPuB+SeIq0CWraCGL+byKezSpXlWgNmFqDzPd1EyAYkezxJtIIRALtxYsCTe1OsjT
2ynQH+k+K0c1aZSVHuqHLI1nhAeMrh+NZCIgbuib9avtEtCB86NEAuwsnv1SEXeKsCxFikAvZWVp
HY2yfsSibOQgNRv/pxkkaXq1aq/9NpmjwmeULM69s3IKCGbs/Io6iwm3FU/mT4+h37Nr1HbkiY1o
IvopfkkmH3h0waUCxNStzV3HrpoMZNtuZaSrIr7K/NF+slfiyfEQNd+qcZG3uIUCtVuxidwRvmZh
KZvzjs9e+ei5xnznZ0ZKSyPbgBs4zoY9C0xxqPJNFSDgchde0pxnTQ5AF7OmDpVdT/jsG2N8boit
fZQydT4yjtSXlqeyhH4pfvZ97Y39o+7B3ZPwWY1RFRPkde3YNfbXfJX6i15Ndp1cOEHugWctISOy
8QvUC3B+iAjN8xQH0kfouhbrqsXnJtQk9e1jpxzUlZJe/tUBj9HCOK37A4hpKApDjaR/l6DrhssJ
9R0YLfKMi671SOZpRvpQzM/4PUhig+UlHiuYRZVpt2aYT6qir4FQ92FloGJHqlrWLwqHDmRw9Pw3
eaMCd9cVM7vWkUeIXKphDrr72WGQgRWy8T4q3bIyW3PvggX3SDVLw95M+uCAd22YoVOt8feRufxT
r/viI+kyWB5Lc7RIIMyb/lOFlzc/Q9Iiv/LQeh/TVrdIG8sE/T/zWgOEq18hXyw7FUSO2GQXqmwy
FXnaJ7lAoK1KD6DA2xiNfknKWJAynb0Qpd+cqx41yNHIDTvDZWlZX43F44PoVkZrh8pAuMkXxUqv
rBRb+c7D9PyDZkELZQNSR7DPgir/QTRgz/yxW2zqKVeaNIArcgcQJCD8JaU9uBejcoMzp7e2KA0h
+4ch5g+GQZDqT+Yq87NRTEu+652cWVEjrXt2P8FTW4nlo8mwc42mPBPEJIisoBRrvRVbnyHixxgN
LTAfMaAWstHQJGdMOesPfdZAUC+RiWV8qVL7VqWwIMLYjxkMI3xjffenRH/KagZ+uxktACFOOcPO
nUUhoMJGBsYdqEzKNaLM6vOpSViSbOTJTw6KGn+3MoD9sJgxMb+laU0XbdeikSJmZ3Mi2zJDXu/l
W8lW6VjhwnL8gESodoV4EmPYz3qvfRIIhtiGmFachXHW48olZds89xPXPXObsj/OKAf3jMEJip7M
xT1raEdwZxCK3+Fdp1JHzIUvsZlx8kXC6pdbw9Xw9xeL5swHh3kfwedrqhFCTav57FAuPvcpIZSY
my2XRPBE0UGfq7jCkO/oAi4vwht91hR63vcOMXB7tywZOxCKPD52nYcAT0yCaxqzmD4rP/GiyRkx
jrR5sdaR71WkYoEhJBbZncbUi5I6Zl4hScXoQiRF8AYWTMXfiVxkaNqRNMBm2WZlBr6DDiQsu9S7
zlVf2AdvmmfWARfnTOcJXJyG2c0FLeetHWcsQnwAr7gQppWpBsuNPzLMIMyE1DiNhe7as5cVSTTy
63VXEBdR2HzvqdD53UBuJJLx2LCnZzdxbBzUoEiIuDcrbuHcAXKD44KoKu1spOFy8nDKTu7EcN+v
NClfDdQUvJDFeWEyM9+hU2HYW088cHHZOve4u/UFyDoTvrJQ7BZ4NW0qfTWD4rawhNPiUojfqAcZ
JLTWoZeKAW6V8qnet4Yzf4g9g+zcwS28j4vrok+bG99saHwB5WAMrNkNyYo1JzSoCxoYyNN87yyo
ZnZr5iBaRzH0PJgDJT4CCXJO7AqiAKTwnziV/fkm79f2Udb5uFGL84QGV5yRfdGopq0+4E+0v44d
ATQhECcs9shdhw09HZgUVKLnzUkaMRb7lG9uGtV2LmCJ9e36pR86Z760OjTUhz6f7RuzrMmMFzat
8RBeiTpbu4Wd3cxjj4yqRGi3R6yAURIkQXXQfrfBcuY1nwF6LN1nY0HWFHHzzdsStesWyY5jqxx7
9Pet6OUFoz/XwZ88pZw49verANMn8YrNRuTjryuoTRgQfyxk6vpRNczFT3AAwfWMgftqaBs97XAV
uRD387Z8xAc5f9BJbDznvsrRnBkyLi7sCbtviAMLPkZD5XrNvJvnX8e5NvfUSQFYa7gvQMRU6x8t
5fWPgVeT3CpQK50Pdj8/BQHoH9hWMFAioimzJFpbk/ZCYMvkhzPaghvWQPfGULra4az8cggnvNfF
HqETFxR3vce2GYUmzqyhViE/U2If+CLiF6aJaOSHIZA+4Ah48xTMTvF95S2WEWEF1VVpJFxtoouy
G8uZnJe8W5znHmvbJc4rbzqjeGM3NyMA+GytnvxkkeYOFism0wt+Vp3fLhQLQciNK8mlUXV63g1Z
g9w2dx28Un0+Ro6HQ+YR1oVDK9oipziaeuD5m6zP33VNAm5qNCtKx5mQn3NC1wuH7aMr5GHKUcdh
Uejz8siXtSwjBJ+IWdPVz/x9AQXwcnZIO9ixHcpZe7KJPbPh87mkhGt/wpfH0ySbRN8UdrF+m4dh
uOqzxfim5srAgMj8NnTmBrZaugS1fZEoZVMV8OUkbBQ6lroo8nFJDuwY2+9dPcTe9v4vVtgOTQLy
p60S/8Yxa/FQZ+hD9pOvgWUwCxBPw+w71Q4jNVtmEAPxfdn3SEdKvGYjmd1m/kkO2vna8xLP59Wg
nOcl0+u9Qs2dQC5x0pzdVOK2PHxoU3aNjBGbJfjC4JPRorksWIT55aLxP9kCC/AxQ+jURDaxpnRr
eAvIszU5WKgdDHzn2p78q6AuCHXopjQl0wYpfeg4KZFIQz3aPzw3Z4RhwUGrzwEpS0QqbZdf9EU9
tqy+Tdzv6qb0GGnHsyC9cAjMAJEr7TecJznDnTJwYdzn7lhFHZ6zGwZhKeY4bPvyqNBmfUZi3d2q
zKZRLfAHxnSD3No5VIpuTVhXVveULRSaQH2ki6JqFuMHQlaNNHJBS35l+sPONNMDsYkdLzPfGAJp
aIWMbaEu0rynlNw5xNoCREFWr6gO4StG/Ft/uNV5I39kJiMbCH6LwcewHvMvVjrUZExAAfMit4pL
BEfJYjQ8kkZDLABNvxcmaP7VSmnfI/HKqh984uar3qzI69nakykFh4a+Uas8lui0YoTOQrp1hAWq
ChCumrEXZq4T36mupLJJcstXF/RS8ks2FFjbjJENJXg6UmqujGzVdoidBdNlMbU9fB3Q2JT38xRA
Wps5t/qgR8MJzQn5WYcOkc2R7Y9OmNhTqvfuYk0/+P6OwyHwrPR6LmDYnVdNDuw0b0pJBeS5jdxD
L+ShzN0yuS2bfP76H7IC9lATdED/3ZZ37aTWe41j9+Y/iKpfoHFs6TVlbZWR4KN9hqApqQ7/sGHu
0TjGrLC1joEZulvv/pc5g6u6Pl6hLTI1NxyaBWONC9Eeox4t8Y2qjPghzuF6/f2gr5Tlk6a1D4Vc
Ciba6P+9k365oyo9xlWuwsAZ8Ab6AjQlCKnu2DkK8iE5c+empbJDSVs4yurZOnQEz/7TsQSnzuQS
wyQE9gBf9++nbki/b+xEYjmcR+siw4JIn9qWN0BO6tu/n/CbOct2KMzeW/okw+jTwZE1di4WNJY4
h6bepVOkDUkJY/vOoOyPR8FTwyxiU1/Y23Dkl3vZY80wFenoIQnC674cGuOhboruHYXH26NQgwZs
JRyfG8eK9PtRuhHOSsubGk7TlB1rO0YUSeRK8Y+nRmAHuS/4ivAGWb48mS6jOottnZKog4WFgKjt
RJrEoTs4LNk7T8KbqdE2QzFtvPjY9+G5nUyNlgLmVKy28bVwkws4UTo0kjK/NL2Ktuo6BHvwOt47
4+Q3A1UOiklIQDneRm/OyfnZlU5bk+8AjW72b+SAugedo4XtZP1DxSaKSyatYVwgSv77w/gqeTh5
+7ioaEps0NQmcoXf7yAY/q2jyNuHuVkTClhqbIxMVYfzIafkZzPmnaFVpEUGGG/Xtd142TCgEaFa
/TZajaR951K8AgpOfyI/sE1eQwlo/HSIJTEaNewxFKTDokUojUXemjbYz7w+j5OerrDBA7xaSYRf
QdWe40ol/M7pZ3gf2waOtI5Djb+WTOr2cgla/CKkidE/sGv3nQXzzeP/Ourj5fIsFG3WabaoWWoR
+8MICtma548lR4wWWxRnf79HfzqKzxATlYFErv1GtYLls3XbqgmdyvKv64a4vdxoP/xfHMTDHsdw
fWO7nyyA08iLJcaSDQzs0zNE6OXdtDb/ZZokiDh5bu7+8y7+t3qs7hrGaf3/+O/m9jj9dnO5Yj66
JYakToDC9uRBh0/TTRVoMYajo3MDj4B+KyvMFSU2OZFMAnYmAaMHt3fSD6Ow8nDtR6wvlsytCOxR
fVZJK7v0+9n41MjJ//73i2D+6VIHgSRBzLMdQdLp72+DNc0ZnJ+8CTFtvYgsUY9jq+4BUDSXBHZh
b+sXjG1ypAuCt2i89n3yEE1v1DduAqgOUhRdUzPXX/7+c71ZHrhqxGe7LOYCwc9pHEKHp8ah1d6E
VWtWhwQmeNRPZhIFEJ8uVjU9J2VdHcwlePr7cf9wt5ztkdj0mrQ5/ZPFgQ2ID/+Eh6JwKT2n2Kd2
jGm5alG9t8K/LQN4IohwRr0nQX8wQPv90tPcReCrMsasBV6eqS1FBHjA3lclQ+RhAQ07JRnQw772
bmQABrQMVuOd99nanvKTxxM6C7KOTUa4VUO//xBlsFBpD0wFyLWKQxSYFqmREOKg9ndb3FN+bi74
2WnpzN+RKlvf7GB+6QbXRPJDx0hZRnpb+H29T5Xy7tCfrljsK+U+pFCWMDF3hhlpU9dmCFE9wO0X
d03oKvGeGPUPD4xE+yoDbAKv1tnfz4Ne6iJaEzKrMp3xWRIjdx9TOu8BMtX3qxcbX6C2Fdezzd7m
74/MdptOrqD0zK0iQAwp7VN9TuqIoRU0U8KKI//QPmGuIA+te4Q74l4twXuvxh/eWBcZFkISiYYQ
MdjvZ1ozeLVEalVQKZR5j65tvF1qx37nrP7wInhcT5uyACOvebouoOkAJh8wia25sQ/YQxUrVpLd
+kVrvlMemn94Bvme2Nw81IOIqk+ewXmQDitMV4XdAEjQtKuN7bKMl+ZkML4atsg2LUwa+oJ3JbPa
YwdnxsziK0qV+NKa1DuLz9srDCECVYllvlZem23710qyxbNTjFNVhY5h5kenR9jVIvV459V7+9yg
0kG4QhHJMoBA6PejBDCbS5t3KEzKOftSd2zlsGPqsxrJ7g1ewWb39+f07R3leFsaC/JTROiv3u1f
6mPHKAirsDieY9XZoXeYQdCFjw9p04t//PBwKI9ske0fPKonp5bRDiW1oiUubBy7c7kpktbCn89l
5ufvHOoP92oTpSGt32SRyONOriLBDMIreWLgqDYHWbnOMZ3w4fz92v3xXgUuH0lIVxTkJyfkmyl5
DZoTihkucptkd1nTCwoHMhh2sYtD6e/H++O9+uV4J58hb1Yi8zugklM3rg/KBf+Jsjw/kFD5nmz3
T4ey+dbxobWlCXjq9wsIVSjWhsmpsVYD1SEULOyxxV4aY+K8s0P706H40En2nYTPwLr6/VCJpSH0
wyhnXDo45xNez509Vyaef1Kk/n4Bzbd37H+yd2a7kWNZlv2VRj03A7ycCRT6gYOZaZ4ll70QksuD
8zzz63tRGd0pmbxk8HouIIHMyIhwGsnLO5yz99ro4TlWWLpJSQlE3udr5QCdqGmgJyB/Q7zWRoky
Vkus64rkg2RTluTx4nzvH7AM0uKG67pZt/vXRlQHbqJXNQG8dWB5HWJz+iIdgaI4K8SRT/Lr4F1/
JINKIGKzdfVgopE79o1VzyRrTGnlTSIINiHl5c33z+LrY8c+hPuBhAQ21QS2fX4UFOwRa5P27Spo
MLZRkGcndW0snka8xZFLfTlKWjhfIFqwoWbPS0Xl86XKuDcyrAgZvVniXD3aKebjZNF6nImfWNGM
pgjdgcTq7+/wN5tsS6M/x7rIf6OxPLhuYKM7IqaFhhQQQQhIKwWIa3U7sNZnJpqgW15+e8pQXy6V
QRvO5tQstxUUzNX/CeEJ3WD5JtNUuRdkrxx5zV9fAMJnw+AXUpyg0nzw60K7myqZkEa3Uaz+TpLD
8qKXKSFEoXRMHv91G2RzKGM8ofnnBRzCPqYlpiVYphxjzWZAqqfmm7prb1h0m0tFSeGK0b6evFHW
jn1xX8cyXkN8BrpglpSpK31+9UlFm6YGL0bDRmsfLMIxbq1mgSn//ateB+vn3Ra7O1UwjZiMtC/5
dpUeEEydkmGiUm89XaYcPVtP2ROhmTWtwjXaiMNojScSZVrHzuiRf/8DfnOf1GXYLmsm8EJFWf/+
h2U0bRdhK7nAns8s59tln5DWPIV331/lN0OG7SQ1oPUgYr1bxj5ehYmyQZTQJdS91eG2m4cbDBE5
hGjWm++v9Lv7sXGjAG2xWamNg4lyriE9j9KA3kO2g00AnPjVlO3q/vur/OaciWAc3wKyfeo9inkw
PCACiLg3uaEGlTuQp84iF36GjRRjhfSNNps9U1UBQxEU503G+LPTW0IaUTdtqMggG0zmDr0Fkdjf
/7DfjSdG1HoAI1WQw8PB6xQjPQqad24N/e68RTHlArArvaWdaK3xRXMUN4JiUxlZ7ep2XR+5/pfH
zyNhwDAr43HiJRzMDUyOTdDrauAkyZA+RJJNhkUb5Ee+mq+Pn601+yOqEKt3gw3nwW1KY9ayIEeu
jIoB1m4XRdtkDNDoFRlVfSNNrZ2dgOcKcfTnfh4tLxpBQ9sUJZ4vxX3nN1JmPkT0X/71AP6HKvUf
lIg/jMUvqa3n8eu6zv0qQPPOJ2+UjtZ//v8zpThOMrsx0ZGLyv/8f0ZT+y/+T5n6tqyAWGIe4t/5
x2eqqn/xCjn+cnJZrV7MKf/YTIX9FwmdjG7IY//6u38ClPq8tVoPavRMDGZhvhgKNIeb4RY5Dfzs
hfbsAGvG7tqp961Ciq9Z3Js7szGm6w/P5fpfs/vHGtrnyZD9m4zhix0FHwkdCBwhnwevTmxYagwR
7VngkF4jWLsAF74OnJmO7F84R/Nn/Xt9MVlZKENQ++Fj5CxKnfPztYgyzPgMMHIvFXoV4WdsEiL5
rrJVSYUvAh+DnnjEuiCEH9oTQjd6crmM3V5scrr2HENQ33VpjKxHJOFuxqBguaYY2zdIe3SVc2kJ
d0ZRyuZ5ZqjVpSkFCtZ5SCIepJH0ru8sXSKdekJVKrGdUs/tKc7qk4hodBrGSJxsH4i5KH9O8DWn
jV6OZrg1zMXgjSgyyeWcIFs93BSJaDMvT9Og8zLNmnsXBHuuXQZmn7fXpWHEik/zbU4vkiqcfvYk
m5418VKZL3kyldoF6m/zOkRkd1HNZgwuCtISOmORk/CstNWMddK0F80Ajhq28HIWG8XgFebC4KJc
phTGNIzd1nJgN/AsPQN9i4rSX8ylda7n4J3RiZCE4YlIMqLRWSaj5sEwvH+G6I2y5wIgJkS+UaJT
djbNkDS8iWOMgq4RBIY4syKOmDOML9JIZEeDyg//L1SMFqEwaUP0mvxFWIU2bbMyTynl44RJ48Sr
MQSOP+ooGesLsHtFcW+NJdtGGs26PqCSq2lmPpojYQgzdmaVhACXuCg2P7416iOILVvWSwnm+SQV
a5o9kp1I3bRlPdqgL6mbge9IcgnhzFXX1QQX3MRSXptgTWjBkMYuj8SR4InRtJkQjxJD6nJtdoTD
pF7cJaqZXy292cu3QVvU+VOY2MlCvmkVKSGJ7tLYvmSFhLaPL8+a5xtugHOxRz5BrxdY4ghzYqGC
QpDR4UXxbKMlF/pc35oqIpprpFDaVUBoartpRTwgOici8onkAQZRPSB+3FQIpyWP90hDGfgPnuUE
bCtQ4jgjAX3p6NjvUADPljsJMwg3EKean0tSwefuKsCh20UGqoYB5l2Xy58mI+XmLNaHVyBPUVsS
P4SyS+JZlx6uCJLgatPqU68vbdgZRjGirNCk0LK3gQ12SSVUPvfkOgQfXuSWemWm6MvgHyQ8MAKY
UI+OQkd5iNVDLy+FkVnqeTZMdXYGRDhSiQVAFWy6srZE012C4KjdBVB++EezCZmVwlehAFdJ5QQB
cTQauq9ZOlLjlFVR3iVzhfQjDk2j+iWX7L92eok446w1zHB0W0U0ry2oMZrnejydcFLU5FOylwcA
ppmuyOFy2tQIO3qfnI6WEySbmaUfNsHUSUa+KUHUGW4H3mnYshEkGQPARCW2bYtSB80+GUaOSl7m
TgGQoyF9r0CEBDExdA6RDEAu+0pCzSnrqNM2+UBMz9gkerGz2IXJm1XVTiZJDAfIVzFN2teQoOx2
V/X5eJ+KUAkvAj5ka6tjmRJ3sJoYvr6UZVryWJZkQ+5Uji4EQ6jvSPnnCY10JrmVLYbuglCTAJHv
tEjxbm4TXfJ6Dcm9IxuxbLhwzKTqvEiQObIVt7Kaol0QvRVUALFJLjo6ViNL69iFehZezmGTqd6E
BvkuBv0VbXSjkgjhswrY9cvEzn5cRn3wh7xHIkLShw6qiQ3ldMeoHE2PPNdIexglZRonkg4zlLSO
hoR4KJ5peVRY7nA9Ach9njHpidsgEmQcFpI1zeUeUhMcpGchFaHNuBwTvuY29PIqXjX1GgTH0vDL
Di3f+BaSJQAVl2J5EJTt61DrQQzIU50HSRvfJgVHWP3wvvj9z/7oP4RFveO/RnFc/hr/1/7XyyGO
4/3f+ofHQbnqLzgEOM9VClPIN1jN/0FvGvpfVCAswYZXoyi/bob+2SZJiv0XZx2ZwxXnZApEa+3o
n42SpCt/ofBif4XPF5qHTdr3//nPT82+9uCvP25cDnvNVCXpp6/HC05wFo3Gg9LLuhzjXUi65wwe
40ZH6PM0CqECgq4gJxid8sNou0J46FmHiyCIzVtaRVCtO91C4mmn/fOHJ3h0J0VxRID9YNsGJp9D
GEexz7ubeIkCdiJ42gSpJGdjHNeni9plLh5G/cjB5uBgRR2GZjbbJYXALx7jYWE2xjApr4kx+yrY
WvkJWBuSl3RCeQl6mPyJLlBGReT72/vtNYFS2FyY49Rhr7XT6WYxWSR7uH1OuYV85iY+IThHdomH
lux/3duH6zCOP57OdXMYRmKak323gTSwCU9Dvz55kR3JO9ZcOqxjfrnUen78UG5A0CJnasylTId2
sQMFyw0c2Yvdn7W3Gx1oTP6xN/duE/73Hli3UOiRQ4BEwlJ4cxwyPl8zg8RBuHOivPYNaWpuUljK
SQjTqvKMwlCMrSk3VeiZBBv6gahW/ZZRliEgUAoHYIpRFlHQlEK6JugCUXkrRRW4g94gDS/MCjE+
6QApQUjKmCubAO1u7SaR2bGkwTe6Us0iALGE/+7V6kbSlNtqAvSozoR8eUscSvAtK914DkAu7hYT
G7XTTWjYMf/YxraNF/JZej6g2skCJV220tySpAXfSfysSpBtCOHb7q2FQI2CLVvUxp+sJEhhkgbJ
fTURkYxdIsNB1DK/3E8zqEcHlMoMvG6JqaBligHxRIUIifoxIIySHnWAQydhVbXdsOwpd1p224Iv
JbCrPVNrUXWOSsnovCVkMHQ7Sestb0CtOLlLAefZyY0YaP3SzsrFmNjcckykT3kGbxXuM85yVN9h
3+W3Mw3lP2ygrC97nSFponDogWJwcLiy8XDEet4sr6yJHeGvxXI+9LO0/f7LXP+Uz0OK/ijUADbo
gDs4w30eUrNqdmklB/IrxpYcE7zMKQmqvWsDIjlS0PrydRLTyVGaeg7l7hV9fDDp5maEEajNxKs8
MgdysWq1vg3oZSExkg7kd0ad38VTFN8bnR38yqqEhb63rXTfm5DV/T++dYNHzMHFXnth+sHPaZsm
ZEqeufUiNDZ4PsdNILpq18zmckSc9nn+40NlUl8Fhe+pK2CnD55yhI8kVPoif2Z2zDYpjGKksRbm
2ZltN1sWipZkmjqhXNrnYFbzhz+50/Xy64VlihYsyhwqDopMJOX2rRC5+kx0JBsp2yLQdxp67K56
dGQK/lw2e7/UWkq3oKDQazDWncTHadEaZytK0HQ/1+z/r8d00TbWUPfu9zfERuDDqP3XVdYhy/JF
8UE5xCu1IbGKZlcZzyXHRehRRnNBGmzgBks8nxGfJT19fz0Ku4dXNKnD0h2jewqbAsXQ5/vCd53l
Q6mrL2Rgp68529RwS8JAQkRH1wzFuUZ9AbijZPSWUxR9mPqLhWfVxc9e2VhIAVttsRJShCiR7zWb
YTTLV6VG1IohpEsiv9Qp8J30uGVZu5KgeJ3o1IEkrJKafOlkVt90ctEMp7OApl5ogRSdjK3G4h3C
EGB6pd79RjBNAHESn058UpiS2myjWRe47Yeu2wdxQjIKByhRoRPS8EYv6jg9VkGW1KCzIxOrUCMF
l41RBukWdl1qbRaSru37fDC1CwVUfok1h4g23BPGiOZtUhHF+5rdi7dEXYqK7URuDieFOuCfnMsJ
oTVWCRAQzahX21GedXmDfggSFJnC6uOkVdYDCa/8w0mvrNKeXA4HF5F7thtQ1KiEo8Ep3ulmCDxz
5nymXaA7n6hfhKEhdlGpmGTMk8ab7NSCXd51VIHr3mUCVuKGs9hwxVDEwhoYIgNWojXR6ZSjJGKN
WBKCaFs11/kGWgBkNJIz2VUruQkoZlSjvq1It+Aor8A7oNycFeLaLuJ+cKykDpqt2VZQViR1Ep27
hFoaujnvZfZybcTuHZlW+HdL1iPJQJT9WlerCci2IxkmDYA4wbIq5/Xo5uTZjQ4kyq5bcQcTZRKw
3OeE2YePixFat2ma58smKhQ4B3pPQtdaR7HvFz0cH/NSnjO3MBv9hgNSk/tJaSMVJ1EB6TLWBO1p
ICVd99TWTjwIZPCt5azHAGFOhJV5MTZVjCmZkkVnogqxahUGkvyTLLKTATt8ho+XnmLebwmSiB77
2q6f8LiGP9PZDtXTmlTEs5FzaeCnpF5b/kCO2xsmrLRwapXUWZ9cdvthaZTo7ylPosQPapXHZBNG
xniWqINgDVajx6qLNEGxqMecaOZKei2ZWte7y2iMGzxe5uIT8mRsQ7VdHg2towQhkDkya4ppAd0i
K6SVdIS/ujPxd7YztOT/vUBiNR/HoFVOJ7oaJLubpEOQCAJMw20BAFyDtIQ/q+rsf1pc69pGLZc6
uc8ivJR7dlFW/EYyS2pdcmSNrsK+kB70toXdPchzOp4XipIk57INtP8s1nGkE7c0J5lTzLZ8Bhi+
QKc1KRMnf9sk6GjpArBmRZuM9yGQzsSn8ahd5OArHuygtZ8riXgrqkFG+qNsbAZoqtZz6ShLIN3W
EOrYt3RydhXPwFeB9RfWTSJG/ReVavtvNenEU5sH2KB0vQmVk0Yi+5gHWhnJDvBBBmxFspNbYuep
hTQIIW9wx9KXK0NimPuinEZXzahSrD9+qn1dwaMLk16rrvSwaS+0KcRPWJl1z8YQ9cjb6qPQ/cTS
s3tJ7u3ZUdvB8JnIaIURHvdcW0FuuuTPKTe6NceP2GH7+3lRS1zWZjjcSq2V7KNuBJiOER3HHCaE
6A4AO+7jOLNkPkaZVpOuUzh05t4cLmAyE4wtSaOEzWpIeVR9MTQN7lyt/TmMU5nD6RjoKsrwOF+r
FK+PU9azpDEaELxQCGzbvzEvjV6NfyyA5CplF7UhdXexNmjwXLN5vA4EdmKH6WJBvUsS0HXUR5i4
Unw8AE0y0d4Q0EoYpKmSJ0IFiYRwgm2H8G3W1/zHSSVN0I0aqqEwC0IZCgSz13WtM6V5oyHJP+hm
c3ZM7UnbSnkKZmJKyWN1M6Qj86UZ1qLficQUgSNy3Ls8wFDZ6Tgf5nOw31iFu1XN6aUpgO5TZivy
nwpTLRufynw2oX9JKjJjM5AuTjGVxpMxobBzVoPaVc36H/tgOLDuSGm2QHSIi+w5hY/zgJCeKJkW
uRMxYwgMSTaPC/u5I/C69e02ojLeJvZA1g6l6tKZ5d7g25ukhVkxzMuregH04bYtiJM1NzoHG1CH
q0klKyhNDhLWZo9I7ZkJLm/bwjGpY2M06hOb6O4pkkdPWcR4mqgzjNqxUpKHOeHP9VeE4VsmShb1
VhrzzsVIhBlyCcd+detbiEM0pRN4QKMV0TOURt9SvrJz6lx5gVMcNG+v+jHizXO16uq1RIZj1oJF
fjL2MwGhgdo0yiaLzMo6UYmiY74kAKejcCYY1AWnfxyvFebrDYxao/KCcI2NWBMvE4KHSMh0jWE2
bpFvhT/zYuK0E1RRd6YkVXxbpFOMj1COAFjEQXNOPaPS3bmnbEjBLG+AJLMrmjAotfUAjQY+EctA
Etz0A0lfKvV6UolbYf5NnYJoG0kLzL2SSm3pD12zvAyh1i2bMZ8pm+rh8GBNEHMcS2rmnsSfOrwy
Y814I3XXbokLF6rlNXUubogLN362S7D8TXrFvLGwFuPHMOq6wqBkGbmnwCgnRSGypns5H0Ox7cOa
85be2mtC5EgGgU82UTaehLU07xZlsPbgkDiGaXI63iN7jGWfu9Bll1mEAypnwPl6NAr9Zwi2lbDK
oOCYN5Mz8pr0c3vVFaWRO9D0iRsZyyF4nepp5pHpyKxczSwGeLszOBtg4eGbZGbdW5ev2UYcndK/
2bwSbZQlhA+UNwVqM9KEUAYVm5bTx1M7Sg1L62Im+rZTTNgsy0BSh5MAa7sAxh9Fvm6FEUhoZqbz
3rIq3FdLH0rMEfBjHIIU1FsIFvbPsRbiDhaCuUtbIufBGGnk2hfEQ+1TYj4fRgzTqZebc3uLSZG2
9BDIJcxou472XVSkzxiUDUYlwcgv7JWSn5hDTSavsp8Ut+j65JqicV35NYLrdFPC4QCAEw32k0jk
7lrNpynyWROBFIEuxBsYteP5osSPtl6XV+XKmmuJG9dANXVLszFLlkxHBKq2r7MiHdw6LO1ogy+t
vyUH1Yy8iU0nvKJpBdSLwGI2CPlWQFiIabI3U92s+eJJEhO3rts53RAx5j4mTGBAYcdUFSPwJHZK
qNmlMRBFdqq1tTL7ePMmCi1TlXQ+I3cim0ySlV0+J73LaAwuFhhskcPn0d0pcBYilihi3HKM5A7A
88JZhJ7sh3LoWahFPpFdlQ8TtubMmJ40vtXUVZWaFDV5YhZWkplg9syW79KlE5ZHQCGc1UonONmp
p3CWPWPqwvo0IWBgEzRoQ9yaLOfgSinT/KWSS0N2+GrI84tsMhEceQl4BBHm++k1S4uQskM+KhPQ
MruPi34bIH4dfKU3UYBDW6xYAYbefopAj1wjX+guKHqHQJWsAcS7nUqDskfqZHl4VQ3jvNDIIewz
3N20FyDc36fNUimuBEUHSKbVZFeSxh7DoQCR7Na5hfhwQKg8oq4ci21AxvJ9MlA0d7q0a8ptrwAL
38jY3VFTVY0+uhTOx2Ujw2J4LeY5u+56NWaaYnk/kWJrzThHy39jLFM7ncrNYD2QX9aFJ3Odt5XX
L0WsnSmjGuSzH1YwUwjCwcPf3nQyGB/E4hqpZljHKeOkeclcBfkk+BmnvQSJgK38Vb5gNXaVpk/a
ndKZLQ7sVOlONIWpE668TOWkqKvCdoU2K4s/g8GLvGiBEuRAym6vqUwN8sYM5PSsaWfxI8cu+VOu
mBJcgX0898mchYnUy+xDCImmvemOGenmG1NDJf9Onr2AdM7SELRxwR9qLPFVjed+ZR8X4wZETMJG
vYG64BkWp2FHz0uJLqC8TJsaRaTMamINbxbRZOCDBs5fFIw6qd8ZXTI6gZ0ZnGuA6dJWp8hYONWs
FXvR9NFLEMrVic4RztjUQ53cWmG/0HNaYqbMjuPLdT0MhCLGpBFBXLJn85fdBRo9qKJInjj4BVds
ZVLyO5Wq2WHp1DxseaFGjCAIFByoqvxql+G8m6smvQUOq/j6JNjrYNExbhkUFngb83yJI0yst9rE
KHMSy7AeOMRmsxvAJR3PWJD7F6VQ+szR52C4suAC9liRIgnoRZWVj4Dy5uBi7oI0jl1tkHIYGRGx
ovjFu/AxpCHZnA9VHoc+STfc2GRkbXQKxUy5soLILM8iiSK5i/PJ/IGLnNYmSdihzGPQo1MS1Bhk
TEBkFDU5C0BVxZhPpWGMSwfOCQxgJlMbwEOkD08RZYxXkHC4pU2OsLBHgnA+BffUPqIVZeylaqxq
Wwz2xX0hKB4BsE5yslwSlacapm1wk9s1sYxVXQXeKuI4a+0wI1+ha/KbhdiROw6l+V7WRpkgDyOT
ngq54DsE1No8cjaPHqWyKvYAsTENyNn4OAQdTriKw/F5laVVeT1Y/UCmq455sqa4qvRXqjCWe20Y
8teZD2dEzGfozyj6VuttEBnQnoduwqJskZn4Gk5t8ZOEKTs4RTodyGeypKij25E3NroEWKQ/+BHN
Uy4Nxl1Cl+9WD4loYpucDuepiheZYi2hS8STmPUlIDzrxQzm8iZvSalypjyy1hAhmBonkRmTtF6G
EmccbCuOVY6gjmxtmX+WQ/wqk7QSwqBQk7OecjN7hMJavB4ed0NUZcyhZgZIQG8TcthDU/UUVBEx
2ptOrGnQdFYiCKs4lwqvivKKsVrO8uIUKSzCjU2r7kdLlYZC/xgiWiCx0BDbLsVkfa4BAqn8NEkp
fo2TPT0ltMClB6XFrHEx8wQzr52XNj+LFKMy/JofavpW3wy3ZANU7P5zY2xPhhyf4BP5kWTrqU0c
rgFTY0F6a1oMf8fFoGqbRC5R1EeSSXLYHOHTcyvEJeOJHmgBZTfqqw6F9PIBEcZQXIc8tJ0eFlVz
EpIl2O9Kloz0DBVeL/yoaYpTvax6sZOLcuQdkCSZbqLaKHpnKSdSavvQqoibzXvWPlVJRn1TEnYS
b8SiTd1pOKlL4o+1qkJ1Kya5gC6g2el+kYq6cRNYXqQIGGETn8RWPfUnYS7y+sxOgiC9o/xQaI/x
rFMT51mY5IMuujluMml92cHSrctbokTXXaeCXaO/Kq22nny4r1Bq/uCINDVOrS/ZY4QLmH0e/JsU
SSGnHPJSLNqmOfVBL9U07SLDDhTwZ7Z1vjWjKROeHc60DDI2fuvGoizvUsJsnwZGVOL2oG9XlZqe
8iVUcdnuYi3lqE38KXsrAZOz3rI0zg/oUyi/TxRlbhLahkiOpap+EhneFRdLpFmdIa1aj5gqELYz
JQsqFVJGof+wNIC27jjo5T0mLFn3qeYDwfrfVNwVvcp79bk3jPIX1vgZPbgcq2/fl/6+FDRNsbph
DURdtF2gdX8u/EGuKZN6MaxnKLTiHH+8eFLZDf1p2XS9CsR+KqNoV9Fufb7Kskz13C2z/Rxnxuhn
ZPj4ZSaO3MqXqun7RagFY3JHi/1u9/nQskrJ1G1yqrbPU0+wNhyaYFfqzeSYSsnGuE+mIwX2tWn5
794CVVqux1Yc+xC2vVUV9/mmJjPuOouUtOfFbhcciSPikDHGvwvyZBMMymNkxfNGAuFypNPw9UYV
9LmU9dkyrzq4tenx4UabsdNio0uLvW12xTaeA1wT7zzCfAk8Pe27m+/HyPrnfbpRFlQFqaoJrwAD
z6GQv03U2hw5F+4z2J8eL1LyTKZRr7KOmtq+vxSq3c+3ZpY6WWmqSgUll8ozAvfo/UXQeDRUHWff
39WXkU+fnmHCxgcTOmPmYOSTn8z23gyLfVeivsrpBl6B5Ozvv7/K1xtCsE12ANBwroLl8vMNUW3q
yIzJir0sMStEHEk5jEavPfXeI02D393PxysdfGNE/EJCkItiv6bPn0ChtT3Vrv7+/na+DL1V3ADh
nmYPBGv1UE5dj7hmod0W+2wM001TWsVVGCr181y36uVoLdLJ99c7EBDzkREpYuOW5j0J+vn6wVtC
GJ01xDu2+3kspeeQQB7seqmk3xEwDx8H78yumML7gFjqa5lw6I3UAGZGU9cYN4vRGUSijfUPwMTy
kZ7Xb14s9AKiCdFzrCjvg6aTQDo0VHx1e50JetsK+luwi6WTpep/fv8MfvNiUYXy+elsfPnPwRBq
6I6wMk/1vhvxKpqlghpOQrn9/VV+dz+AJfjMxaoZObQFZp2oqlHLu32S2QqlpvxtyaTcjWhBH7nS
gTrl/Z2uNixWHHnNaj3kDkwcDkHptO0+I8LAz4HC7CjiF1cca8ROqoNxV2dLdNFK6fCYNQ0ylW6s
LhbRKr/0IQyPzAPKl+4lKx+1ZN4kMzrTm/L5E50qsJJWMY/7iCAk5LPmwPHIjhJjm7EP0RwcL7iT
A2hWu7im3eEZbVvBKuQ7ux6HUvthwINU3FILwAyPg40s2aa4ENAcseeTQkm0Blt3ISDIZn24q2o1
v5DMInzL1Fy6svSxAturFtmDpBal5dgNhVl3VhftZmANuJLSQCxH5oovS9d6yyySKGXQkX3x8kLi
7u1gNOmaVVHsGtQo3Z6d46ZjL+BFpM3+YBPQvdArWzZ/PMwsjGf4HhjNq77688M2yxrHWCT6vUpx
AYarqC8GA6u9BuvJ++NLrcAUi340uivx/t4/LJNornMrJT58n+m56khwIN3cLJ6SuimO3NSX7ikC
g3XwCJWyGT6wg51AJemhLvRi2dPQ8RfJsHw2v5OfivGXkcTJLgW1/Yf3BjpBoBdnt4OSjF3A58eI
Hl1i7hXcmymbbqlnqCibWHbI8LV2f34pvg5rvTuUFIdw/8FSpAJn8rC3eqpKAcTJDZAEwowVMzjy
xr7ODNzWuk002SYytVrrVPjxlc0UDIPK6vdaEC1XEglw16LVJzfLFbh0y0Bscy2tJ47ueeJs+0Mi
bXcnxZHuyfFkPH5/4wf+cOYpfo25omk435K9cQhKmEkYkqW4GvYJJ0tnsE1jB5wKwrdCC4kyBVb/
ZA4cWzTGrQmn3eesrz82eS5TdLG3MJTl5+9/0pdJml+0amUgR627v0ODM1kDI+0Cddj3PVl4xEfL
ftTr9SmV7WMj7N0B9GnXZ+vgOZigV7M4z+JggSuMahxGpZ/2kglj3aG5PwCDLmwVGkxrzleYJjh2
Wb0yPVp2T8FAzXQbjk6JCCDr8vFSMpsJwLEy01EwhwwVlmy2xd8asFWqmBQSTinocbpteFCvBpWS
RzFK0mMG0vz++8e2DpsvtwLwgv0k1B+2E5+HlTINOMNjddqPS1Fs52TIvMYKiiMLyYEb9H28rLof
GUkT5+wv00BWUgOY82LeF/CSfak2jculWoiNVKv8NsIc79Y5AbdRXotLE3H79dJrPDEikCH7W+HG
BJx/htBN23Hym458xl92brxOdUUf8VJxWx9+WkJp0i5eknk/EfoLgn7IQWeEz0ASg+toGMsjK8zv
HrmGGxQuC6m5nJU+P3KbnsYqJZjBDtLRiIkF9XF7VEcm3t/cFBIZqlwsZmKVXn2+SqN2gQyYYdlL
hrzWXeN2SxSpukKlpQulhRL6xwOJjYuqkyvLMGJa+Hw9pZcQmdjlvB8NWTqVVtm5sEiP+29chS3f
O1kATNzBhiSvwjiXwmbe1/PCy8kG6TUvS+XIvbwDQj5/FYBDVvsfmgyuZR08vElXRqu2E7EPErM5
7Wt9urcMIHpOp9FPyindbbumz08ErGLS2LVgX1I6dQzcM+ekldWUu9gyzFTLLlQrxlZjxezDbXHW
wwT2ihGG0J8+F/anJklAAp8vK8TBDzZIkC0CSYg92SLxBq+84hS9Fh35jL/OsVyF+U7TViyWehh1
1UiW2mPQFvuksINtMoCMgdJbe3Y3qkdu6OvwRTjHLKutywyf5PpTPix3iax2dqJU+t7SKfPPUC3c
AR/bha3V0ymNedX7/gF+2acwZrmUbPDBMBW8H7Y+XI/goR5Jk2zvuW+xNVMdxoCSGAapSkstqMzH
87aiNvXj+8v+ZiE1+WC4S2CHzEGHykhFz6hnN520R5Kl7JgVOumyqo0pOCsZ3ZcEQoQX5ZxW/Y2F
VLaljR2B9gbnA5XKkOx9C4Se4PvApgD7/U/7Ok2tv2wtpMBD4NRzsB3FdWOXmB2DfYdy5Y5PO3rI
TUwc31/lN8+dbDLqDAboHJafgw8aVp9Cdlgi7dNREJqQKTWUTwz/NEKb+jI24nirjsU/WaqfXAEf
XQC/uSpDizfJ8o1U8VD7Kmo1CIuaHg6HC+kkJNHsV5omynNCQsIWZJHup3aWnn9/q1+HNMJIg8gy
jhUEiRz6mtu5Xmx4UflLw+73hJgXes2kByGhKHH+ynP/+P31fvMCbRgWqD9XwT8v8vMnBAdKBps7
FS+MMbaIrGsXMbK+I3PC16tAGBBrGcLEgI9B9vNV6DnWStMZ1YuhL292orWe3ObHFrPDiYejt8H5
k4+TAib4uYOL0LpSyCox9ZcqMCF268aZCQLZAY+vb//soeE2Zd5BcIVPhX2tut7uh3kASvUkKvap
L3ln1Wfk7mnuFIbBEb7SO5Lg4wKzXobRx0mPaY4K4sH0ZgoJdVrPWFjiMa/8vsEHebnYizJtJTGp
V7MRJhc0J+zBURojv5TkZj6xSyD2Z7Y+6I0j0QtAkd8pm6UQYOs45sAOn9DwbSebTIRtEcst4TJE
PCWEo4vhxl4s+7GRJcFmM2/I54ZxR8zK94/vcIy/3xdjmy+GKNKvQu+B/BYO2Dw+qNc43Et/hhl7
2i3aFSKF8MjkcTj2Dq6mHYxwpJl2UNhcre9E5qldp3slDLcj9/Rl8K3val2KVgPymhT6eUiw3+hE
rpn5S52kcIwztXcDu2422Tj8+v7pfb0Su0++JbYeOqr0Q/JA1JJitMx19BJmvLsRE65Px9RwF0wH
3h9fCr4dNizBBhFn9ME4z4saZSyUq5dCnpSzrBzpZdWdfsoMbxx5S1+OrmwG8TLgYGE1Z/o7nCLg
6EYtcTHpC2RhoMoVCTYl2n5ExmDaPF2LJY4/VoVjeC6CX4NaTJ7aqON5RDjPgNUVg+f3N/913Hz+
QQc3L8EUT1tTTl9AzNATFLm0CzOF7d2fX0Zb56sVKAFVcF2FPswljbDyoanU9CVu/i97Z7IbObZu
51cp3DnLJDdb4NqAyWgU6pUpZaY0IUJNsu97vo5HHvgpzov5o7KOS0HpKJwGLmADLtQkoUwxyNjc
zf+v9S1fXlV2Kl9bos8fP7/KskbH0wXVPi/S8waC8+/iKjMFczbo7vFIE/+YyO05pZHhDGm8/b1J
SXaohR2sp7FAUAvl/0gHZLmUzpeHizsXAWRoBstzhqm1ZI4QjLSnC2eeR5i9HKaVdit0qLi+jhQq
DthFfX7PH3yBBxedn8mbJ+up0Mqnxsr3TdymW8Pvy21rdceQX+82Z9wbZU/Mh9wXc9qSjqUbAwp7
4mH2AZjyHzlKB4RyZYSUQmmJGUKTFSga3X3Gabv1DcmApa3boJRtypITcz+lNd1ef37v76dY4Kjk
Saq/nJJLDHFUo/xqVa/aawjAofab+jcLfSBKxkS5aBtfPzL9fXA9i/wcaCzzDhU48OGzJvvGDCOO
j3tqatPVgFvguixN8tWsTL4otPAYG0udSw6HayMsPI2GEKsj6oMlBVYUZW4KdKl7gEmKvonSVFed
sG7QRjWdFTxJcW99sydZem7ioUOZMJUnJM0m2PGw8V9WA6N1RTyjvSP7IjKc0MBsvSrxbMlOm8d6
yi9LzE1VZD2u9sEyfxoN6pAjj+2DIUp/hsIgMwCOy2UlXxt0KVEwtu9tcrCRw1j1WT7TxD4fDO+v
whkVxd0ce0xrV1+Ub9qwpwsBEHqvk1m9hhsko10ojyGsPrwKcEsZiAmFImvxuuHnNhoNYd/emCAv
KBbJ4oiexe++1LiFVVywM5Zcwx2xGGg1U34Yks6wTznybWSSjtYoaMMjr8+76VLwJrPmMWnOp73Z
n/x26phdHRXx2+2eDotUr8mbxc8ikkhZe35TXURikHfo9fpkjXFAxnFoJ0d2zO9eKD4BclCcUvMe
iQF++AnSaeS8I+Ru3wSSdjZ2/YgemlBJNR2Qd8xS98/HyOEMzbpLC0eASFc5JDMklyNRyVoyIIxy
ok9YfEfxmRNV1MKEjRJdnOg62pQgHPNjRq0FS/fXZZkzKMfiLnxfVUMYAytBV6aHZhT5l9TMG4HJ
pUOmGwNmVtzJNMNT0/QlBL8i6OSdgSGbXVyUJb/XWXn9KDoBdxi1TV0D7bR4S9QQlVmmUQsDGQDZ
r8smVwkpiBWD3f5W7/P1Utwrx3mcrTKdjcWlGlS7SVYZWEkw02xzTC/oggLvBK3psQP6YqJ8vRan
BEYzp0rIlPr82r5ZBYUnpUk1JPKDXQDDcPVpjK9zMCuEyyp6F6571a9uuwjR24r9nq2jOe58giXi
pDyXxeRpK8Bw7QlSQgwswi9kcSYRG3OV6bYnXdt+7J+iYpJuJYW+vJMxum4trazvPh+ehy/kr7tg
XsGRL6geEhZyeBdjaFQD7ROGp6HUxJRBQL3SFEIvyqEfv0xDL59joikfUxLjLkYiLI6cxQ433X9d
XyCKAfXF2VxefGOk9kpQf6bpoVOMelVL6NxCNkxYQar8yGz94aVY3BQKmHxty/19N2RNIzWl/EB6
JeJbS5p2NlFsO+KIutXnT3Uu+P29iP66q9f3Hf3NbCxbPFWRqKPIZFN5SNGYrkI0Vy+1F6tuTRB7
5sQUN5pSsk8DOYh+q8zx15XxFNuUIZlg1cUEmxeR2YE7VB+GpKyeIlaONX9bm6uhwW5K6uhY0/yj
p0p1Q8xHCwrd71oYeRboySTxyuG1JEgstk7rPrBWga4ci5o4nLrne5stvCzqFtgG2j/LsdIpGi9W
KR40QjrBLGlhtBEQ6H5gQMdHFQZZ8P3z73Fhnf51SSgaFFjY5ZOQsLgkftPG68JJfrCiqjM3naUV
5RrzVfClt+v+IRsKJNZhHMY3nSaK85lPc27qPvQ8fuORleT9oILQCMhBp2HCMW65QiPq7NjvzfVf
VBYhIifiHMNpzgpVqV9gyIyS27AaUHhmhfr0+YM43IO8Poe5bMbaORMz3mmSJimffMBd4sG3/O40
mTwyaGzEyZ9f5f1YQkxDY4+CJK+pLBYVBUAcEwFQvv2gSjBl5MGG+F91e39s4t9eKNDGMGaZvdnO
0008nPbUoSbBCPH4nm6vslIiLd3oldSuyP1qjhx3F0qh+dmx5ZVhyaPlgBa8LJ8FtOfL1m7ifeHb
2X080FpDuKmufR/dcdUBP1Uwwa2x82rfpN6AlaU3sgsSCokpHheY0aiQQwl80+8+bYa0ZgHUw9FN
D27+Nt4sYJNUFpbUmsm+J1B7Zddh6+Zj7W/VkO7o55d6P3y4FJfg/UWXyHxzeCkUzkOg6366z+oh
3cpTlq/zQFN2n1/l/VZLR5Nlw9XUqR2iSjq8SuPVgA6yuth3A5S4ijoP/V25x5yjh7gQBvMevUNz
ZKr/4NZIikB1zfqpAZSZ39o3TxGPoB6Y03zRXiczGIDWriPI5chV3r8ZFDshHM4CFaaj5dRHxrI0
DGNUcgZIPDcMSoQFkqRustiLjgyL14br4eKlc9qW0dDJbJKZ+w7vyEBr1VZTS+VaNn0cV3ZjPFkE
gJ0JcnGuGOnEb7K/J2o2UnRgCgmSnJDwbxJm3N4KjBOOwUaM6yORgIP0HYGlJMJiQGX3i1UnMxPF
6cVU36pDUMUbOTKUUz0kf9A1pJ5wMQUji3Bagjkj9qOD/DPDbWE5w5DodwMlh8IpmXuwjc3nIacx
BX4OZMg/ci9t79NC5zMii2jdilSkW6Sw3XPbxtRrRUxS0cpWaT/s0G9Kj5OcFpqTFoW2keXOL13K
CcRyFlZZPFU5gDUnRAyUOijO+8kJqkY9qwEI63QPvOjZ7EoVd04mhuu+z6if5SQ5kKxXK3g0m2wk
zJqMXl06a7AoyW6ax3KAa0j2vVWEuVly1bhRn3zqc18aPxh+5joua3owHkb7gejxvT5ZgAyqRrYe
M9EmeM7JEL8wMmtQnLQBbOcO8GOzVZdEWGCzSQDrGocJfJqKTwITHuqQZp1aM+0DB6D1rRuq9Fgl
c1FeRL005wYhLaA6y66Dd+pwtBQk7oQZXLVnS9JJ7P2ZptYGi+5k3WY5OBNgdnK2y6PHOPyiYCv6
/I1/N7cur744zSlZAdfKbLPnXncuRizFT/lX7aL5Ydzo5CIqbthuC3PVbD+/7HLTvLzq4p3PhFX4
msRVE0EvZNKfsC6eShAQhwoztE4CnOa2dXdkevvgxMH8YrKG0BunhLrcKyeD2vEGZtXewOkYOAXi
ljPi617C1C+uC3s2lIfScBIqLfIXtZb41rXittL0dgN6JFiVShNvxlbPdxpL7W6qA2sNOQ7bo9wM
p5y1McYWiboDeKEdWW8/mCWp3svqzMACUvaK+XgzSwY4Pgc1HKt91lcFZ98KHbyRK+vPv5cPZklS
o1CgQxZDT7KEhXRJ2RsjeMp92WIxJmnEXo1ThyXDH/X/g0uxWREmEBQ6LcvIOl8TRDbLgsWTUPuT
1PCNlZI09g7w03hkkH+wrEFMA1XLw5PnpebwDfMENs1OT9K9FKj4iukksVD7VXY2p+UETkVE85em
GMYvv/8wXw+2SJMoPi0XNvAkUKBML9u3eqWuhBA5LSWPDN/QCo7s+95v7Kmfz4RelNsGS8/iDhWR
RfZg2Nk+FyLBqg5XNQiC+KTXWuLZAThuPr+1D6ojhgyPBy7w3P6mKnH4SKWiTXotSaja01RdlyXN
hzjqAc6qHfVJ2fS+S0kcrEnO7U81TYRrjcb/kT3RchLhBAr5CbkpEdkcnpbqXtGOg0fJkK81winW
0EC8EHrjXaaSEl4RtedtUj6ig78mXpcjjPrPn8G7UUWFhCfASZgBTP9/fpfevJHanChcTKlC40Kp
fzCIX0Av5xsMVNGuQEF3Yvd1fuR7fn/LbCtAqNHh5ShD4fTwmhnpvxFbDnXv11N+WmLoJghUToF5
ZXl9HZOlRnG4TS9MYijXFvFER773d7MQ98w2jQfP1WdB3OH1eyMJMFcIda95VbMaCcI9J8f+2Ib/
Vff+dgPFcQJlJj1EBjPuiuWb09OPYMFM9T1F75pAvSxkI4Qt2T7LCz9pZ2aJlKw0VIk/yNKhKUeT
E3oNOZcGGQh53FwGkmXcN7YEOCJPKyxiqRhzFRtXp3dO1ffyF1gv1lmbi/aiyzxv3eC8qV1y4U0n
pzk9W7i8n+YY509eNtEoMOo0WimMNuHW5RgFK/hIyglW+MIggr7DIeSLbrqX1F4N8PV7+O2HMpie
BJggJMqJOpWuAYPtzvIqLCOeaicnAMMswrC6Wt4qRgdBKGPv4zsy0ZydI4NS1x0d31mJRAvH/7rR
Av1chH7Xz8LU4irPU1VzqiyTL6VW59MP0UD0r66lT0McaoDfGLhumgW4i6c8LRsH71H3UGP820II
h6LoDak0Hhkii+xB9jMq1immWRWRL0utuTgZDj627nIYtP1Ued4IR6pL3TjONaKUmbp2bPrQiyp9
Hl57dWx3O+y62HtLif2021RBGq5GXw1vyKA3vxUq5W6nH0zty9iH3aXCM2lPs8SWjrxYqLoZugdj
TsPNQ41V1zg209aaf/7mdQbXQBJ1gd1Y4GXHZg13+L7K4sp2zNiKVlFGJQrn8YyVUEVpV27rKfJt
MEX5XouGhLZhB+hvBcPX07ZJU9TnjV83j0kQSV/tVtKr0wGs8ugooiUhOrSr4ayRhmZyAXeH5rZr
OwAyiWdFT7jwjclpyRounayw7Meu6dVHI8HG7FSATjxn8szB2wxJH6M56jv89nCEoODlaoY/jvwd
W99M0xSFrpLUxRMwJalaxbmU3hp9N4xbZOeasu5tzxhdUyp0MMWyF9tfgaNlI9U1C+6ZFzTJV5Bu
g04mep9fcbr1LyKE962j1Pl0b3vDeKZaYeq5QVH7Fy0BDKFjjxJ2GbmKpxszbGNp5ceFdNL2Rj6s
AeBEF77cDt4qsHUYw6EF1GWlxK39w8ihBYdNncRr2PbWY0K2+wXRyeAcoZRJBOfRzthnlSZfDXoz
3lMKBuvQyTozXjx25osWt3gBmYC9myxOrQ65XR7bZw1pxQ95DR/LidQJ7hL4E44zcdADlxFV5Bha
U33R87SwXTjbRBvjONef4n4qCX0pcr1YY+iVQEOFYXRbJmUuX8jVYJurqSXs4BRhi5ds6qz2XxIv
7aVvo4SQexXIil+uorIZxouknEAMTOhe9gORJuOlrcdSdAMcwIsejMLTJfR6ZdtjUlZCqf4iZC+x
QElEfh6dtFM3dIGDicVILvpARoOCFlYyTkya8pKbV35+F2GDrJ0ilmJtFfnwltEoUP9x8jRpt8gj
wJxw8vJAQAF7fjGNpvlukUsJM0gP5pzgRK1vPWHUG1DQldhMnleTDyoFMpboSOUQRrv6lGOzEju1
33rAJUeSat20VO3ocvQGQuGBkCj9Nm/iEk5YG7UnvaghkfdxVXRrT7KC1JVbaYzPwJQnLxR0jPNR
i/QI25yqwxbqFeOCemX1pIlaK11aL8YZULsI3+XgcQgaClAv8JgAm6EFCgeYSnJKkhthkcquGDtB
/5gS/bSjM5rJp60WjdKaUph6btZDoK1SqYSWq7VobXegqMov/tBJ2S5r0iI+74zADq+qXpg4LSga
7ZS2zk/xCmfApCNpSp6CwDMvLc8iuLkQvVTgAhJ+5ShFal5wh2LaSGPGROV1RnkJoVT62TYF+vcx
lAR4rCH1AF0kkXfRk5A0ng654vsnSLbtEyVgc+Qy2gmdlxuRwwgXfatuoE6H2aVGRkjo1opXk0yZ
d2Ao6PSCdYhyKzV3ZRC04gQJIOg3T/axOk89Lw9uihrGRc4Hd3JrKJ5MkBnoQFW6qxuVr/gHIQNZ
41p+0oHZU0P/Syc3aemUFKHvad0T/q1IQzySQuN5uwaai+nA8UmeOqXECqEGwUSu5FgxX/Wxmq3h
bbdiVdh+eEZIE8Q7CeZF6ARmGTyJOtTFdj6jl6jjC+PGj+HHnUIjzc9o2ABqQDqGKQsiCgdQUOAj
kFVtMucZUk3uTI+6hlPDB7udWF9/lm0MH5/ztI/QHRCRDS9uDB+82oIoh2fbLpwimIZwa7WK/32Y
KqQbamfV5PaMjaK6wiMB282SRiMvCVqoU1VTqK1KykHFzGELdIoeAs650Y70GRugs6EDYoxjgwf6
zKcYoE63CKlsFP9e2Xwbtbz4adWZeGASBxRGALb2PY7G8rEoyT9fGVIY8WQFwaPbsSIJgS93Ktyi
MQdWuzyIb6UiVNIVG4tWRZndQN5LYab3q4C7ZP/ekAohwgr2rBYGQ+HoQWgGDtWYpAN4j/GfsN6e
OjaQ+tqdoiSX1w1+ytExWzsBRJvSxl9NvSW2uc9pzC0r2buDP06AXjlI0R2Ge/1uNJoypxBUzwEO
gKLuKW361kod7PiqH1KeBDk15HNCfD+HlKd+jbLMAN4Q8q9AurTnlpE1vqvkUvjInKGlbk2iQu4I
QZlma3qTdimlPcwJbxxBbLGHpILVWAUMSW7VpkwEy4nqkZebJ8ZI72eleXLEaifkQIJhZjSW07eh
tomTgvN5ljO/OkSPyfdamNjf6LunAV63stXZekXmSSMCnXWhUNSfQVQbxGTJcfiUh0OTQnWIkjNS
0qcWOlUuw5oZ8l6FgJ8M91VN/Dw76Lwk0C0bY8CmMdQvkCItRLUsDsUNmzowboVt+D+McZT6XdL3
ZIRqeemrzljZieYUoCLS2QVfcArrfd6sOpvgwMkiaB/KTEqfynCO7ADIJm+jMYShCR9gPBVdGhqw
BUEoESGQNN90zW8eCngx13avBOVJq7Wav4pQUt1qmVV8QYNWXGdpgKqZ8cteMOHAvck8NZcdSArx
lWFJT0YpGlIctJTJtB+kNkJjFZI/0ESDpawHxZbgnOWKPewo908ANKAbn7EnkalRhl34DB4xhXtG
bdrfei3pCoAkC03cMXFrEcy0SYX9Qa+GY2cjsmuTxoCA7zBO2rYeY7pKfdL2zBdGKF6yuEnUq8QX
3kXYyD3dF+bv1qkx8N0xobPADHWkAXFsYuXLaKV2iFA00u+oecjmWWhZWbxVIMUkDs1cz/qaMdf2
LjCYfrzv2fGT3DWMZrslloLBQsW8bmlq0XjdDpPGYt+PcE16WKHNlq0Gb1MOQ2Y8JQ5D9h40ynzT
LiYPJX/MZAPuoTyVU7tpLd/YV5YUEXI0TMEXoZUqvKi+1pOTlrPfd9rbEJ4H7ATSqQHX9RvBKiYl
TRILHTkYO2OlWUP+YM85BKsOSFy/BieiYlfKLf5FwBHIpSkXpTeDMgb9ZeJVhf6T76+V72MPqRhM
01CWT0vmGX/d2JWanAfMGlCyG1hfaUl46YmkR2l1KpIhID+jiBvjWwEo9xxavHEbKlorNigslJ8w
OMZqZaR+E68ahmK9SnvMXJu6FeRlDEmuFXTq2nLCDijaMzupK2nt9eDqIpCozcy+KdqVTDEqXGGY
bMjbaHONepotlfedggAYXancDReqkkzm9ah18bDNJ7Uimyu0et+1eINlIim6IWLmUsmQEU3cv7TR
aEouKr38IVU8qdiNKfnplEpa+cqXlea8N+0AbqGWpk+iMUgXFmMZxxttTGL/HAhKeBFl1I1XisdB
zkUB3asbs6OC7XptjlOLsrF8jTS6Z6NumfW3rgn6cscpBoISt50+F4VsXrKVkKSNBKdgdOqqMXu3
y5RQdXVmo2t9zkDZQhDszHXtN4ZwxriqXzgoy7cAk5o987SUb3IZC4ut9amPistQd7EiaaPbJZ34
LnnSVPPcOUtsKm7tPOKsyrQxBrG3srqK3Cx+Y31DCFDJkSMtpWILX6i6NKpSHjbEOQ7pSqQkdziD
F8veWRErxXmKEoYwkt5PGmAHk6qulShJL5IUz4Mjl4b6OAQla3hnwoVyva4kZ6iW8A3kgNE3mj/J
GrkgXZjdswOL1tZQ5y7GPVDPhY5lBkgVrDXX9ktWNnUcWXmjavLdukuh7wdqXK/8kmQWNCm2KN0O
oB2nCiP2YycY0ymEikmFe4ulsK+2cq3KWzMBsXRe5Mw8cVgp8nk8Kep1arel7mqVH6VOO/eSOezI
krFK6jZ6GHR5+CErY5xB0h1QS+dVbVervJbMAR6eRLFa72bDrErj5bw1+IOTh/TueLO0/imuVe2n
bU32l1HvlWiXSAZcQok0dA5zqfdDLtvpKo0kDbBsI+v7Dh6oBmFXsvINc+6A/DVKleayIFOX2MNi
mJ50r8yr02rsIayTZQ0XG0wxx3FWnZ+9qAyiRUa7kN0mnWGKqjVqX5NsiAR3hWh+3dfjCGBeHyfD
USEw2+cWYLNp1bVl36/6vk8vkxZDMkCAntVPQeg1uGEW5eGJYWbBD4kN+yNhOVPjQliVsfPDE+PV
FxLt2EhNgxeYxKm4bQi+l3B21f0FGuWxO/Fs+kdbKqHDzxLEHtvTbNAfgdDZxSoH9q2vCsO3gc/P
aLPISRAW3yaw5wjSK2gDMnWRLMGz5cDJzYbVPo9iK+C4ooYZjZ54eLbhvoNNi4hOWLdSq11xXjRH
zseUJlh8NPMWHAABLLWq+lCdKI42xFlxsGUdKWHsgneMLoGxmtIO9kMK8BIuqHJaKenorxLRUW8X
UtDehf2My9SM1MT57cXpRkR09+fuF/0sHJc43Xw9rFxdA1R0IildJtZqT1Mcs3gKLxOQYXhdF9X8
DCpd+TYMIV0qVsV2T2jPeEmnvr8Ko3T0dhqQhpJdVyFdwoDxR1cTeXeP16qjrTUM+YUcjynUO9Tv
SIAGIZ66IKy9U3ua0LiOZm2clKlZvkweWNu1ilFWctpJC9KV3af5LdTL6iwQ1KWc3ADO5iRlUn0F
k9ziQW6akUqmZMv1SaJHtX4F+YRQzLTPSapEE0R2kjqw/aVvrp1h9QNB6wkCDty0GgFoaq0cXYyT
ou2HyjTxY8QK6yc8sEBz1YBTpGMOet07rdE199OUA2XITTPlKBmE1tkAQYVAbKFR9mjZVsnkGRn1
7RzQcTfBxT+3RdEH6zonzGGlR6Z55QWacRmFxfSc1lKjufyu8meQxMZzX7J5dmye1wMEyRr0cGiq
e4y7scolgyFyvDwRP6ji+V/jDtQWh/NQ7ZyO7X8N8c8urvHe+/jnconJpUD/bzL1AFJfN7I2yLd0
kkcNmjTwT+oZrcc8UrAqsymos3MDATn0SIIY6q0wquZHNUThz89LwnOZ/aCGtGjlzeXbNzWk2ACb
5TU9zTTobqZJA+8bmJuEvl4DI9bTjhTAjU8vR9Xq8HIAVmU59uiiGYO6SpLUHeWfkhkDYgyONGs+
vzE61IdX6iWKHWrXZc+D1F1R1uZKwiVDmu02gK1mo9q3nz/JZaH5sEFIsffwgkUGA74myOa5iGmB
8zSz8PrzKyxbXcsrLErpelb4EujT7JlajzPb2KSn/ljM4Lua4jweEOOglEW38s5oTy9ep/GkZM/Z
rt5qK3Mr7X4vbOOv7vGbSywe1DDVemMNavaMjHxdpc+BckyftrARvL/E4knhJFQgHXEXnMiY+jPV
qZ3kW7mq1tOpfeNfk761/fy7WbY5Xr+bNzc1j44375GOabYG9589B1a71cJt2VII22p5tk38k0z6
jnHryKv04Xh7c8VFM0etxroyY65o4CTyqo1PUt/n9/Thy/rmCvPP39wT9UwWKcppz7IkbzRJ2xlQ
oT3vNK6PyE/e9eaWT29RyfYw/4ZmO2bPmCl2CELd0axYZpNVW10A8HZlpd5E2UulHEU6fThNINCC
PTMLiPXFNEHxeCpoUGbP5ld0HKfpt/A0J+DBibfaV0oF8Sq6AIP/dTwfnWMJSh8OmTeXXrwHNApG
4iet7Lmz9+1wx8HE76uVJZ5l/1JKgq0mHj7/Pj+cP95ccPFWoGvOxFiZ2XPKG2c33/D2u1Cjj4zL
j7/MN5dZvAoTDUYzBTDGFKJsvlxfg+FeAR06cpkPh/+bqyyGPxaNQLQUcZ5TkzAJtllhuPn8cR0b
Govhr46ahIKex1XAz23WlCyUGVPhDgRrHbNXfTjtvrmbxQsgaTEJSwrXyslJ3egP5gP45PTII1Pe
XYXUaRqUjHOFIFndWHwz5ZT7mjoNyrNqDP01mi+gtR2M+cmIJuIDZ2lt2fgXNMgEiUtZ4rJZjB8j
kgJW7aAhWY/qdHBS29BWVS51roI8DmFoYR35oOo8Eg92JcT7wrqZu+S0bHFTH848Qm0LOa5L7xHB
KJ14zjtD7JrkXAUuldYwXDWlsH6m8znWIW4T8gUWBCJTOlGbN8pgk7Fq6lN2Zo/e9BhjDKDX34u+
cdjvNMUpygOTpBbLpqLbSgH1y7kt7nTqZGEBFhCCPRWX2+fD6eNFaVY7zLCx2aFxeFNmSYc1nZdv
KzqB7q7njrGv7/07+4aS5S7ILwmmObYSvvvGF9s79fCaaZQ2oSLYBaVWxN75YfKuRh5cQe/XPxaZ
dlSYtZhfkKGbY5ayuUv34WV4Gt9YO+Ma6Z7JUf+cDDQfgvZLemTt+HBSe6NFW4xpT+lqHdkC+7zx
62R/LwoX5Nnn39yHE/WbSyxG45jXUUpvk5UWYZ0jKTcS41BqruOqu9eoYWft3g6eXq/5/xMv/40h
+K/zLv8rQeB+u/9jnz3/4eyrx/Z5/zYdnH/7V+qlofw5w2KEoZt073E78aX8Sr2kWvAncpMZl4Kq
iPrbrDz+K/ZSMf/E/E+RmS6/xjwomPPrvG0CgseNP+dkbXa8/C7oWbyei5DLz0IvX9Fxf89gOu1o
bIjYQDCdQQ+zlp7RVi0od0ekFCVdapKz1tanNInHHGTiJD+KAiifo3ext+llpb3IcEmNTtOPqCjj
LjB39DHKG32ovN0IQeK7ZYnadsdmaFCFA1J/jFUv2XoTekTOwpl1+eaZX//6mG9hHa8O5oNPj0Fd
ti3wXhCaULMvdkUSiH55zHVaOq0+7vtBqF9jQx85Sttk9JGWB727C1QnT0CwOSQAEYzc4jfpVay6
0CR21fCrEm5BPeo5aiATlWJx5wfKmuQp89JUrPGa03n/Q6AP0GnkCem6G8KJUAVvWpPcRkmB/Ojs
x+SvMgqqWLxmVak13hhRFJx7ahbv7LGi19insyEYQnK5rUO5U4+sRYfzC18kjwJ5GppXngfCrcWs
rbRal6LRGVZQVZGXNoGJTFmWXAplhvv5Yz+crH9d6lUsiZHHYDe6eOphTv5Dk8YDioyxWifoi09r
6q+uaneWY9aeuSW44OY/bJ7pXipE4C9/XOyL+o8N0/i+CfPs3+cp7QkRANjvoPkvh3/klflrxlvt
m/3BH9a86c14075U45eXmvDnf75t89/83/3hHy+vv+V2LF7+87895W3WzL8NSXT2dtbgbabZw6z+
r+edVR4/53/8pz9u9/FLHSDA+/Df/5p7FKEQq0sv36a/jwffYFb6K3B3/gmvPIJ9dCcHM48w/5x1
h7pNa0QllfXNzDP/iKkCSwb4S3Y78m/NPAtx9pwCjLqQkTpTIBGPLqE3jKspl/Qkv/HTn5F2N8gV
Rc+a2o7pYpRco78gbr1wecMcJLrOnDP65sl9MHssNjrvP8FiHAdeQ/B9xScgFcAh44lmor/KUST1
F+NOxxxnlTdh+5DiDGgMxbGl5/+oMX2bp/x/OGZfx+HfA/oiRPdf5z+b5d86GPf/dwx0dZYd/utB
/nUPmOKPb2H2xGvzusQ2wcsf2+ol2z+H2Uv9dsy//qq/11rsq+BZXxWUs8vmnwN+XmtZRzE82gYJ
kSAx3qy14k880CjAATQjrJu5Pv9catU/deyY2HaEhhwXEfBvLbX8ojeHBV7sGXKC/gbHFWs9uuzD
PS59PFqdCEdXlMuRu/RpZoSOYXfU/Aq7hr8coYa402IhvkXjbE5Q+9q6pqFf38kYWli0Ut/RiD3b
aHpVRlvV06MfEcdKwr2G/LwIxyZwFUn1IdKlBt1H0X4dm5z8lpbNxklUq0eUfe82D9yRmEnuaPpY
hgHMHd5RaCPnJJ6ERMqwplVFW/laK0AnRIT4ufpYI+2oa/OWJF1txTqdXFB51G5aq4i305woUYum
Q1qpXBMk1p8Smaa6baDcxYZPWPFUjydNVtUnb4bSB2/9cvHiM2szMgqfAoKbd5Vdq+JEh1wqXo0i
TTdNPwFH6NNv1MoBRqSzVoOQ4yML5qLU8PrVc46yZqYO5LR3uBC+JFvkloqTrYvUO0Qs34q+SR2l
VW03NzUgzpWxiYg2pediQulrM/vI8UOZ1/+3W6X5vs15kzAPwnmLcPhdmWXRj2bHRygyeLuGCICT
aEr2Y0A16Sb4xC7kmuCIYDCmrSJF0joe1cFF2yOtDWMMzgLOZ44o4qcCLR6xzJjzP/9iXmkDi09I
EQ/uAuxLwdezeD8mk6Z5m5k8JPEt7C7aLncrEkm7RnE6AjXKOYU8ujJqksLl4VRNjfNEPMOpI3kN
Gaynr0Z1K/npdiZwA6deURIB5n4/WpEjad+LwXTKWtqE9teq/b12wev3i58Zozj2fvjcy49On4TG
s2pEmMSRSk54mVZ5ZgauHU8Ev0hTsfv8WS2OsPMF54IDdQcTvToIkfko+KbkaekdsWHQvIgoQmZM
ouOZPBbRNu/I5UrS2COoSzy2TWSS75n3a5DOHG97Em1qBdsCqi1ji1AgOfKx3o8xPpWJBXjmfOF0
XBxAITdVQIb4VEhwibDTAgDfRVOdMMfmq1Fq/zJ4/dbh86p4yb421ctLw35vufYdbPmu/p/dGFKM
eTM+5o3nXxvKy33KhvLrP/5b/gf7g3/899fF8rr6x//InsLi5WCdnH/Fr3XSZClU5wnQ4MRH93fe
v//aFxr8BA0eNlUs3Orsifr7RPonaKh5L4kjn50hpML/tUxK8p84Z7Eu8B8Dkj0su7rfWSkXkFVs
RJD0NQPJPLx1Fs0lYBKt1TACYZxlBq7dN8VOzqZ64IAmTuQkrC5iD8Wl2zfRPKqT1tuZKUYaR+Dy
P+0CCVJxGpvpnTz45bXumb7iNv4IRqLsUE0jhLnVDB9xyJtn/sHC8mrM+Xv+4lMDbQEPD8tsZreg
yzp8J2MtH5PKvO/0IlbRqyrKdRD6Y+Q2cR3dkGGDJNfqshtNeEpAB9nzrxLLKH+CaRAXIhHaqajB
QiN7jq6SwTAb1y8t5WygiUYeKuqg+y4tslvGiqytU3kaac2GxrnCQ+SNDhPpCQVF/0LSRPGlZ0ew
0VvRPaL5Ci8k3zPXXdBhFCCyKDrHr7EBTI2SVJ4qKaNiGdeTY/lTTYKiZ7mE9mCHoLnqtgUz2pGJ
/nAFfoW+C8YdjmQDMzSgncPn1LAJ+5/MndeO5Mp2bX9FP8ADevN4adJWZpbpMt0vRFdXF4M+aILu
6zXySLrQFSABertPG9h7VxomGbFirTnHrLz7dfLGGPrGVSjEwGXf2onpjaj4jf7ff5r/1Trx39bH
/+8a8T+tJv8fVtL3Jfa/L6Qj6uf+d/Uv/+e7z//8bv7l+a9Un1X+5z8vDPdX+Ld1wbwvDPfzPPcv
CwT//I91wbD/Qe+DEpl7iRpGv9vx/6NTZfyDUTh1NWUFlE90QP93XTD/gdkI123ALw0omdid/82i
wHPPEvOfShhqVODCoIpgTJDnQZ3wX85raii8buyrPQ2IOptoQzk4lA6jbAaihgGA273+C9Cy3OvY
T3/Zmz7E3eyON0kD/d3wpuXWk2RYhyVBErssNYI3MB2fFmKjNN7kREbFRGq6Rw0fIysnQRYelPMX
D/d6cmoDreH9FZcuX2JNVZ9raRrxOoyCc6vnt+9ioYd9JAOQ5UrJ5S1z5PjQOVb5bM/g2KCcswL4
ZJLEVFcwejue81Zu7msqxPq2TAWqZTV82QCHqYwdUxwHVB8HiSnsMrvCwsPA3+rrAo4hrZpL1cCk
IcLlRpugvOWO+iqKkY5VVdOYqSzzWEhdP1jV8FUT+PueN/UIaZMY5sLw2neNvKerINlsr1gwj/Wa
e+TGyeE7R2g81STJ3/8SgZR31UvL+YFM4avr0/U8yaB6yHw+8jzz5sui3QWVOTEfeekd/K349DIu
4IYE99b724ap6/41REMQgBRcp39+Sn+dy5tOOsiVBNmvOeevSvR7mbSMGJvdELeL4x4aDh1xpo3O
t00k23ug7J6JuDmPN0We+8EZRHmDSCSOpiGWePR4hcVzvvlVF4LGer4EIAJ4mUNnGPtqtctXS+cy
F7VAhj5O8478Lu+Ksgpds8nnJRQqTVS3MuewXYbxNNS96+aafBN4/oTOS/2s1KCXEZ6RkqA4AuIP
k6iWpIGvQXQqkU+xlQrzq8bVf5hLK7VC19EKNPf3H488Lz3sW6/c3y9uIXz3sCEjt4iOTJ3vwqs+
u6biHa35q+6Lz37QzMjs8ETfL2tjjd4hsPnKzcoFtrr6c8t0Yo413tSTmfvt+2v/jbI5h/jHD1Kt
wjsU1vBlIVy62k65XgnZtH+ZLbkQbEXXcnTmx4ZuaDQNM8dPa3jTU/3RqNIWk0+HocPzcy0L1dxV
L303ekkhZrJV8q48o1vI9940BzholOG/6aWBDyrt9RseIj+Rg+U/1ECIkwxY9BQG0C13mK+1WOOx
vXa1rhJdwrIGd2pdyiaoY89EHY/IbY5cGqVHIhM4QzrWFAtvXAjtJHbqa6t759B4DT4nx2zTg6cY
Q1t6awsaq600w16NbULOOBH3eDUuY8acxW/98W8xO1XkTUFWhBnNYcSQGrJq3x9uYNU+/dbDUhIA
+A3rzXL2HnPOp06frXep/Pm5sL02IUdd4KCwViCsEw/Ctrn92a8c45Dp6/y8Zl5x5a5X773QjKRZ
bFKcS9VNoLQYlA/MTU/eNus7g6x0VIM4p8LMcLukxdd4xZyRPgdItbi1xuCRoIoyxgvhRK7emZdy
DbZrJhf8eikZ33Y5jRHBJXq0smyIqO85KmVjMB2Ers8dor7M3+f3aEFvLtzr6Crrpjfp/IKLTuw6
X+kgKL3shO2t4mzkL+5lVqX1WfO2uxWUxVHV7R/lucOzwVI5E7C+OKeqdpwkaIIrcnMtJg5Xj4xu
+GEQboHmsmz6BHsVSbgQufiETb+zJh4JNngnNnPTPmqmSCPV1PNp0uy3tgta4tQN41q4bf6K4rY/
mY1mfw6DtJmCEkcIREMX4CQIaD/Vg+niDcp868j8+XXQ3fw9qDznXUn3ZN0Dh7ZxFqj9oLcQ4k4g
kKV18YauETPQvKJPb8R4spshfXMQp0Z5Oa6HdGzHR+UKdehr32rDtHY26B9YyuZClrAxCu3i9l76
rJfkXOqpnLqo1zk8Ou5sYD3AwMRRfSMeVVJ/IXNO6Uwz4xUYKSxhePFK5OyLGvLgoDS56pHPs89s
lzjsnb6MQ2iK3n0He4VzaiSia+6X8tDD0UwGpfdXrr8KlT1UAVEuxU2sebPzO797BWq6he5iOCeB
IvoxyxYtoplJojeu4Z+L5eVnsaXEnQ8qSIYy08ld6ZiJlGaVCBOCOrGZZai3Zk8Qr5f93hQGBwd/
aJib3RgTA/FBBBAU7YXpOY/K0panzd/qy+ZUwAh70zyqZiEcNKeHgUn27kQwpiDp6iVIHCUOmS15
vNNx+jPZ6tIXKFLbke+LmPhc4V/FR1lNR91dg4NMqwXDVOu056quraQnh/1Sdi0/B2iShbH5ZBln
sQT9eTVFrbOso6PlTNw9C12KA0XJHNX6skYr4UzHXp/c9x5lIjwAf/6jEZpIDSB/DMjYj8hR69dB
BtsbBxD/vC6Zfn8krKsnMpNFmBziE173zglBJpAN486a8wQNcD04m+YcFyNvHvDebAcOwQQ/M9qK
4RU2sdIor4mDqq5pQ4vOJ5h2X/NBEi3wWVv1lgeCid6xn7zTsHXWyZ3S4EZjbUyWLtNCed+p2O+K
owlz8knLsmcielDJOnNwzset/FKz0cJwcdawIuI2rSvWZwN3iLTM+m9mrM3FrQP616vkLi6wyvdq
ax/ranipszXH2eem3o62wPzX6rM6IOZ6LYaIBX84BGltnv3G1Z702i1S5l/SO7m8IWPwqbsFstS/
CA/2zoPtizfTXX7iYrFpN0xOGaa2anaBk9dPFXnmD2vGooZPA1tWuiGmcfL2+X7QzLB+OSQwyzy9
jW33tBCuuTeluOiuTYvdQ07QpRp3O2bKA925Yedo9aPSlibOp2Z6aeahjstCm/epqG9SOG/l6i2P
mp5OcT+Sx5AStRSJ4G6ms0Ib2syFZxWDNOO6cPDtE0aMIUJNUN+8vnuEerzR6zN/0LbBsLF9UsGu
cbrkYtcGzi8wZtymo28lEig6Dy2RsEa1BhEhtC9W7hm7vg+ypHUW/VSvKFCpb7RID8bhLZ2Fd2al
aRJjJom6VajeG1lOn3hN219gHNp74G/e3zbHWI5andq3AT1m5NlL8JxL8o+GO287CMT23Qdo4DF8
vBjOkN46M9euToMuFI9MtoPWuMbYU5zYvRvQis5vEydHi222Wp9MWmUlYrbWXbG61k7Oyv5j5X6T
VMJbuwRgg0Pa0PDqsrld6mLpZJiuaNZsU62SGEDNnHlqTCfya7eL17XRX/2ldv+sxlLtMG/h2vAG
pMmBS7Jlqoa9Wsdul/vesrPaZdz5k4+UQrV1jEflhCMZZxo8gPYEROIittmKJlW5yQAn81Rg/97j
t79UJN/S5HPHPS3x5qrhdo59otJfrbF+L3pzTrAydMno2drRrUe5d5wFmxNGiMSvXDsqKquP6okI
OVebMZO1dwBfnodsDsRgZF4ZaxjMkKY726HFirXbbNxX04qQ2m96HjQx5eeps0SIrUEdfGP093It
8r1md/oXPhJ3X4APCPXBWhO+UxpnudrOjlltjwtFQVN23Z/MrfHj5v2vIQAtZdtr8bRRr+ytYLEf
2tWmGp78K9rVm7ZRuxmo4Wn7N/rLqhu30RXMueBIR61a/T0bw9gTcGLidwi04U+A0+pnxe72J4VE
R/Q4yL2Q0B7j2DSzb+z0dJWs46VmXcYyxV3JrMSHjjKp+UzToz96dmU98sTKI2FgzsWXvTWHnTHm
H7o3lA+OjrYnJdk6jdaVXJtp1LrfqM21WJqtOCC4bx/VYBiYEafiUlfzdvZ90lPxROduLHO4GaHC
yPrsEM9L4Lam/TQs0euR7rjpHtvy1NLVt7wyss1mfQRqpT2jJ0fQJFor/XTaMj1QEw5vDpnvWOSG
bSWofrBfGaM6tzxwx11aON0eBhkSr5FEDki10vcfZ2bcB08jl5vdaOyeJoERI7Rc8pMY6U3quNWe
/LRwM3yxUWxHJ58mkxjMTDy6aKn2Y8udJwwEsUB6vLd5KebEEYJBhj61xiULqvrYpEHxmFuNrHG9
DuDUc98qLqJ0LgbB9UzCh+0kanzDHHfgH3skL8cLR6VnzRhjg07NzlW2HwpZ/y4LmcX1MExnf2ny
xBNEtUKYIdhkytNwzZyPZcjXaNaM1xq0c9R401fPv0qyWqdmbElPwxk6Pqi0tJNF43RSb+i0Os//
PcpiS7p+UoesF9ODnenVw5SNv2GhG/zSStstE9V4plGsAxkQX9Nol1FWT8/eJvd+2XGGGfW3FVlr
ZM7lKVMkD0+Et0e+IEOOHOs2XCbnshRDfkGiN3+Wbl9eK7Ha30YgjSfy4fOHwCzymE4+RdlKPPxi
6fWB8ufJI+WL7LIepMKUXeDg9fFWqDlZ59Q90TDKTk3HuKG0bDPOVfew1IMT6hxK4z6z273UxIZN
SJUHBhnGG+5+qBHeClpda5rQMTHQlusXaydZa43wD7Vn79pewHEIamyTwVva1z9K5Ff16DD5cYcy
KvIVJ0ET6/3AFG2aX5fa86MhL+yfeC+2c1sX3qO1ps2rtkAtYGD+tqnpZ1pvzaNyaPCvrpGCNpm3
i5QFu7n6Qpjeoh0xPjH3VuGiggmca0O51bsKDUhRMefZ+ldda+uHgu92bKl3d91WvNBiOHpClSFp
2eVHhdt7KpbtRgfBipe8/1xz/bO511JY33/0C7tkkJZxSWV7KuoSvadT/tLKhoaj4byks/a9NNyD
W3tr9eVnO7fT7q6mrJ2WQHZvWB/S1MUjOfrpbnMt3D+GjLdU8PWbdA2Vob0b08wCo20PM/xO9D4l
xi+9K5KAOeXFKuAPdJuNnT+jmhx16Zy00qdhAadr72fFlbKUCGndbpgHLmmiC31NMEDJ44YrKxKj
erCcqf2z4GAqQxyZBDoAhY4DNrl4DJblh5Z5/tnfpuAXned7OLWTJVOVnTrd5LQfWH90dq7TDCCE
mJudX7UXEO7OLehwpUK3sxmrqu919NRxXq0uHO8+0xTH5C5NQfEvqjkXbvCrtaeXrbfxvgfmJc+D
85RP37Oj/liZu2u68kQ41ARbpMZY6wQPbZOe85Z9k07OVRB2VdEG0qziXJAAHtl6XSfLgLcNUclb
U2lnLSheh1zOF1uu2rNMCz8yzPbbLYud6s0vB9IvLWkRlwYnudEpr0rJu55J9tE6CGwghvHe6cF7
Tn0bjWZ3mBoHcyLbnK+wd7f+cKoAUID3oHwnGORlYpMsuSFCSsufJZSCsA9Ke58t88esNzEIJz+c
OBZm7kxYDFSLUFPtPrW9G3IMPP0+NCkcsyquxqqOfXNeos7PR4702zc3+MbfrJI9QN+n9fImM6d+
op2v9lrQnPBrSBoA1SuQjn1daUWCWzhm237TxuABshVzO139pT/XhFyPn1Vjg4ITg/XD1NL32tK2
J1noP9uhZ7mahw9D655ax/hb2/U76ZCf5FyjFfEf0KoBBcLMZQXfWWUcfUndDWEIXFw9VtFii+dN
jb9F283necMoKXAg7/DxHzGX9h9S08aQyUh5A5NmUSvq6YNXt0XiaJYXA0AsKTSHKiYd3Qy1vgsO
7HgyDIZ63duVYECJ1bVTE3NTbT/J+rQM1p4G9qluMk51MES6bPtqtrtTjPF9WHbbuUi7n1zMl7ER
h7Zur40vloQgr52yKrZVdcyznqxVodERIL/5QJhvt6ua1r01imwZzmlhMRsvDAYz+kwTFHzZhNiU
5K7Ngyjz5HNJbZ65cAhmIkdl5T2OVbpvg/rkT+6xz5HxcqoIccWJMHBh5oj8DU10qK1iwLyV/XYL
i00E95Ffz3uaTemrN87V3Z++S9EehNPkyQN1/JNGTiDPw55XeXa34mbmILGw410J8z2OmFGj1a/e
i2x4niQbZdqeHf2uROsUNsjtVW6QO1Fx3wk2dDMGWzzV7Fugitc3sJsnMJM3W4kozSx9j5luYowa
HEVWppGfq4PryuyHBfkz0l31002HM+fhjhEx0EmwfeJA/IaxX8wsDeXgcfcKQUu4lTpwn63yfveY
IkMyvSB+eJo/RFppyudBTq80CY39UGnGSWQV7lJEh/uyQZiRpE0xvG1a04P+FC0NjKDROPz4RBdL
j1VRaON2Yb7vH1Wrj7spVx4Nh86LTbrICwB1j0XTdIyTW47B3wpsxjGFxBzXYlg+x7aBtZHX7ckO
hulCpdp8wUeo3rcg6493YucJy6Ua6BEsoABQLDYvXi/EH9Alxk9abPahapT5iFtqeO2HAj1iv2mh
ORY6x/IxPVVeuZ6y1o5VMPzzI7VvVCYeCk+OPwaZoqeBQjVe2/HvZmjVmcfW2U0eHBN9zdYdbJbl
0Vdec18nhudBE/em0ehylBNGv/P1bUoMr99uzJjTy4oMITGrQDyKjpOyLY3go1TKjXLdBb4wie7N
m0TzY8C3CDwZMeTit+NOVOxKCN/Nk97P2tOUa3x6oal8bxrKyBEeFMPPohdQoMbFL8Pe9FtKabPC
Ds4xTFfjvGf4Nj1wWqfhMAByBCLyswk6ug5yUqRpotCLYX6lL54pA8yhnRF59dIdBqerdmhZnUNX
1PaTv25/1wygDF8pPRbtMO1SOGehq2cceI1Mz49NPo8ndhRgDvCc9q2nzDL0esv4cIt5unDoaBLB
5rtbbVoEs2bSJrGy8lkE6/oi2jY7el5XfSk1es/CGT4sBq4I35R2qTkM4sejjE8pjE+yMZ9cQH8o
t9c2dg0Q/RiL6fPwgX6nub++SGfQd3Ks0ZLU67KnjFE/N/oGZ7f116gx6/5gd1jw1OhTuHrGcIZt
VL123cB52GDFlo0rHkRbIXxn/3sYXM2O7cADdlaux4IourBVznD0Ce45ln3vR0irtJvQi1+z3VOt
uvnLZnFsqWV3Gys9e5C6ZJDhNz9yezSfJ6Ia6TWDFcHjWiPjqzgwQLR1xjg15ywEdNEcsdODDC+3
8oHsbOzR81gdsLYa8T0Hpsb00ExHXrb9s5WTOqdQLDkxKC1R2f2HZaDZn7JeTcxVuA7cmUmWusZl
HuSGO2R+was9JqrQO3bzJQ2LFUpu48Gcy4Oixa+/Yt/KMOuSZgehBAlKDGo3O+VFZfxeDM6I4927
n91XFZM4u8uy8K4cKufIwEmbNFyMXdqocQ9Xpz/5FttNtjjOrVqnH0qu6/No5SJsM305tmszUS23
BbLG9GlcHX/nrH0Z1Wu5nboBa1URtHVSEN4Sdu1KSX5vrhZ02yIp8IlDMMmfuXPHr6YyTKhvcICr
gpkJAxsvzs3e2DEPf0kx576MrVsmG8ObqBJz814GhULJs3gnfChIlNe5jUuvl3HviSqeLLPb02th
bOJqztWAuxf1adE9aRDTLunipDs+z6UdSkAipWuBhLDqB9juv+x+Frtxtaujgn+wB/VAA4UzV+1U
GImZG554fs3HyZjVbSobMAISMZtw5vIwGqLaOZn6qVw5ADxy/Ye0sZtDXqpyn6/L5wRRJ75P1VGT
m1t2p7rp13Eqp6+sGECk1PVmnIhJafbC1vtTq/fdhVFUsaNA3dHjSqapw0FrK4N6u9lik1y42CC/
Dw6F5iTNLNuI1FJ9v9CFONO01BOoUfmucMq/EzzC81iI5Wgtck4yvTA+dSTsSe/AuxTZYEeNA7yj
d+nPSjgMO38jgHSSTRm58+bHI2vDbpH49XutY10Xyr/Qg/FeJ8uuLlkqzXgWw5BIZkFRRq+9xzke
dXU//CjnYkwCYhiixu14Agu/P62rRSR0VavqWDjVb4aN1b6r9Pky8X9Hll5pSaF55mEodedHfvc6
jVWV7lrXeRA1mRLsz2qLsrIrwymzlzB1MaLbnjbwJSfXJvNv0SP2J/fJ9DFxg8UeMirocc1fphJj
d1s7c1h5Qb4Xbm0MYA9l8+SVNpMorESvxsTUzBiC7aBtwfhHH5W8ds42/9UUk0xDmyC2LBVDsZSJ
4QXDOCr4peIYRk/lccsbuhWep9H5zXkG8P8Bq92sD2O7t1eHqn5D8VTTd7WrN5eTT1zp9J/5mMHj
mjPlWqypOiGyY+4YTNPr1E1fgIuyaz1Qy9DXd+c3OWnLVebFBntmAKTwzykuL6LcRotN5el53LqT
/bHxiD/qq5ey3Bn9h13lwSPcwtqMUt0BGpCyylCaAxh67+bMZB7sTj/reZ27SLYzvBllw2KRetGC
GlJ8tkz43wtFEf1WEkVivybEbjDkeJqaZnkr+nGICwrCXws4w3c5jeOh8bPxpPCA/9SXoH6CugDO
LbMx/1vS/54bpwRQxSz+Z+0bw8ULJvvmSUM/gfvLcrrJXEw0Naxv6P3ininkpc/G9n3SuXoM576D
nolvvwJf8AQDTnvhCmQjvEUAeEx1thnn3d1hwGhmAYBIZMRn5wfzU2c185FYT9pfmq3vO3Nlomzp
YBGxsOAymtNjlgNnCCFLqm9U+EMBzAxIT7cElFee2VRh1WhNXG10NGDsx6bP1N3xFNx4aXCw7lf+
RQRzZokXsRaxXg/8ddFkB5hx3aNAF3ebAjs9Gh79VPLTraOl9/ZHZ/ZlwpPHld0ANHD04fsGcArf
N0P1H03KUDRU1f2zgYPT4sVfmBDPNIQvmwnGE97qVlfh1Fd3ImQRMxNKQ5hldSSr6csBbxUHdcXH
L6dWHhmzy1M7o4AsbJUdMq+2biyqwWPj8Fkg9NZTZPZ9+7k60hq/lFt3Unvibcaz6fSs5Vmu+2+G
xd3XMrQGrWRt3ri/X5WG7wq8k7UrJs3cpf1t0dkdq3V7tGefmZz1CfMQgUBLfK3aryAJnWg2cvtA
r88Ka6vDBLrd8VPtfVYOBPrT1BF1bHFnLfNXSmsX7nnVrPRyAqP5yZi9d55znZjxS181nqRct7/X
elJBxLRadA/lOOZznFaCN02Nde6vIAOLvxuAPyRGxSCrW0U8RTz7rWecYW5tdnIX9otns/LMm0x1
a/BJuwMUi1ChnaB6V87AbrJVnJdZF+wNoKZa3lK6KOlLPxeTijU/ey5y1Jbsm52OeBDNKTuSufZf
uGAkE1meoIUjfL31V1WI0gih6vQfkAs5/dL5rt42Tj3spsOmvdfZNnvvjWsX9a5ElzBT604l0ZYm
1cYKOo8bMRgJZJBeEXzMTmn2F8Y0r8rkv2yzlsrfdQZo7GpPhArsl9ZXJz9vR/Y3otSNt3xpNYPw
pEbvjohEszWeqwI4Cj/L69ay7CL03ZzEwwH6oTsDDBxnGq/aPGnWoc4zUzKOLXFUkTNJVB0EMUEf
omue/Aw2P7MmI2UEm7GQHjzuqHOGTCc2OJ9mse8z9ozvPb1dUI2HodPOm+6mgMEQdu0QVnUhI0hQ
PKBy8/1a1T6cD5o6EnE2CA8xj8ybqTN8SNJyqd7nAQPr3p5LqDcBiRVFMjP+gHVJ66NhINqO3YPZ
dT3NysKt7rItaCM9kzvDrmIxFbkV+6gWYK3U0GYpzdR0AaUIHxd4X5M+0Cvxx8gRrvsX9elA+35u
OchV9H6xeBOo9lk5DUin1jS7L0GihnUzyzaDLWoK+e1smXHTOt1OQ483ew5WlzOy5W0bk7Cm6J51
CiX9XAAkLgm5HKRLp0fmN2nbmZ2oWQsmALcd87Ax7cqo0UcK1yJFXmfDc3qyJ9OLhc3tHlqtl/kw
biytSgaThRlSYh/o0YS3F3lPNlfzse6CWmNaUm6K15JaEOyGhVHH99IGRUTSl0w8B243z18UgOuN
tdSojxYZb7tA090bHZFhj3O7eTBaVexGxDgRzYH9JuT4gyrZ4qKNxV+OJw1MqiFVSYAZmNLOFdQW
1Rs12mWjb9BbJW3j3F2PtrH0sUb+CJxKd4paEp6fuJo5k7z1Q2tXP/bS9clrJz3KK1rolCBjpCnr
D/NIyt92fO/YiR9sBuIErNq7wtV+QfhymK0bTyMNjK9esVgA7AnHwK73xjwgXCg4mdC9Pi80QeJp
dtMH6VovIH3rCErU0c5SyJsOJyQHnHIoQUWX3hqJja6HaOOl9eBP61RU3RittNL6kkN2Ngj4gN1u
kwoBt0cYcWXoAYpiTtf8ftaPzWGTxVcNuxKo6dTRUW8zn84oyxjzqcRbJvIqssZ/xwDVAGQ07mj/
RTeiQmV8iNVMhr4EE9XWrIhNTheob7fmmud9/i4ZgdBOkkP1ILum++FMTn0Ra/ZadxSH3irfAjq0
cxoFzqx5kV1yfUNZrE4NydQDQ0Q/0pV0iFJApcyrZVgOAe71snUSuzWWR5oG0wkeUPdI+ZPvx9FJ
RJYuoWNUZ0/NT05dx7JwHu1NHugYHzVdb5POLuxo0LVHmmN9NLfUF3XdP6Uw+GO/9IDxBOPSkiqx
zlHVB88NVFSGn/NuRBcLydd70P0A+K0wbkqnnxs0rtyVNrgxEIq02+zycysGb4d0tHnRpxL8uVzM
aE6R1TPu0yM6wWcsheW+KRDR2ToH/9AdKR27IXMZEGx3aCFmkThbsVyqLCseu4CWp+jHfabL4gl/
4jnrEL9m5kq0epVodAePbV6823Ydz2OXHWgD0tFKZVWBDvTp8BmqfWNWOv82SfM80zDv6VDm75oU
5bmxyl9Ye8TzUpk/l7bpo3FwtCSYW8Zmsz7s3T5LrGDayW4zj6vvwANDZQqR8Lk35iXRu3I+DPa0
7WVhqb+Bl34ZpaAj1dRr3NUMBitLvpUMkI8gCf0rqkSacJuoHqqGvGcGjjK2hgzkmbXsbJ2phekw
YQT7sn2xMuU0glFXuF1rPNROr+8q2i89TZ4w63I3ccXykbJRqUW0D7ZW0enIfnOO+kiHsYiUgQzF
sedXtPYdzfIqY5gyaQAdPf9m5wycR3v97S8cmq3G5QBQ2H8tszYz1q7m5hsbg2tftDt+VjdJB4Ql
00I2y+YTK1WD5mQcy8zLxJdrOevINQ3miKDEF8ZGX5XWU1QsYH31vBhjb90uwmx8aMDeq2Z7Cxs+
MkI0OIwidMv/2Zamt7ctphirc6D7ATx5sX8V0yD2YPs4PnyXjfnQN8EfXyFVcaFFI56pKVeypv9R
KIZKhpEfAkNLjD7bKX2k662d1tp9NAN+9cH0q+PaWuZ1FelTbU6fRfHSusXtDpFLQPXHtNnOul5c
bQxF8Vpoj2YGGxtuBAIaq/70+ipeZXYZhjb9kFP7XkIRXfOeQhHEaNjpXjxAVP8zFWqXT9X6o3dM
5pHrc+/7tLV872T0/VWYW5s0qooAQf3iIBz7UnzrY4Ez0KNtYwdBQhwECP0Sl0k6n9bKcii2rGCP
pJ4K3W1vxeIUO9Qp68mos5Z2ZpYmQ+F/LLb8KHpjjEg5tYF8F3Ydwt16WHqdzzgFO3dGJTN4ZJSG
o+lcHA4ltVpmjEP5zXWqVz/zj6Kw81iT9XGjIcUxBCDdMn1CeqbfSxJz0mrF1akAsJte/9qO4jRi
cUxL+dui+Cs7SODj0PwZHGM/3XmHFSBn5j2NuKWjGVVm8ZZ53Z4wSFSE41Ogt+fBaG5ePh+Ij4/p
lhysfLwWrXTPgz4AeEViQuWDdYcD3T1GIT/ZNUK9tmH8j1g29npaGP/K3pntyI1k2fZf+vkywcmM
5ON1+uwxeEyK4YWICEmcjPNgJL++lyuzulLqupnoCzTQDw1UIauUqfQQ3Whm55y91yaI5ynx+51T
utFdq7CvVLOxXTr32A/5t2y0b/KqOVHikJTrl5AbDQnAv2TVq4T+v2+ii8mmDwuocljRzt5ETiXe
nBzl0JgkaRihaVihQFJhllUe5bVNBJGCYIm1iDTM2NP3RNU4h1FDSw2sHrmj1RSIhkZPlOvGdq/k
0Fs3Hb475Fr2EoWxiAaCWa1eAAxe63bui62HhnRhoNNYVXWyC160ICE+gS5L4G7IIDpYSXTbIrK5
1QqPq0AgEuT8YIqkPgxZzeMyinsl8i/YEYlZQKu796lAjNLlKKecA5l65y7NVdu4UCA5wThVlBFa
SYaosYzooSbDgfnleOu2jhs6lNLnAfS/05WayV6OjXYQzVVZ+P6VypouTHJ9l7rRbmEUTi2Rt2sz
H9wdLRz/OHSwYHUHRN9pb1JLfOFoO5ml8GD5cVdKlQmLsbLkPq96FoF2izsM8s65GWEG8vjHEO70
VRZbm2ZI9xQnjCbpDOVRvUuaVq+m+oPmNLOGrLdCE5CMu/jGOhXtASroldG3dIHia3NxDlWvvnAS
oVcj972onmoFAH4aNF2binv2ao4i/6vrN6IMB9nbwwapjPim4X5fZwE+B6aTwXXMOPSYXCiwq5E7
4ToahftVOtzj0qb4ngcclyhPCoJQcWusvc6/s7gdh3oGHIouN1hz6Pg3RAHIq8KvivD/dDP+RNvJ
zr5bjaBizSzv+cvy+1+6wWj4fz9k+/9rYPi3v/Qv/N/lW/vxnmbvP9nk/8OwIMzfsBWYZDJi6bwY
hTAM/G5kct3fqA2wAgNm/MO5+w/Dgov1HUM8FEUMUJig/H+iNRz/NyegWUUYnEfTCl/8f8Ww8LPd
1yOx1iSOkuAg8lxx2v8wz/7JordcAlTnITE33gJZ1EDg9gqxs/gbBIb1s5vmx8e4Hj8rGA8GTJBG
fnbTlAFGI6Du8Cqi0jvMnltvLsTwlbRn/Tw77ldt63o/tnbBBBfZjcziej/lVv4uJ9Vfy2WMM7i5
qdwj6PNWi+pHKG1R8zchWzzVP3s3Lk9DWCY/h0MfwrbFL+bO1KXwtbkGbHA1dpTQCUVNwYTrNPTT
tzhRYKv9kbk/vo+/8WX9avP//aNJ7gw4Zl3xn3zXZWbpdPYpCpYkV/dAKvvnvtDmBgpzu10GrwmX
qo/eiwhtuErM/rnKku7ZHbLuupDtBrT0/Dc+yX+xNISNdxrEUsBy+zWCN0NrZFGrWpu5tQexmgwz
3yoP/vKfzD7/ypH2L545CdCY9lh/lzX/89JoOigdbtdP5FkW7SHraVEKQeTk/8en8L54dJzAj/wa
1VlJzi/24GmTKlTSKqkNZoLRx19/yL9Y5VJg1jYlS4h83V+sP5Tr2g/ydN6oNHLIszCZV45ldW93
Ml4TWE0PIXDV5q8/9PJ8/mzog80DnQLPkeRmz2v8i2XadrqIMJTI3lDuv9U5sToL1caKoyXGRFHS
hZhB43aFA8J5rMSXv/70/7RILp/ODhLA27Avfsifv71lMZKpawJ7I0d1FngDzpK5yv1ff4hz4Xn8
/Id03Yt7y71Y8jwZmL/sH3FNJVQlXbZpiDZYa5Ho60zG2TFfHLXQdoqz1ygg5gvNXnvdalD1dEwJ
bi4XtVZD9y2wp/6tNnHUh/gcmHa7o6Pf4sESe4Uf8cRNQx0HH2YbScQjxkj+RMQW0EPIfdSRkMWZ
YUXLIF+j5qI3Mmhp7nyUX/0qzYgqH4UEhZDb7igZXJjD09DO6abtHQIvW6HuJqfRYZa08pUkpGWX
wfDn0qey717jGo8Zt/gtAkiqAr7mOSTnMttktOyPLnEm16rNZOgwWtmKGoi90yhmv139bRAZlswp
Ylbmo/bUJEZtmN8TgDYxAoN6m3knU6vg6DTykrdATsnXxVXDkT5hfUwijeaH979BaUfPP8ScQxOG
J1UwjK4t5l0oDMu+fB49tH9V2jABqifXu8qKlOuf7ClbvHjcGtHMFbqOQT7E+CLWPl1XGn3z+Mz9
ZebOXQRrskjcGzP2uxac97i8owY3VmR7ATEYC9dRYe2my6bVQ3UP/2h86Rzlb2iCQWbOPCHWqZz2
4P1hy1UM7NRc08PsMmfv9WV2QGubI2wRRnN0+ApDmU4vSdWO8ANadyfqKd7XbOIrTmnrAKFdHjIS
Uy+hGOOBSIUaM53j3aP9e0v4cs6+RwbO4gRMWsCSZdkQrGLNvLY3q3Ffkc2BYIJxzRg9zINxHw/9
fGhMc5u3MK6bodouKbThQVjv7sX2EpnYAWRUu3vmGYxn4ny46icQ9Yloxk2uxB7Y0oTA2Ig2RlN1
b97Q71GFWmE9sIJgvhTlcJU4XJgHnT4rNJEMz05Dan8glwRi7Ypzmnf3GdTBzRKn9SGo4uAsW784
VIZrH8pKnYhEu7HKjO4uxOq9a9ow/vdVVn32jrrqjOEL+aPtKp77Y2SWL8wDxoMf88QUtrCNVYhx
bcd0U3VCnpeQtk1ij4WgPW7FsEnbedmMUzdtUFBBwCZUoUfSWrn2Q0XA5N5oM3MPBiBe08ZB3pQY
yLh7FAyIw1yUVWuaGbe0em6wwDAIMl0myx4pE3WO3YbLfNah2KEG66zg0Pn0bofSXhB4TPYhacbo
HLX5x0QyD7NY+riE04ybMgcSvbgwBAaDonosvU1aFPP1WM8YyGI6i6Luxn1XOae50Xug0q8dzas9
NdBLORJ8wcDhNlvQEBFU+hRU1Xi2lRm8juQiHDJT3TYl9ifg43OY6gZ5itEuG7tlBtMYq9nx+LFF
fZbxtCMy5Gs0oD7ujBZsRYRKdDQELaAlfqoo25Dnq1OEJoWq7m1M63Hl2fO7yksasaX/sfhomTqL
6ofbSoCCMLX7h37SJoSVpd2MPvmcBm2pz1jMO+V4NK4gzudB9WKRefBspNNXw/dxASATBRBt7F3t
LTfdZHwaiROFqgwSyq/MmW9nLn2rGgViyKpixGaytPo+QooLZh7ZPW+eTHYY6d4MJyF5rn32yVC+
Bi3Wby8pEqm8bIKzONgizpFCTdluTgWxbl6wy61IrmppbNxpvrMWdbCaRWwZ8iiE7T9eJ3WeLiWW
ndGLwD9Omy5gA++8Xdf2R91ktFLm4+ANzpFB/ELi8Pw+NoRyIRBnofAVV/XF0Ra39DDn1yHAJToU
5abRSDbMVkQbl8r9QxYm+U0ysA6pmTyVXfYyM7D5m4ucsLjp/3JWQRiwue463ABo+P5yVqlOmQyI
PYxghrHMW9JP6nJLytXlpRARLdbImcgwNBL4ODfxkEdyT30uh0Mgxzbd1AQkEQNQ2Q0Jb32f3DMj
Zl1Ek2NBvy+q6kPjmHqPiNcQW6szAYszDXyk3uy+02auXOg6pGPtO9XgBmm6ATlzGiQfRrqYhDbk
mCBCgTGu2MaDqK+DrC/e4Vcbw2YqpfgsZ67faa2QKmpUmBMeWb/47ikjfx+Io6LBh1GRD4Zq0Kzp
ZhEjhqkQZAmpXMUHy8++7aEDnE0Rw8W0xyQW25mElnNV0aVnWtFQ4UbmQM+5sLvimHbEfocz8wQ0
UP6EhcZAMn7D8N+/N+t+yXZ+Z4/1YdLx9J5g9V053iCXd41ME9MniQTLXWI6DB7Mpq3NdeVTa61R
1DQergTdXgAFuQYyW5SeB4MkItAREn+9DUbDZiBIw09jyOmLW58YvywkCkQ8ia4A6IUkKqd8jhxO
FzGCDGxwITIHUHZwZeRJB5/eZma+YnJjkXjE5B1DSq99GriBOd47svKKdUoUMENc26vzFTVYQUFh
JhFGobxFq2tnJPEYssXPgbd36o+O6elgg+VBosqksZlt67p0gP6WWf48edgTEZ2PATaRHu0UdlQ6
vciwCjvb+tgW51PgMY3ftuSg7j06AFZom7TdSYNyJxnmWRPMewSWNGqJ1/LEGjxKPYeSIImvwivH
ZK3QdNFXHecqWAtDpN+w9rHVF6Mq1+ReqHrlK0WzJ0av4e1sPLLTpjV1zRDaHd0Zx0NcyD3/Hd8G
ZhzylCJfazZMKW37Ri7wp6880frMEQq37Kyj8lEYpIy5LnhGlkWVr8dumtFJEQJ5oLU2Ll8CfzT0
moQZUmW7KnXIJsSwuUmJTThmsnFbElwYVIdDBo8yhIDrOhsGv8NTy7CzXFdeND3okbiYdcLJgOhO
aNSVTMC9u8ZOTNp+OfIrJENJ34e1yFEjLXNn4axa7JgHyOQntNFxsLk38UzyVOHHNasrbx+whfYv
iWUZd9JaaJUXXjyEeZLlnwOF23szq+ndnhtxZsm3zIAMLPD72UYYsDbjbLxFoIeFe1gKXYSIAALm
GRLNRNzY4iKADlqEMNob8ZpaUcoovyfVkS9D9qd00BNfV97pTzLW2OiMaAAX0jkJeQwFoh+L9UrD
Lo29Vq6UUXGZSkemK1u2c0+uRR1nz4bho2oQKCHgFVXLeEXkRfZudGMXrScCtbikWRM2jxgo0Rcr
8nkQc21N40ZZDRhFBqhwj4y4so+uJfr81rNo6k6xcUm74pp9VRKZ4XC2EZWI4hf1xqrwA7zuBpHM
18wqZ4Hvq3fpMcad/6adEm8H7wqptj3Tp9sqzpF/e2mQi13XFwHS9WhIkZeCxHtZTBw2J0su9nDM
ksG9JGpcvEm4iDLGdwNKNi4p/rtw2+lpbitbbi1LmR1nNi51RiG++FLMmTluR+If891sZAsbGApA
ZKmSWJaym72vakagNhnt3JxwKRiQAMwI0auyJeEedpxuLL4wzYFvJuoI1jlYICvFA4VDOrER0Xed
9L60WgzGYmmJk68Zdt5OGiVAmNC9u2u8PlJkuIxuxk2FdwaLh7eQ5dAqpjEo25hDlHx5X9lfXZtx
FyXkurca0191Qeo+YE8gG3b2nO68aHS4t9DnLBqZ2JluRjG5Ptl6+SVEz85Mk6Y0d9EVw9gSKQpd
jkd8ke6jIjYmDccKCf068aecvDev0beymduPQMfkLc6xhP1mzv1yR8WRvURkHxMvOArn1nUju11b
ixV/4DPxD8WSUUg0PnY/uDiaFgrTpLa8DAbQT8+Rz6jIQnnyxas89OINIsUyJLA2b0+Y2Zn6mEgB
P5KqNvBctYYr4AagPA1kGZcraeBBLFFdOWEt8RiulkDaV1rVzZ0fGMln7Rr1wzhTxISRX3bvkWuY
hyL3MRAVZtn54VQiawhb/mSvxpQsduj1WdOsrU7VT2Qh9slmJB8FQ6TmxzjMNblT3JAGIXZW10ef
djO530xbVozfHWM8935lfAsEqA2qPxHggclivfOrmJOzrB3xhtij6jeNM8TPBTs/4yyzwWKGSNWY
V6UfLdVVYbXybRni+n7QPSmSCA1wQ8vZR20h3bgEL+0FILq82eJo8kqcnnzT3CLVHLGP4Vlbxh3B
KPkT8aQdtox0qlHv0ii7xd+R3bXEdXEOiEq2IdNtHEV1PljJarSGkoQ7rjLEnrmjYsTSTdtYmylv
QOxzMMEC1avCS5OnXvQx1yyZKybWkEoU74iDUiDpDBQs+VD7dcgMClvDQmBeAKgywONFmtkjllCS
XCp8d/eafYyFdalrUIc82pHW9xff/7TO/KI46z7Q3Dc4WLHIegZWbC0poWDRK/VBKB4W9oqp4LBu
u7Zj4in9WyfLcCu2XoUC1y/xRjLb1QlTbHgXd8itLoFa09QjHBQomtllIiS0Oaqtj3q0CSYogAo9
9yMhkuHk9ZzohjFi7DfGUTW7Et5h8igL5XLzz5JXA+/TRPiVMZ4K1GDipE2/uWGsGNy3ZPtmF7M1
6bgV+1kSqsFF2FgwoKnDflJVExLk5T9wXLjg+308yEzoaIhtU6mxCBpwx1ZwayLyi+w6e58m3akV
c7zOf6ZISrt1xBh1eeoixy7xBnbx0dNW9DraxC+FDgcSFgIOyHlD57J/YC4/kVA8ZL0Ed4ynT/Pt
lAuMtYyIgm4xNe2ICb/xtrfs6EX0gHNOhaP0Hem3ub/xuECQg1H0iH1x8Y0saS5xO2cMGmOTVnPz
6nhjGmznbJ6D61ojYMI3b5lkwxpAeyh4Pfu6G8Qi1vGSQBQu/M5UW4df2C0FfZ5taU/NQ5vFETUC
QuJvXmpzEGr0XhjBSRjF3s59jrgyox1izFwusbF5wwZi501MnKetMhwQOGxvXdBVwyovUwA5f913
+iXKmrY141DHcyXqF6CEwY+29p+647YMJqaZcb/pXFE+YhEPsC8JLCArj+TAbdW41mMtCusqcy9u
o7pvN0NRD01ol0wn1yro/EMTjNOhrY3aWAk4yxqunWk5yGDRL6Iem37/mf93CPNvgt7jX1Ckqg7g
3D0EqZ+4Ufye37lRhg8nVbq2Rci4QwtRwEn9Yw5j+N5vJpYk2v60uf0LkPWf3Ch+g+eg+/Og0P0A
j/+BXRW/uWBY/eDyjvKPwIr9B3L5j573XwHOfyDA/9nEZQTEmXxhRrHybRve8aWm/NNCW2JSIIi8
8jYzqsjHpIMg0souWCfICM/o09LdKFNsfTZ8mOZyAyltz7xjyS+Pf3pof/xkf4aV/wI8FkJ69qWj
7AA79hiG/DoCMYplMMEI5FtNEplNzwyJkq5UezS4yZDEXODxaBJl3wDY8C9EK+6gFXcvp8iqj7zt
6te//oHkjwb2n58NUzBEL/xAvkePAxTLz88GUoPq0F2RTBuIAW1IwYuEmBCNb2ydbCv4mrRqCqe2
nUiXlDOuKtqfJz8hpXGg0rxaRGkB2GtKqkzHebEjQ+waDEo06rjKD6XaDtz71ZoWUXDdezFhmBI4
e7uY943Axm53NFAA0V25eeZfY89NbqpuNo+BgH7XOey9q6pN23OHbOSenN/yxi48cQqGukeLijl/
pbijfHcmV+6KfIhOjNDLa7hzHg56dap03+20uSCKgiy60477WVxuhGOFfkPOzh6V6owFmuzyqQN0
UneceBjt7l2lTlMQu19UL+EaOMX0nltuQuzpjVIIGBvT+fSM/FVm5o1O6ifaBB5cHTKAbdIy8ypR
LyS5couoreQujvoE+D0POOgscdWaMboAq6GrzFl7vSCSXzs6mrZ5IjriWLEP+EHZHTrUYrg6LQd8
PGjqdHJnBzgAta6VO7donNxPv6c/ThOWcNY5+yyai9dz9g3zNhogIBDGaPD8wFGxs5vzt3KJL40H
LtNcLkE49KnohtBLZOu+K92k6si7dGVYSRrt28AK4Q5eEb+670aEzsb4pRbmC3ZrJHxxg/QsIfnZ
kMWHMbdHp0u+S1u+VQ35M7mi5Kb3Ye5jDEGrsa7aU2YS0zfjg6b0UZ+BH4EIBeGC5lCjKprmlT+K
/rpEvrMbBNXUSIT5ilnVycyC5MlO/TzM3d5YZ4wn1+NiEU/ufGRBhOLSMg+JLegGQCvgwmarRzwK
cpUjXU4YRu0B73zNilhuaj26q0kb7c42tIlvI/lmZfUeS84L9EMExFnU7+uaY6TLs35P1tNDPFXD
ylXNBS7AzZB2TagAYDlLZSu4SX5zMHsQV/lU30eYefXKdBDsVq15rtU8T9vBj4Jt7Ej3HEfxvJ+X
IXiC5spXSr/jaqnNHxHYUXqkALVuuQJOIAYuJCB/9uqT1XbyjFZ7vCp73V5WcqvdDdrBi8nArg1s
S4ZcaAl2OjlVbG8YgHy9Lolf4w45zO8QovI7o5E7MjxZg0vuGt51RzaptdFeLoFvBWNNy3GUOEjS
QhoUFx2eMxJqNTCs1eSi7loldTNZdyb91GXfVu1cbT1uQB0q4Roj4OADS6OdRm/ypVyqA1m5j1hT
xbof4zTsiQoEaKWiFSBcQrTFYvKPJvXRcbW4nzMiNuOloofX2JQkBtcS4p7td2wm1js7cH5uBc5A
bkueeRhNz0U6mM/irXAj45uZeMNdAMzq0Rjj8trhSsW9KvKarwbRDEiI0Y8aTL1Wqp3HVQss6Lq3
qHkbUrb3HkrnTYZ66BBFabKm17rsHI27JhT4Yvc+ucXP6M+GlZ7M7mlOZYAVa9zbVqf3mDq978ji
4eyZSGBfq3JsHphn94TjjoU8aXgY2WphsHYTZGOyG0krxtXm1iMil5LSxCRtbWqcEUQ2C621obys
MFnm9yUrjD2N5XomcLH/kuQdXVRu3JCfBjByB1N4Uf5lCTTKV2xfBWJ0y2972J20POtvC2PYaFXO
GZOq1HWzLbZ5qt6sz+QG6Kqp2J9qcV3D1QuLouwlhaJpPUZeeWXPsGgQEpdnnxExSMM48wERuNbL
bC8b0shdHbZlO3xqZQ2ha3nOIcMOstY07elk9CMO26DGnzhneo3M7eJa6ywCalP34NReipN2QDXa
dBOaxCCajkPkYI3S1WA9wpsrImRu3dzha6HhDixhms6xiN9A1wVliC1kYZ9AQN7kHmI3f4xSQmEH
4p/KKss+Z088pC1Iaao3f7rYMKYzS2Y6e30SXJVVndCZKhPIOEzRrEcottajgfzvDIlUHHTUtWEz
smHQN+pXLnOkh8Rv9V4AjniI50I92NI4876TfsTzv2ayNdMhj8z2Ooajtkk7gG8xey7cMKX2WAgL
vsQyfhcVBtapHVng41LcS4nCwWmcCxFBef5VkDmHWjsm9tZ8rB9bPAevSKDhcQPSsvqH1EDu1Vtz
vI3xnyODanqZs/X5rbli/lZfewSCPkNAwSMmhyq7ppYqQiNWCBlKT3SPDZbLcU1VGN3zv5qdhvFF
0m0eXOmqzu+csjdWXmnaA92EVt5hBUUEp3oD9/3UYHVj5rHcYkHD4Ty6zg5roKM2MnegmhCXbcNx
fxI0deO9mCu2gXFCuI7OeGIETP3Czjyn1Lr5MhabQJGwvDZHjTzM0MPwOLdZfo6xKt+VY0Uja8Hs
XUi1ULPXBtmeZMwaBBobEWQGBdn2aGmKrNjNm1e1NLR/osp5JSVbAxrKMOhHBnVgnuAsbrOGLp8p
r8GF1Wes6ONNZrRoKGMoBWzLGL8t3ruY9J3tzLGBW4rZnR26/Oyr2SLlJsocdq00e2llkN8PCTex
ytTtJl7a6LTkfv9g2rliHDqYZoLV3nCIxRoYFA8ZoelBcumyWb5bvwbdhKdRN49mmdXvKRNRth/a
HrwM/juAdY46AzfmeaSnptaR2+EYNFO1n6m0n6RVkoGLZkbeOW0zaLQ5MySkZUJBLaHxHUViGOsx
Yty0YHXi7AfmQQJ5t/A2+WPSHkWH6xmJMgzIfooZEzJrbbyWbG8QdOd2cf2trkUXQncuUXSq+tq0
PftrkmNQYLrDO2gvxCfrpJT56lKorbAELfuM4wqewZCt/Xg29zaRuqHT0JaZE2x4UxrUrz82iDhN
h6ssCKLXRWkfnkQQ3dRWg68yIDmXKxyV5WG2DOJyWVnAgczJlKtsdM34uGhncK/NStmPbY8esxtT
+xG9gQvRiSc74eBmNN8/RI3qvyJiZCuQUrPN+P10XqahS5+SeiZmIcgSz92PhuRdc+IiWRc+optw
Indz1wHgSraQPqfzj2O5sbEarkZUF9/LJA6uAugaX8vODFAoY2CxHvPM5NlaujJBWratVQGZt0aS
hJs+KsOlU9m0LeJ4PrcdOL4aQ/ELvn8/NMc4OicFkDbCgKk2hNPXrz8IlVFg0TRzGZSef/wiNw0W
ZCboGl5m2zTjDK3r1yQQLSTJQfgo+DPBH6AiN/jswTohn3qq5Wciivy7dHL3QHoKv83F33nwi3iK
N/j5prNpyPrVz+f6pdMG6zPwsgUzbI+535Rj/Tovo3keufnv8Hfw4YTpNQBpm8BCq8059FCMhT61
1bh0G9dkY4rngV/1UaOegwy82o/HHwdjcOuK5vfa6b+h9AaDzn9+5cBfPujzH9k//zMyUCyHTOH/
d9F9mluQ5BTeP0kff/ym36tu3wSvTCF0GYQSl/AjPewPinvwmy3dgJqXKtr/XV72R9XtOvwtiVCL
3/OPv/VH1e0Ev1keGx1hupjYbPO/Fnbi8C/8aVgrA99zfM+8aNw4Tm3/15zh2SjzmgZ+su9aPI+M
GhbuEZEydtFg23un7thOpHKNm6lfhn3utBosQio2WdUYez2XNRepUX1VtW3cMsNIz1aUP3BCLS3z
MCgpNJetQ69s7aDrHfrrLMvb780EhnGFcxdAbKncb3QbMbrhHTa2zK3dR8b/eBwnwDrYh6am3RWT
86Xx59pcVXWUngkpw+XZiZTtKcCM/hK7QfRp4WM5ZqPfMufpOIH4FxrRbVlYvBtSMCYczRb9TLw3
rc7fDkrdeFUy44Lrhf3MZdD9ZqVpvOOeXm5Nu6gO9hRMB06CVoUSfMBm6Tx5VyQe5yBGd8KGve45
SceOdqTpv/hSfx+Duh2YMql6bwrb7de5A/x3PQxm8kjjWh1NnLiEl+jmsytIf2kBDKBTSm7nZPHA
IHDW0C8s927ff6Qt8Wexqpc1CzBZt4S7bz3OYLeTaNi97MpEEsUwctzg2ITKFMvn3vjsGga5/mQw
VlDDm6ECyrGBfqFfFz0CmvitM3KB1OTacqGPyW+6782wyaz7OarfcFa+YJb0ONPBz0hmtRIx/Soe
aBTYZH6Eky83S4kUrBTTRKnVfkB1C5NBrprAY3SXVeoVFCc3PNr7Oz9Jr9HStBtBcZ+XxQlwRP/g
5c38xe0BVTDCLG1gT/Gyl4XDU9TsWYxnZY7i3E+PCXeBY1nGX7WmnsywRdE9EGHRvFl4HhkewYHx
jSsU6nFozLqGN0GTQPnfqpk2pdPeDbS4970v3oc6AIML2Y2eErCyAgiN40Rs85Bnc528BJ75JRGS
yVpjsAxXSeHvscTi/kGHhI9KH1xAZLjfLXvYm/T8N1pyDSFQfkGttmT2Z+2bfrIyEOGtCsA+6XgH
4sKgPAf7aOP/Cy5KDNdmFjRAOKGfNGC6ttpNhrCmWnGpSXaRKPxHusTpZsHjyOQjv1+AqaJxGHlg
jc4+0b3KldA1zJcmM04BR+SWqpEhUtSmzgkc1n0qnZgxleNv6N2N28zo4S3nxUUU5Ihr3boPUtvz
BWYy7SY9HVIYT9wLu20kZHMQEeYQ3+YVWzh1v2C5KJ57cU8DJtp5bZ/tYiWDh1Hhhpa+QNxWgMk8
1/wdZBu6OTjkIrkro/Axihpj+7QwL8ApXKxdE3sflA61xbg/HNvMsr570RijJgI3bHrDnkM8voU+
NuG2JlAM3iHBRH2e3dUm+DAbvU+I2sd5Nzx4OEY9nSbbukKXW+7zrrjXGNVCtDbzIeoaeR2YUbwV
UQ1zhy3Em9prUSn0XPQ7niiPSMYpmu4dyzxXfBGqHNaFFUDd4VJP9X/TMufbi9HbG1G0boL4Jp9J
kcbhXpHRUl8QCbeqLL4D2bncOMD8NqwqMfqo0Uz9lM0wGhCHsOWARqyn6VpDtk/psE2pT2rE5eLL
rSIs2vHY6fTBGniQMRAAWG1IkkBxzv6hHOCAqqvFi+4mnd2oeTp2g7dx4uTLrOg5NYWObiB9hmmW
vKVTHIQabPuqUPUXBJlAF9Sxl+U3I2lQCCWpzK8BUy7QxgGIKDbnAMNGE5ivFzjJKRvS7N5JQ3dk
gMqwrce00qI3N43rqMisK0hK9sloq27du8gSc0Bky+Csibcgg5VLJ1cmgINxcd1j7amMdD3bBmYW
mRQ7A36AxvgIrxjwI/nU+wLzMONenJfLlOxNGgN9l+6twVzYDdKj0y4vtFyaddnnww7QRrnqZvFi
psOzxPEye6pek34HSidQ7H5mggAsT09GKZmtD91r3nSvWJ+asGNvWSsR32Q+PR8HOnbopG631zq+
d4p53g9u29wuXnyq8nyDcb5kQuX7jyAyn4ssry8yjbvJxJJ72RCjgQE8MiTTn4+T6e0iPPKW71/D
mQid1uCYCeRtNtYizHMbbBrcqJkP2dZywPA2Dv2xaHiFgvzNVvjgVoKw+nqcgbHX/dtsgzVwfeu7
o2bnbTIsuaKTc5CNIKy8G18Ci3srnPE3v0g2PubLVT+U5gserhYy2+0ki5kFnNT3uMI0uCDZf++C
qfvC28FGiOn4hjFOtW4zGCx51h28TsQ70WkMn+DqMEFiyXPPCyiHsqijpypwnmiGZIeuFhNuSbxQ
2eh4z5GpTySjzRfm83OijZMk5SByHcKTCG1ZR80wHpmE6m1XN3aIUEU8Fe3knp3eLc5La+1QGAnQ
HBF30548pNnOwzbvXxozIouFM8/dJZF3GKXcJC4tRL48CCyQSKsAK5eNPpL77NJCO8y7fdp4Fgya
BCIDU23m+QwL0gj/MgPS0Ioh63WVt0PI+6wCW1+Vmbp3SDBYtbNzknbX77qZfn3dvA0BqqVxjnGi
0badknzZIqS7KT2UgbZzO0MNRB+j5m0fJbvM6zB7Cet7n/87SWe22ziyLdEfOgSYnJJ8lahZsmx5
LL8QZbucnOfk9PV3qW8D3UAXUFW2LDFz74hY4cPvn2MWb3O8kTBJ+Lv8MPUQwvuoEET2xFPTkEQq
hTGsmrR5rUW6F4r1F7QyCZhQWs8eIsK2mtjBscOHuwYT+yx42q69VKwBK1s3hYGH2RQFUfU9zVWR
V9JGYNZvjd0sO1L7G6/GdKTwhUWx3FswsGAngnAcYEPUHXRdtpGq8pONp4H81d4SXGluC6ti3JY1
UXsPv2lgIgUHRgZyVxQsXg1vk4/udolZHrdMVfmIrcRrAC9lWJx2nSLL1pbbTOECmDL6HJzefK9d
Rk0ssDur8lfZDFh58jiZ2D88OE7yggvUWXGFu5Dv5yXEIbImCXIfugwVmlVfbwYPhxnP6nVHUmBf
ko3t6aWBrd8/JfHdv12XFad4Dre+9VG7820MuWtTiWvkq4ypnvuDDKIDbo9oDc6CjQQrcDq7cc10
5jNRwrN3D88Y4OwthRoORBzcoYq4ZsGJIfKN4DzJadUKM9+P9lyyyDDni/K4NWlJ6pwWBSjxeLdw
F4xcFkYAwOAohpeo5MjCwvQ5cNs/YAlABx7iWx7jol+0c1IuZlG2ZndrTazMQx1HLRRKEpll3ol3
pRrgslX7xmdmz5gfUhJrhaId038pEK4tuBa5B8IFV42sEo9zvM+yqm7AB586wcvmZCM4em5Y5BTA
vuEglXgIfFK9Qc1GEPjzarmTjqEjlyr+rQwtnozC4iQbykufN4cFNuvoRHCv6+6/a0++NnvoyyY+
wK2Y/GE7lqCw4+Kft2g4XXGwtxZKN3vLP0Vu1G4m5gVIzlP8d6R7aqsHT2zLnM4WEvresPcsGPir
2lw+OysBfxxP0S5RNi6u3pzP2ERJzI68rRa/FK9B433byE475CdztYhEcoPEI5eSs72bEBWbnTZC
v7CDcr42Q/vHBWo/AifLxafjVnLlJqAB8LzUj4nwp31KWx4XsAOuoWcp53OSzJhxh7R5Jto+bNBE
3R8MDjTZVW6JtRHw+KAoSMsmVW06lJQVEtzC/kywDO0b61+fFriI5qDtjq5XHedB/CJZfoul0iGU
gxOcz5B+9k83qaJHlPKafnbcvEVgV/vc/bVHTo3YsR/pAnnvFeiJpSmAw1TVG9Amn12HR5iiK/sV
L/awpWnrK+6KfaCm5cIlcSe5U8s000z3Cdv0zDuVoFs2VJcXmybHYIo4Cns+efBGKvnKwv5H8oJL
e9/tcd63B9M3nEeDTFOcPw6BHV/II9ebXubpE/FIh2p33v/ufMNt/qJ5uS9uYPJv/embf4OE5avU
PyKqxSNmiWrVQISESfDV+umtUzZYMnxKhmSbwZq/hGJpcXjVbRJ6EsJu44zlOppVicyVWdMJT894
tLnFENvRy1WxTduIXsUnVwX2PpXc7WsJmx8/v/kA8H7bjM3v3UWci/JSLOzm/LjeqAzzQ8N5jj16
DJ02xjgxKxseXFxRmxGNH3bkA+ikReeFuZHw9p3HySCrfxOpo5cIw9LNHcrxx8b7u0aRHR8svLyk
koWXf6k2ss5xZOt6U3o62sxNorl5DfVHPOtml9L38Z24A4wVmwJDSCRNOAATqvPeOixJBuA4R2LC
86vt+tfDCQHLEWeOy4+Auoe3mG3SLsPgw1PjvpVb1pQVLKEbwVSssNasirSOwiFAXWBlvRxs5e/m
2Ca3zWgSFvWMf7QGTjJnOYlkazgDrz7oIU3XfOr0A47+euuMYOBVM4VRytOzjLTYy6T77h38lKXQ
oRXw52m0FKNJX1GGx3Vv23Wz0t1oXpZBPOQVa0CcxBCeCw8fOg5QUDhrKwCZlQXDRklaKein6C4A
fS/w1rf+CMbIHucNnNU/dMN1qIWGR1tBlAVHB2Y1a3Xn3R/TZ3woxcGh3YS5bxSHsZi/ipjPIUyU
8oe+mme3mbaysTmsKUtU/NYAdyymocx5SNInBoNDqveGRbo8O3hGfknAp88kNf6ObPbAhIv3uPWp
+2DJTP58veTtv7YItlPHk7K37oMli4ASfXGaJOVzAt1XSHXOZOSdME4BgQN8QfKiRcvIug175Hgd
4+I/OUU8AVkoJwL7JpxAjfg411Q4lRjfPf1ceyxQiLPvte+UxMRhlHvFyXS5xYyLOx2jmP62lo6E
d7KZBl5XtPu1bArQUDYky6Hv7cdp9u21GJR/tHsgXlycg0uqmTSzym5oiJyfOkkZUVemYLikC66l
DmDQlh4Xg/E+I3hKz8l2tCqW47WYWI0W0XMQoDCto1wiFggxnKfGql9Q5/qzObdxu7bVmGyzQsY3
K2q8TbbE45ZpstqNQVYefLpgiZYvUagH4bPJTkf93cULnmHH2pl19jc3Guj74On47Ao54uDvh2cc
xf5JCa89uPAjaA3JtyRW4DtqNz/Nc/Zuu8NjX9MKketZXAoxtM+NrM+DHXPp5TPMQlcwcAA4wXwh
ad5wh+Y4aAVbyHSx8U1VvTMAR2Et6FP6W3zSXYTb36KZiduqKmOnPXP4cVLuNJsaKLWc7E9lc6o2
2BJWXAKYXEVsvXt5znWz8bI6rPOAXpak/JwitQsiB9siWKsq00cJu4SBPBGM7PT1eNTwbbVATSXV
po7FxAJcOTmFp0vhv83NTP0YF7WcBvj9yE0sdG0+3IE2PjEs0ohUWy/V3J96Irg73bKYmVsckGgo
F2vhk0mS+WhKNjolJERGfopCGVKN7Vx7yWvHQ81vG4tjtcwvWv0Mns1hpAZKupH0D2baqLCWbEkE
/cWmrh1YPAjkynenFSvM+WCKABwnB0FsQ5Qxaguvu/CY5/s02ImIRJ1Pb9q5EtVHF5N7m+OUopdY
Y64Xjb1b5vpscdxYaTCsSlB8PE2Ch8oDUtUlxdeUm8UWPx/2SfBzq1RmR4P6hVWioZssboKJzvhW
UflExcg/nWdb2gVeZJ3Gb1iHaWNugHe53p0TuCTWE6WRjzmFx2/wwzjuiX7et2AFaDx6Z6opNn4q
6nF3vu++SgnooSqkvalMuUUwPdmFt11mEYTc6EmoOtmpyANQWknKXUepZzFY16KaLgk4tQ366I17
KgKScM1T7flvTceeckoYi211joDoFwqkR1L7j1J6H2int3SaD5z8VLV10GW8rdtUtDM4exybmE/m
aiV9hKwlI6EwvkTEG7GeeFOzJSB8kw34GndkA+bBM14NHBR8xGPm2XsKAqHgHDQqxtc7sTrs6ynd
Jnmi/qhYkwvt4nnFakVtEZO4kyHJrBfPTXCj3kSnDEIzaXxZ5jKEDhwfmxGkShxhbGc/+q+uOHd6
XRzdnt/R1jE8JtuOt1H2U0wluaaMlrcOK/wCoj4dXUqAwOKkw56FTPnPoU6F3itFK4aRK5DYzhbd
Er5sS+fLlPo4WjMiUkmgOUUsu3+Y3AnQRwKutZDTC2Twu9+8Hd75FqtDZTsf7Hj56krFnkHi+jJG
9PgIVMDWav34X0mZV8kSArYZB5gcjO39FQkbFgY4vVko9MvwMtYsqsyWcSDT8i7MABNJBlabdcJr
FM/llUwRW6FhvhFvYDEYd8POFgEyePvDJiYmVj7LkD6UYUN6+54bEqyBx2z4bHgcYqStXoAJHryu
vKWyfiKDXu+XWTZPVsZPOZidd3i/j0bErgbctBHGox3tQHiOoR6d4qaLxLolZHKYZhKsGtGfCv6N
5v0LM53aDTrqTlRWxE9y6cFLu8Gd6n74rwR7jEB1z1W7ThXm9C4x2HmR+IrFcGxxrLl8rF8NFcuv
enQ7llQ5ez6bZaujg7OHSnodS27tS9nucWZ+kdBDo9c7GGdyu0Scn1YAsh/nfV0kn+yPX0t7+uUR
D0E5iJoHzBShLymUqp32jPohQxfS31MJUnoFLQcU0ijvCNMauTdhj7Jp02DauxnRTuNu9Aranglz
Hh+bojoNHfiiSY0Fk8TYH4Kirg7jeCyyBO3UHYj64RTXCJ/ARxduRTzsV8S37vUp59i3s1C66do1
OkJjovk0YIFtCnc6cKU1iEuUzpHvcHiImJ7djm11a0X3UWj04e8tcIyG6oavpMd0VBrc0JvxFZSg
PoE0OtIgl50q5LkHLood6+XsNR5ZI8auNYQB3lhkbN42ZBTOWda3227x9wlFCMuYq0cy+LuooUUv
cBDTYcuTBvoby/7RmuffgFvulCzBpiyiY4NCs8KawqzL+vm3jMRT14pTz0ozwBCzJsu0bcDcAYr5
dbQMwsjgdWVe71CNzRve5Wu10Fk3B32yNT2QXWnGXWzAG29CTDohBOZX6WJF6hq7/Cl8VAwL4LFS
dzlwRqMV3Nhnai5WtRtnYWI6F28EuDsrOI0LeF0+vBgNqqY9t7ImUpyR+aXGgCdEV7nrJrL2dwii
pLbhmgHZY+NqJ9sK/1Yv//SI3ueyAcSWYgMALAtEgd25xz302fON+lHFBpgZEI2booj1NW+Tk+nU
90UXk0xa3rdexGlUoZ9zSz5EXDWniiU59yiNBpPvdVZROxJ1x1IS3ZYTm7uMJ5Opn6R3jYWnNqQE
1baUcBYDMER4R+xHXEwFAnewbL2EDUhzj8hyL7YMcrzWaC3kebiIoWp4RFCqKuyxiju2vnSBAWZb
sGVxMevZ6T+79fxVbmVPnJf5oahRZquW1Jts9j6a8Wi/+bFl/rJXyxgb/GzD8Jf887XxJ+IatGob
4Rza2DPJz2HZ6QZuDFmyG3PjiZ6HemenzaHPBOS6Zch3Qy0PU3pNpdzbujqT+iXHxI697817DEky
QFB/tqvjVBGRSS7tkpdXnuJYzcjU7y13iM4uy7+9KKGb7oK5pcMT8mpqqaNmicPbcLJfayb4VUxZ
hld5yzpvlm3qN+gQPVxJxotvekufVYKgxsv6PHh+yCVNgGfNVEpUI+77Wyz6YY2YRtBhhuXjty18
/7gLRy42oPm5UukUlkc/e5u5HqYNAIVmYwmr34sA8KMxTi3ENWIoPEic5tmcsaIgoZ7rVF+tPpH/
GC9vDVzpi+7HpHhwmx58qXTj9G9iuRCJTHIuqJlzpc6l8qIblWvehpsmYc3IXXhITaW9WpK53UV3
qaChBeNG1dGj7MxvJ5/zzQSlnGX/sEcpqFZD4zzXUXtiPYnd0tQ7WuF4oFbS/Qtj90FG1toUZ780
Q6fwjcPU5Ewnd5LUeshMCMPR9FXHxMSjafmwlnLe9W1xYznLs0Czw00GdmFxcxPALLY1SZAgr/Y2
1aXRaMu1T8fBJqvtfZC9Jmkdshm78Uw01l0zD+tOqZfS4rMzpVO+JpZO552P2cKPemY9O3tzPYeB
dYBoprPQ7IkMdVYBpypdR62YkHgVaoKRPmapq8PaGCDBEdi0CR3UZGQxGmPOFBQrBsOV6GzI6Etf
fJ6NoJQiVA+1fPtc244q/xY9XDiegyQ+ckJfd0jgw9xlxs4wCuNhJjU7LMmlKadg75DWDR2jUoRs
Bky3qR58UM4A2rxoeUjMod1Bp+PX4x5qZhQQqOEStQIIsy3c5iHyu3fTZHEnZmyWRue/6Ar9cXao
XpAAnJ+SzgNOTj8wGbEWsNQyrVvhBG+m3ahNzIG2zuxhC62j1u2RrPFTj+K74siBOMl6byWWwV/P
Wgrm/4Im8+Ch9q0rRaFw8oc0XBiI6kGFTqejcLQxDsbmsqdNrgc3J8rV0Eb4KC1WVAtFag+WYRsr
pBP7OSI6FU59QHRj5sMuizUrxgQygLgw3a/aqPL2HjMMzxsNo46wJeBA+7eAU7EyJ24oeYkm4pFh
1FVEQ6O/UAGMKZ4rkG667TDqeFdxSXRWibzj0/zM2QftRPlYxEUH+YnSoJlLvQpFkWeALWsj9JvU
ekWAPSl47BRWElRLHzky951PzRJ+7+lcaTVnrEskuack6Pj4z4a5Yxbh23XKTVGa9R/L1dazq4qP
oV7GR9eckjosHL/bZBUxF7rdhQt7f6DLbKj9dOPPAsp/4PhPRppcYxxNDA1WjyvRsR6jsZ4/W4/5
vQNNfPKN4o2NbR1yRaVE06A6E1g/GSNvjDEax7fMmVJMy9Ffy3AAPQzhWH7wk10H+PFGt4w36TgU
fAkotIl+TTnaRuJKpsSbrgu6akt5Xpq7JKCPhueiAxXYWTsaP5BIgSPnt7nDPdxok4VGwbjUT7sq
YwmR04yH+ys10z+4dDdmPjzmy3SFxAJoRfdTs55HRRL2r/bgrtGdQgAMQDzq5rfrPExcpwYXT/q8
PPk124E0tY9FC509EF2ygu5w8TH71smR7uNtbHcXN61P4JQ3eOD6MGHDdUsq64dA4XgxpjSDicmX
fK/XAvsygJbIW+ZTEKY8kfT4GMGH5lE+rGt4C8M9LDhW74oC53nYCRVx+jO5FsICJdPEYR2Mh2Wu
gC9LMQbbnJcB+aFkzgON4AQDAoVp9Di+jUMA/W9X0he2VnaGOpsHfwpjvLVNDdLDeaBMFDOwwx4b
J01bZ8cEst5IHi4dI5jGEYAR2iCPbs3rMc6RfWptRI6qudbAWHf/rVqLGuIU9qpHh+zy6u6g3JSm
a4QSKlAYmA2P1iABVZn4+m0uoUJ4Y+Dw/1H5RpyvX0cudbKWkKcEBzudUnsfh/vo2k8Y4/lockJd
bNs8KIOO3mzyxDrP661nN6xuKINsZQHWxUjeeknDp7SG7NJ09lE2WHA7z4B5XErUS/r/8KNI2nDt
yvjoLap/ZBZhp50ZBiobEvQ9u2isjJzaIfDgYdcqCnixLrwsY1xgtGkrGB/UqsJ9nUb/kLSN/e5Y
E/6K2RvUTgnLuIBdR6PI3RyeaAv1s8bdnRZ/Urxx75NeFCdw5T20DtaPXULXNYeb8QYgXz7NWIgv
aceiEWgwA/dk27yXK6t/KN0+PiuNfzYgFvgnhzlzbasp+IloVPJXyzRmZ1YQ5jZaqJgjBa6zEkBJ
xdfVxMUBSTLaULRmn7okAnBO87NDmatb7cQwSRRhmW0A8mLmcfMF6WT2drPpZj+OBxPajiS7HUx9
5a5K4deQFonHnU6G8YHSpWln8mbcCjvxrjkkgA9l3dVcAvcP0qVZsSCp9z1NyRk8xPDNKhdUNvXJ
OaIRvtI9pvgHt2rSM69Wfe7Lyv40xWw+LkOvif5hZ6wSAgdxrhikDDKzA4H3JMsWLKh9v3Jhpd5s
X4ufggrsjcDHvII2OHMFBH/kFWgAjLznKPfeA5zg+AgsxNVo64BF2TbO4HzVTnWQ5sUMpgs9M6gc
UqSfqTtzt5CP7lQ8l8b0PhR0YuG4l7upZhQIcE4iu3q3KGcRmfIPzW1Dbv6WalRXENp8k8MUnQMK
gh9mk7RiToxvjTgim22Ua67bJg26RNlDUCdYMRugQFi5wCUad3B/2gxoJzFaRAPqxAFVsDbooz+l
AoKk5QPo0NQ9VAoEZsWBZhsxkcfx/mHrUIJxdP04FmZSNgK4ZizsBxwPIXCn/DOxGHKHaRiZ7rp+
Y2WpDeiGLQQxATzNfbrXiRrY2YHkRkr0Dizx/Q0GCMFA4EuSXwSNVjPWfNyVoHiQD5MuRaPzk38x
zStXqASi39MIwu67bFPWOf9/2XbDLo+JqRKMwitSoyi4zjf9Y2tZuFA67wuYGIbe0ZP3YoPuPiWb
fn4ce+Qx2bLpLfp4PGJYMw7UE/rvTTvoTek2iNdyNo5ZJosnYhYkIZzCmB/aiVZgNALcpHk7rxYy
Qvi2IFfRh8JwqfuWBIGnrfJbZXWx0VSLnAgzUERtJfkO56dzEjWxIJ8c1fuyuD8cVp/SDg5EQd0z
OwkO/8Y2vL9zovwTyP+SY24uL6z8PFTPPDkbk3Ivemim54olNT/ewGD/4IhXYwScErKyHc6Drqsf
AqrdXhBZsJkSvJ6zuj2pRfO0KTE1X2pb4qWNIv2T9nH27Hpaf0xW48ahU+t5WbPyZItvAf0fQlVH
8mWyvHGf6DbZs8RKQ6l6GNZj+wQPTpwINuBsFXN1wNLvnkr4I2cy+liQXDfKtnZXwLA1S+MHlFm6
aWnC+DIT39wnVk26YjEnm0O5T+D9k7W6lbHVEF1YCnAL3RRdY6e0toWRIVhkPmH8vuNww0TC+JVf
RcJPvq8vFlfqDSO3fBuEut8NZXIYqe3bFBh1n9q6wdfi4YJxZCOeZ1HEB7cveoQrpp7V5C31tWSd
steUOeAWG0Z7ZdnqLxkxNhmCti2djTX5GSd/x5XXrJ2+Dfia3Z+OqAJYpQZ3thDtSYAJeoU1Nkrs
1xh1pY6v2LUwouMKqlBAIYcdoE6NX5Kq1xeB+fJCZdK4VtUFKxs/b0EZWwTe7XEJEjo3+jn/11fQ
r1etb6PB2dh5WD2Y8fCRdH65rD0DPIQQMUvmUv/G7qwfYOSYG9a60yaFvBC6hZfeYINAU8oLbCPT
kD4Nuctw2WdFuk+1YAOgRpgM1shjqDP5WJtpKc58trpw8U1JSoAt2ExY82DrHqJeonJ+Wvjn+eoD
9cfo5XwpMS3vFFuTVeu1ycGM24WeRWp/l6nUW8t19MkfW4MrYhxTRxDxPed0kDSGnJ7onh7ejIaq
av6k7MSs533R406UwjUS0mZ5W4hXfAMpe8gCXnPse48Y+d+dlOR9jP82zL2YNuHKD/axFiB02J+1
O4MkwDWmdYYe5Xn57AuNCJwtxZ+AxAbioR08eBnOCimWPuw6jD8tqcGtDaPmoa4qj+VYq+gI99gI
yh5iAZMGJ3pBqiStIrxzWfxo+zkN1AFt50tkSdYKugD7bky7URXplrYcNIWlkg8i7xIikD0c6ibq
NylB+ImjgbD6HJ874fOemgZ37SGl8eDKkPY6x/oIMkdd4cEB7XMndoVz0xCX6vrga4im6JlGjfZ1
VAOIgqYJvlXiur9Zng+A9+bo2rlTQ4Gr6+V7dIagXvFuD/YoAvcrku/nTy1fdhJSH5b/FMuQvBnI
dpvYuHsMIbA8GHH3loJqpYWPar5Uk4O9jzmbqG18FUaims42iQEW4Qt7UzevwbpU2borWn7NpOBh
NHjWB8KwqAQYEpPuu8RpV5qLFsAW2sSo6RtripeWytlXlj2Gyh7639IRznY2K54mFZs7HoF8CTKG
jAoFOLnqgeqVMgG+FVk5a1NxJ4Nixb0y0pIOM9hNtSsMm/KmBE+vrrD6bdoT89qUc+uukoo940Bc
tT4OXs/z2ulswVKg6n96f2ioSLd4otUOSijpSHFYDE+HlP0NxyXI7ga6hnyP1vJYgzjYUqioDnOw
kJIdohQ/rHYHJLze2RhjbX5EdTBv0NIQ5DpyIor1PoOtwTuIfurpqfGfxWyrq5uly8vsud25i8f8
3jTq3N15ZfE05w5uzqGkvAX9YdPXePQcg419InJjW6mxO4lhjB/vJQlhAGFrBeqG7rGobPZZ3hLF
FaT/ToXLwh6R2YCfhB5U6mp8T6wJPNlIcQaSHz6oxCx/7NTznygYLr6nGn84RWj3R63DeqUraJqH
H8Qar/Dnnd9W7ZZm39951PSS3duwB65TQfVtDZ4RQruAue7ZOFfcIf/oKEx5nF3dfLESwD+DyVDV
1sFMvqvRW1c2Tql5ytJf0dNKXhnDfJkbj3LAyguaJ4lh8P6eGgnX5oP3QDimS9TIltaunwPa5JjC
4VK+pkjN1BT2RvCC1ofjtjbhyFPqvve8yDUptoiSf4VtdZBGhLs8EwyL19lcTD+1jVVByNT8YiMc
3xCEWBeTfMR7VRnv9Ii7qzyaYywn+YD/FJAIyqz3kBUKkYDam3/maFmvqhj1VjW5f54LzaWCjqyT
i+dgb3YdulrV4u8xkXpgWvEYQRxPWLPAfXoy+A6PHtUjX8Lwl5syiD4BByF5psgQo3wyhViGAinh
23qTzyOXoCKaNiMWNg8lruc9O0wOJ4rRMhSlT9NkU3prNrc54f6Lbyjlu8VrFy6AtrlC2t58GuOU
sasZF1WFinwqCkFFrx0rQf1sJexGV9XYuU++gYDWtbN+hQrmvTpJn+2GBXRW7sY9O4WpvnNIy2mP
o707OtRbfWuHy6YHAIjZsdM7EqsZh0ETvLaF9n6MiHtv1MyUq8Rik/MHhkpP1ITCpjdXRgdxzwOs
tGIuiG9mBodRFSxmYjgZjNAz793Cdz/wMKkz40d1E/lCNlWl9yvmVNB/60/Bk/Iz44lwekKUFpue
yqv8ZvbNp99huZ0XLnKSosUNH3faWKJqQlLpkzORG/lcOXeJszXvgn5XQ45x8MIzPdG6CSYk/VCd
R9itYm5MvPTs1ob3Z6BdOhyyPvmH0WtycIap/jBPcn5OW2HgKIY1ggLPJvSRYr7+hGHAOFP/BiNe
2l26T5K+emCHv/xtijh5dfuaEpAJhivvf098icAKvt3c774w08wH0mTeTqMofbvAFT8yagF2mS6j
Zw9GVnyK2vhPV+XuFgnBusjBm7mE9L1+LDjn34vM7W9T2WU4Qw0eZhnd7bh+SNfXsTgQPDN5CNKO
bevipbNGPYaQRnlGTrxy69r3bRfvbexeqbcaTqN08E4n/FrQ+t7L4rTerYgyyHC2LKtpI2q2TkYi
UA9c3iIgi4L8mkZ5h5Leoqn47LFfqFpuulCz0mRese6GMNByRn8pYSoAF416dRISOyUORiO6WIWR
rkcGhHg/07puPJQxjzMC6eYWrKe8ABrSeuu05J0NJ8rOEY7ip6LR8nFKcuxxROdAjdHuLV68YOnG
lYfksDLraFmZjNMbW0v1bEba3/RW6xyHweteIww6J/IxhM2Js32wW84we8Hio5wDHZnaSraxxFee
7YSmK9/HszvpdsLNQbC2GYtn3+qvlmtEJ0Cm9maCfXSSNMK814sbUR5S8R/J3rBLaTgaFfMmU2qG
q62s/+oUsuqaWri7pG+l+9Z0uw1ksnRblZi1MtZAL7lL8hpQ0xJGXlyHkxG5V0Fw8gDyaDjNCX/0
HM/WVi+Ys+NOEkiUVBvy3+7OvqSV50Vxgz7V8BNXRWdbr05Q067C9u1R+U101nVQPcNyK37gXnG4
FOaQXBxXoPzSRq43jl96d0XKwQK1KPPTxrF0LdpoxvHBUeGZrvuUCkezXEnMz7QbhzPsTk6/WZtX
nyDxumuN4moHffkIoCJ9t1PVbzu8NuegLJLryKXiiJrPEtpqc5AbjGocGojsyjeTDZsBH/SpK6/B
KEEqzZZ6abhVvdc1C+0Zpux5UPW8BSzs/+SJm/5xsCD/G2kyXykMOWtvsWH8RU4BvZcIErSkwnuw
505+em3Oe9+ByEp0mkJS7C4Vt7NUxq+JKmD/tLRGXYwRw+7sduUaEYIgI3HCP2aQ5k/K9qdd3abJ
x+LRYVBWcvlSjV3hcXD6U2qMct+Vd+8VPT8zm+bBXGmDvSKxbN6kRMq/C9yrL66f6/NQC2omK7s+
JuXC8W9zDBqTQeRGCick1gF3q6eKibmv/zfGU3oagaR/j1Syb6asxRPkuG6w5qaS8Gjvgpj6UZsY
9ErzVPkqWptgNxQZYgIBC8Saw+yvyIPkp02yGze/ad+NQJ8LFIpvPOrdKdNpdogS6RHi9Pj8cbz6
5r16aoj/+k017OKAOgpAQNWWjV1/9NkjrXmqIljzobx0pGDWZY/LkWJs+wA/fPjkHh/T82O3r9TI
2fHOKAL3aPoKvnAAy5K6S3wA+PsK9aLSETm/F0awt+XkhLPkb4Ro5KMTjtOO6by6TBbZm6ldaAyU
Gohr5MmKWcg9GHPWWhxaS79hCpHPokmR9EieKXsUfztw32+18Pr9pGGGAIeOXwR9chuc9S5by4yt
TFPFGNBqNfCCAph8lJX0fiYHuFpY8pbdjdM8MjHQ7hzloOvQMa8JBshfw4cNl9ybVVEcR8JGDWQP
gyva0s/rglTwDwwCZ09Lh7+1sEOjyQTlXlAKsHb53HC1DrzpSMkwInusi+zQ3qcq1ijz0W2b4Rt8
d/SqYrd02dSi2k3SpxbMWeTWjXGpWVPLK2DO4ka9H5sRCh7XdTu11//ZRUyS3bGCnaMUOrLrzecK
vt0ZGcv6Mr3G/EN/yLwfKmptFm2l77Uapw9a9siTtCYujvNk6fowzjOtdH0ybbygsEkUOEEIUU8S
HuG2gBpMmRCXqo3LOQmQAVLcl82t6lwShzikbJvU6n+I2EFbmbHa6yho90Vt97/pgh0HozOPyqIi
oY/Gj/dEjHpjUWZPTVq0bDSNasCjW2NHPBhEC77tsO6sirUWTRbo/Q9eUOLfHIsRfUeXHhdBX9jo
rE6Rv1DOaeYbqOf32GCJZEzDVI0SjA4EFp1r0dl0NdnvzHDO7Xgfo7NsPOZqLvdpbydM2go1xpdT
8v5/1J1Zb+NIlrb/ULNBMkgGeUtRki153+0bwk7b3Pedv34e1nzApOX8LGQDczHAoLtquipDEYzl
xInzPu8sSx4zmYc8YREfXRNSnNtt1L1h0KjfgItMHqKWAmVoIby6j4LSxlhU3VlWUXhvU1AGD5HV
0bRBdJuNypOFF9+qrVN9Jx013BVR3dyP0MVQb2CJHSAb2uW1UXhSbccNxODw+l+ihWsRGzI6AZ4C
J61SnE1pSnsjLPJUUUm9b6zdczjxMt8ukofWjyjoqs2ZO4ZStb+CwI+8VEtQTogymyc3yJlpUur1
C1tDvubCMm/Q9IKlBlxeuv+KKK0Z0eFb25iYZhuHwGbShkvuv9omtOxQpOHJSMHdFfp0cadYQOs1
Ix62EReSbYdu6L95xP8LouTL8iO/beuPj/b8tfw/oE3WDUhQ/39t8sNH/jF3H+kXHtg//87/A4KZ
zr9t1bKEhY2FUBEVwwr7b20ysfy/hSER/TgOdHkbLtf/IMHMf4PI4s/BjkBVKf/7H2cW9d+WgcOJ
g8ME/xLXY13+DRRM/wqSNk2LiQgW19GBh0rNMg+8FdQ85ZgoJt97uETb5b6/RO5V5F4G7kXoXlx9
bO93n0/vu9vfBukPADADgXf5Bbd10OqBB8qc+Qgx+8H3Xir34bpw70B0uk/8zdvHWeCOy99/bNfP
j68X+4eLs9f7z9v7/fv14B77HUd+xiLc/o2Ipmb6qMwJnUcUoKlvdXj9cz+dZfR+6ucBVkwfcX43
l34W7tPDNbGA+/Lw9LB/+6Dm3H3i/14yd3bv3i5vTi9f7k4D9/TGvTq9uTk9u7i5OVtdrM+2N6fb
m5vd8lfr3W69f7m9OFvtbner59uL1e3t/vJ6tfvc317srr39/vPI7zf1n3+/tXzH3wbIttRCKh2/
//zl/Ol6d3L+cvmyf3rabu/250+Buz67OVtvd2frm5vLm8vN5fITd9e31/vb9cXu5MhYLmP1w1ge
Gp8UUZGgm/lnLN+WacNYvr3dfVwF7h0vfwzjzcddxFiy5fKXxfKf24+7D4b3blxm8yP/5GPpXj2H
7ufr88Xn+/PrdejuXq+ZXc9Xn8yu69vPh8/3wuV5j1n5+cC55D5dn509v77vP29D9/r9yPiKr2Yu
31aftYz/b+NrJK1uAffyPW9z7p2ce8t/b1x3fbrZbFfuyl2v+Bv3xDvxfh7MhUP442Ae8OPJUI74
x4y+Rw+Zhtfvn/u3S4oz3Lebj8C9uWCscvfseffwevV6ceRLLqvqpw/Jvvd7p9sBrpDN44OnWCeV
9cg1JUiuohDVTwnYVD1iHqP9ad5YEvqDKQxNYLn0tTke0CCRJ+i65rI6j4azrsFr2OaB2/isZLYe
sM6cx9eI+ri8vzH6xYGT/22nzK9Tcj9wX+vuAhEdMav6476LfNs0pG47quosH+i3L5+kc65KvC7Y
Ge7e0Pe4N5H79nb1enb1+nx18X6rug/vx5az9qdt9/dGD4ZiDsklWz2NNioP8uajJNpPtP043dpU
XNat7+X2Xmsvf55s344YnE1s1XAWBzCONPtgE6RcvMOyGb+BouK5U2rRTCyYDYh3237+9XdtSfiZ
BqhMwRmpo+Y9mFt1P7R10QY2L5GyP2/wmnjtDQJB7oXZ1X/QFCRJzmeVq6Zz0C0Q8RH1WjE0n6qd
b3FkxqsUUXQKymPO7n9ua/nZvy+ZpVsmZUtCoo4Gk3OA7pRFl6OklhIRaEFCqMFtwrac9Mik/FMr
FuvEwleCwEI92BR66JYheBMJsL+bt9zW5JaaC8f7uS/fZuHSGYzqpIE5lWaphzZZpYm1pwRP7+nN
uLy0CvE4zGmA6gem2y7KFpvgYiklrhLb9HQgLr+oUEWI8fPv+GNvea2ybcOxHGK0ryuQx0IcYQtK
z2NltryQogyX1+N29Zet2CppGuCi2P1aIGEPIp3GDGtsKRHyd029MJlmnVxvGW7/thXD4HJoW8KG
qgpk5mtf4OnzLmGRkBkrFaAjKAE3DHHD+bmVw4WM661BeaS0Qe1IR/xDMv5tz6IQlsxsb5H8GDSq
6yoqFnmgDD1tEZv83NRiWPh1xh+0dbC6yF46mQYK0IOORh1FcpPZSBma9qTr/FMU4utUyR5xCaHS
TSKXgAUjTAqhwO+P3YnG87lMxzWgxleYk1zW9E0s+tEVQrsf47/cCBz2Noi6HC8W0bouDwY/1Jyh
C8j6esg40brZRTFew2qm9EMt/KZf/zwyf/wIQrVM/OxIIh3upqrmi3jQGRiRx8WmtcWTsEMFh7A6
P/K5vy2Q5RPgJ6nSMRxmjIOpm7R2looCcLqPmOc8MQ31TDGFPLJADkPkZVKxNLh+0BfHWQDMvx+E
hZ9E9Qj0y8P1UK4tBOabdMDs1gLD5ZbQHE9/Hr9vM8te1jqdEio3HpOn+K8NgrlTOanqydPO6ivz
snug5OPJeadUMHLbRwitD9PVfBG+zp/RlbPz17U3HAmA9MPo6/AnHPR5oHZZoZ5j8ooHcYsc6dK4
KD6tbbAT10PsDlc2CtF79SrG6+u0ORGX4s44stUfjvrhLzg4UPqQWmgqZmCiUP9vt/lJHRiUDQy7
gmK2nwf8cBqxPATMa0hb+PeB2zpYyTDaSqpI2sHT+oz0mz3Xt3UAWeNIK39oxjBVtgTBTOVcORjT
oBRwkEEFecZSLFeVgzf12pM9AngKYYrkNbWUyQ5EsdCG7ULrh0ArM1Q0pa/zkDWjF9ubTvU0D5sO
bZYW7lPAl7hGeqRRdcoTNBW4qENGPH51kIBNzVs7PGva82hmKPpPtWnazuq7zgdUlUcpUANQCSSH
EW7GO+iFF87rjVkD4TjS8YONkuG1NNXifRe0mIRl9nU6F7HhpLNPd7Nidt7GJDBeiuyY/+MfBpcI
zhAQeSGjIcX72kisgRWj6GfwjClTN33dX8u0GI8Yo/65EaIDmw1nyW18bWS0UEooBt4SmEKThcbk
2k1b3on+erzIxSxWoA6zhb/42orlDMCcdNCsSdoIdFXGtDLgMR/ZZQ4vdnwVWyOdopJdESBMlvX3
21EpBhqmtnjwyFx2FCSkzq0jYspiq7mjeBx7oWQa9fOfu7Z8hd+jxH8a5QWC8eP9h83ta6M4NBUp
cKLB63kJ2Mkaa6BcBzk0p3h1ubAcedTH+RX7pU77+1loa5IYHysDIvB/Nt3f+muKTMmzBApuYiIW
a2vF96bB0k9+7uCfZgh7iaGpdHK5Nn3toLCnSJ2xOPSWaoBNDH1tp3HG739uRTvcHJdxNJbkG3cz
07Cdg3FU0qKHw4TqPzZ0Cm1TgEMVD11X/UD2N/HhkYQJaPcGXCb/CAzpBqXFszOmJ8Cd4E1OA0nm
NLsrycVHhnZ25Oct6+DwM1vU5ZNVZDVio/R1FAK9G5OO09LTRBPg9kgh5Js5auVlHRXLXpT4C1+X
6m5uw1zjtaC5bsbMrFG7oqFaKTMlkz//pGVADn4R7+ImOxGxNL/qYIuvjdiC8Nl1nhw64ySbBHJh
IakQ7oZjy3f5o742xc4ALETDxsAhbj9YviYVt6UG68nrIxtgnq8jzIqm5KTHfHfll3l0Bj73JBz1
m1LFSOov+6mpKtYNvJXzX8tE/zrybe3XNrzWynMyGPIraaScC7XsUZ8PYVpr65+b+zYPmefYZcOj
5qJEowdHmqqlFrAqtfSoJr5MlfapFMPo+nJ6SRsKo35u7NvmoWmS8nXckRfAq/jmyaBk+VijN4Vd
IdGPT0p/nndzd2q1TX9DgWfPATOkWz8O7M3PLX/bK/9peYlIGF6W3kGcmSrUN9QNdnPWJOFdKOVZ
3VHHPpfhCzVzJ3mRB0e+47d9hBYJoSVuwuxZ1pJ5/313jkSDAEZabFRVDUZuQrrXzkXq/dyvg89n
Lfd1iuvgJ5HkF7znfm0lMzstbeW8KGqg2J6B8UubGyvjCRb3MiL7bRGOSXnkDDhYijQqyXJRJk2L
iyX8wVLMcVzLbZRvnizL5leUUkKE1SN8qc4MxevPHTwYxqUtUyUxYS+BtMGJ+rWDPdcCxG9a5rW8
sF378FPuopnCj79vRVseSpCZGAYJkK+t+NRq4aQ6ZJ6oMUmcNfSHNZr5vx035gPVlZz30gRIfbjn
RyOGP9idZh4KmczeZKLJH3V1woCnq6vmSPR9eAEg6aGSC+AgY5ah4LIPJuCEnVxa9TFeDRJy7Sl6
XzIhyPDBb9q1mRrXKsamDlghZEvWZYmB5PNc2gvjzOx49KWiv2iBtUkZvmR1Wr8pQZLHH3au1OdF
GubUleZRS4WZEekGoi3ftpp9j9mp7QVwZK7/8gMRdlPqTxkNdAaMlw7iNqXpuroOfTBjbRhu7JkU
h68lw5HVdLBLULhCKySOHOEwGzBq+ToNgqDAltsR9qofqvxGt7voBeuI/lmLDCPEUnpC2qMb1t1f
9o0PhSaCjJjBK5l2GFJVgxMpc8mHEnNM+VqqLpygwj8S13zbKQTbLjdskFGSTelbTDo5wPEWF2HH
qXQL08p2zD3UdIoNxLFSXjQSC+bfRdtMQU0zOUF5xmZEv/WsZexaXGsyRDB2tR5iUDdmRNHxz+On
CT7Lb+f1P81ghkRESP/IJxzsEQllA9R0BZkHjxgkkh0GF4ONm5jaVzO1fXZ5W6UY5FFMDFCjgwbR
2g3wHK0at7JqgpPZmbTHn3/Tt22LnlsmV4zFc2vZJL/OpMxujSiLw8xzUkK2iELbDVR8caTnf2yF
GFXj1sTZrS8D81tEPI4TrBSEW15cm9GtvRQkDjCrjpzaf2qFrXFJnRiqTkj0tRVUudhHo0PzSmjJ
2HUq3VZHQvEfzBWiHV3XiDp1YuOvrSRhAdigdFJiejTO9oiHtikBRvz9d2EvdEhr0ZD5T974txGb
KUWuiFlBuPpa+gnEeVg3QYWb4c/NfNtI+PwwuA2+DNkmLrNfO0NM0Cjt0kzaFAAAoJC6eTTjztjC
uSTnmJzKKDl2c/l2LC+NGoTGZE2x4VIPRnCO2qCIiAc8ShY7T0tG9cRIkJfPcZ3d/dy/71OCDYT4
mFiOXjLLv/YvMYEP6EACAR8JrmEAGHOqbVMYSz+3871LzAWLJU0oTznbYTZ4aChEaxCkeHmQWE8l
NopLbXoT6dYanZ4uPn5u7vtn03ma0Je7NBaXxBtfu4UnvdUQitBc0ctdzS6B5zPmPGgkc9/YJtOQ
nKh82u3fNrvsFoa2vPOQyFeXrfu3SRlPeYx4lOphS6WiCopXo1RbLNiLy7arJ8Qo7FkU2GdZfSSr
vKzcrxvnMmWYjcIRHH3/PM3/1vBY44YwqqHCTjn4+7CQ2Wkig3g7jxO6nBx1lZImykWlgU6FSjMc
6ff3I4l8ErIl1SEhoxKofO03FSs1bAjFX0k1inrgVTOU7AzbdtQDmSD9XFLQph2ZUss3POwziXTH
4mTi3n1ohUhNZpEZlu8jJbaVtdLBlx/ieDzSyveJS9c4mHRNkJphSn3tGoZccUNe0MfOrZ+Hsxpn
EPhbIWUwXgK3rzlyEHxrjohSVyWhOG3xNHlw3ATdaJidjabeGGZ122XxQypU40Sv2ujIzvatJeYJ
p8A/V1NmzWFLvEg6ou50SL3+mO9yC/Ja02vJ9YBCffPzsji4LS7RmM5i4Btxa8My72A1WrCLjNko
5AqoQP0gHX3sr8HyKhFsrESowTk3WmlsW7DxOH2IfkZ69/Mv+ENnqYDj6qHxA3hFPxhWCttr3qog
i4uB40gpBUXv4JnaBwyGjb+96HDB4SPiWLjc5FAFf50xk4IWHkSRuULHUe66RAEWZ0TH7ot/6hFz
3rAZGvp1GEfHU59nkE6MVVaoSbVWDAXUKHIKSOeVFlBG+bcDuKwCir509u4luv7aqdGgADHgBFnF
ndXv40RvVn4+apcyg9XzHzS1JGsWe0su+AcrDu0fBfQT0NNMqdTJ69H8Pk9gmMpNRTXikWD62yZi
0q/fGjuYmlpUJjglTWCsh37YlHo+uG1eZUf2x+8fi7ubzuOV4GGeZbf8779tz2xUkz7pUJa7TMoU
z/QaCVyIlZWobbP9D8ZPsmlJDnVu9v+Umf3W2BylvE53jF8ofHNjYCa4pmxdwaoM6O7Pn+rbvm+S
PeDAs8wl2c+73Nd+zf6ENCKmKU12zXU4CxtRaqLucESfvLrIsyPL+A9fi2yFSt5JNyT58oNx7Jy+
FlGxAL+jVt71mRqcODIrvJ979cdWLOwubYfc3beUaYNktBjixICXZMSo+1P9NOvi+K8vwowd+Xee
4slSc73/OnZj2OqIh1OmuSzGhS0cbrHqmo5Mhj98IQM/GUNj84WTd3hZ5I+eGyNXsUNqA/nOFyzX
nRVQyFM1vGDqedMfGbzlE3w5lU2mN4lPlfwL4bl5sFGUfoBihGvGKldydBcYEkiDUolK/SDRzVPl
z59K/qE1CiVUg5FkrzjM8ePrIk3gxmJljsKB0R62SNH7wTkPBpRf2JBd9oMaHEnIcPVdevGll3hp
cPnmTNEJtvDs+frx2j6eEc/pPe/3VXtXan41nFBr3p5RziMaTy8XNlKuN8qzyIv0XAWTSe59Ku11
psyx3CAeqCWWzW10E8RicsAPayPFZrEBabg2McfuMN26TUq/QkIYF2Ozaq0aNithXFuuoF+Ft0Dz
sJ0wMcTe27ha1qvADlAmlpYFArpTRv1er8zmOWvjOYK/X+Jl0bWFvgnk7FNJ0xrGL4N/+TwpjdnG
F0fGcOVt6QAaCAB3u0knEYGEfjHdZX2vwURbKiwKMyh2aqzKD0dxoBhlwm+3SeWjuIumgPwhLi4B
YiYzvqSUJcPCoRrSk1oZkmDdVqr1VmAM2rtdR6rYbXFrPWvKmqL+MKoUibxP6pULXyN4hj9Xdp4Z
NPSpUWOxnyx1AhCBBIxMWN9j746TbfGYIFhHmYiv2h0XwuS5wzs9dTOOx8QNIMvfdEUZY+swcdy7
ZKSiJ1O3FzmqbhXTRpvH5j3QFDAi5tAkeBymYjrN89Z+rJU5h/PoGNBtI8W460URPY5N2kb7rkSx
sop72eOL2VC7kQYzbGRdoyB/pcP5wpairBDUNzO6RI1006rFf7BbV1YDzUPihd7yjKzN2KHC5Tmf
GyvDjKINYJjDckNGOoxA51AflVC7dJQgMLWxdVgHaOmfwUWFz0KpFAu9+QhdTUls1nFH/cNHQ+3X
GbEwgzY1SG1UOM2166tzcKYEQ5ut0TTYr7EKA9dNggDcVcv9U6CojKBHtpg8vEkAlSFdTozHvp7q
12FqzPPUb62XipdtuS8wPx3crpfVVaJ3A6ozx+o1V7Xb5ibwlQECteFX8UpvpnJcz5b0NUyiqhmx
z9Rn9rpvysVaaA4VryWC5i1dFTWIp4TGViJZcP1dmb0l+pheOUNfvHeolx/DtIvH1UyCdx+Udfai
lUbzyEuach8B7PsV5BSgQaItbOwFSfpVayl7LG6Ry6LchygzrY0uh1egCgS8qzzs1cvWmdE4N6bQ
7ux26k23yJ32Cse8EkoJk8TaVCAHuTKGVroXTKBPBPiUho6B0mAoP/h4B+LqCHGPHf6un5zpSbFB
NKCt6iYMIadxKN3UsNsBGWGlr/UpNrMNt8cAkSCvo3CC+nB+wsBHHTbTrDRbR5+UpdY0kTmRaoet
0GAY80OW9tU+4DYZrRVRGu+T7It4JbVRJidQrjAuESOCxZrYzSC56aMZtoLauVFQenXotMLwkWzS
bG7yXijnVZFaL0oej+0ptQv5XvWjEoMYS7TXEegBY9Mg7TxN5irG3WIkAbaCFNwlG4Xqnv50wEQr
3aDnTs8b2ZsfqWWPN1aVzwhk4h71Vs0QIPHO2lr1dHwQ75TKDh8UsLmX+tDoLMopA7plw/iwVm0a
2S+zNlYXWcx6dKc0C5w1b5aFuckQ+Ox6Af97VTbK5KwjobNRoSqTsdtaPqinqOhzLC5IJlDsSBzC
2Jm9+dbPwVADfZ/HBw4hS267Zuo7d9SUfNzAPDBxdtZB6G5GO4mv9Cm0VW9Ap3nXaT3Q0lJMYAnH
tu4u8ISELtYbDfbSpS4DAzMZBe6ywaLXVtBseTMdskpTYba19V6ijXqPWhMzHJmG7XPXNM3VDP3g
ushz5UXnIv45W3G1uOmmHRk4mG9oZB3sbtQULfcqAo/6EaFIE25dzCnCdpVqWN6bJiTLWUY9SFvG
wa8SxOJnydSavJGgvD/RpjDv3TG0HPrd9g962zW7wFTAScfNGN8ZVWO9EsBX0QYB8XDB67/26Y9Z
fqnEjjnCfpuK1wG7GOl2SSPenKwox5OOWydYoCFJX8IUNjHFLY7cBiPXbi8SWKnsWqwqcYYwUN6V
szK+Uas0qhuH8YaMVjg+Q5cxa4G4VBuMFTUV4GLNn6kFCtATW3GGZKtnUX8dxr5yzaus8jqp8PmW
x4GXofB7zohMaA95b2ewHrKo4yXDmkMB7nkkPxqaI68gxlzx1pgmobETedb9Wowa7oaxY7JZdt7f
qljJ/QpDwYkwDgMANlxVq9fA6ie2xtjnJDHRknE05ykIe7sBtNyrnamtuB/7DxWQi1zd43fBObxt
IbNcC1gR2bqYIEB75ZiW8SqJHVyXjaZ970Xun45j2/wK6wTX9C7nwzHfmLxuWevtHQeb9eaEAshi
3WjjA7SE+LlMrRLyGCdRvsLKN/tUxtp6QfWa9huIRTWEmM4oI17Klf4F8ZcABKSo1pp1hcqeCoQU
NH4MUTCUAzS4qRhqRgfCkc2dI0nuk9lmv3EQH8Mpp9jWd9WKnQ9jCaN7SMNRIuJES4fn3+wn4caE
EMcnreeg2g0hCmNYh2U+exPBrL6ZraDAeUXORo879gJsBoijhxvDKpGtsb+bD749I0q0lA5mAcpu
PHGx5gJuT4XdTCl/EVQARvwAgm7V9C/CrugFFGm4sdWEix/GV6NTsOka9mPTAJfEUCd0anj/PR0w
qJGN3SnqcdDD16lQefpyunuMb+R7w7tw7SkB+kGGBdMlkIOD/StFCfxYYR24N/opxq6ury+VBlTm
OBTlLyXUgnrFI0cPWTT0fW3LuR8DxsRlalXGZYKeeArDC9+ICIF0vYsmKNx95Gx0WAMqYoEyucO/
fkQgWCulSSQwAEVSgIK+dXgtvpUtIGevSWoA4mo12mw6qfGoUlXcuw0+32ixk35gHuLkQ0ljmsBQ
ok5L8zEnJ+ADLk8yvY1+6VBnJCi6KlE2SV8UxbPD/SvyFM6XwlOpuL2NTBE48NuDkH8p1DCsEhFj
v20xXvsYbLWmunW2lXmjdFn2RNiJookLQjpvmzZhxWgzT1tnkIPxsx97KPeeUy37YYfqe1qPwigV
ZrNd/4p7U+02vDECKeBYwmYphOWDlCYCBbDrycAaHsw8RyE6YxuVJCYa8IwkEhs6nYJo3HcNqI2I
crshxh8kUtCz39igXfCCGRA/Po1Alu8k3AIscybK4XBJKvFNOeWNQ5kfbKWurMuWNzdcrvNqTncY
OlIHmkQd0cUqcmw93Sug/ZV11+Fhtx17dUquQ0wndkGsTPAthKqomBWIQN+hP07adyMkyOxdrQas
A3nRRHnaFcCJVjnuBdN26OyICkAeyRx/raiRGsBLghu2Q4luT8/BPJf+eMJDS1WWriH8ydlRfpM1
Z7U2EfixnRhAk4lvuv3Yh5NxLVrOSdwJKbap1/zZIt6AMRic+zlLKTYbzB5uEhghYdwIQh5/NfBG
F99CJa+ze3uAag67UkLmf5SdPeLIIKF3PcW4X2AFYED3jzg8Ta4M/JOmfdoYVV/hPxPC49UCKoZc
aGh43AvOUW1l6QkYHoK0DNE4h4G5iSTH5RZjjiG50yo+3Fk3Z6G1w6ik7rdx0frqwp+V/b2mJfN8
ZYRkAMvTIB1LCvIGavIj3EFyGfYftu/jRRADTMo3kNQylcLwNlQeYNhF6WVFcXG2lnXQQUuwStNX
d1yGhQMjFw/Tl7bk/Rtft4Fri7aSWDYC4Z6C+qGA2j5hVkHxwZ0dCAWP9X7oDa9Koc/fgv5eSANj
0CvsBkGBT0KnsbR6/EeAn/lzTaRnmcuFrGnZ0kQ5BjTM54tOy7JTCKfge1WaiyC2bS5KNe/ZXBF4
pNWmL7J+3rc+OYRPR3UgFIsxFvqrlee1fV5YWdvflBCoxLato3SJGpuqf0BLAaQSukuWTo9wO3ss
hSSQxPoym3NS9gv4F4Z8noZYA7cO6vZ3jDUSQrWWp34yEmZ4AU8jxcUMfuVp0Uf9fKrHigknp9fQ
7nshvPUUg6owic+cJowahC2x7K80FT8r4iaje5Y9UoZLgTu47Yq6Vrt3hBxmvrbNvn8cY50t2pYD
NiGGXWM5GqSzc8MjEXwpMUVWsQonCoLXlbq413VVqOkBXnGSGwXmurW6mcd6lOCNotGG81r7VUlI
V829/PQLqfkX0EEI7/ppFvf+2EfDKieqnzZdm0TBTaZnUnitPo/KnuoAJBZqJtQMMzQDUHhTxb1+
1/IR881AIImrmx/nKiSW1LBOZBUMokWaBOF8O1dAya+nxtZqFwRECzQ4tv3ofK58qocm+GM9guph
Lm/J5Y/Vc6dg77I3+zJu7wejwLrFTULub24aIjXfOtToR6dBl7DPRWIQyqYd6vLTN8fmaaHgg6fF
mU2eWpMZZK4a6GZ80kOHvHEcnKLcALxzvapUMaT7QKkSkPswsXK3I+e940lWtHBsO65RZNIU7arJ
ebgBlTVyZy3taGTLyQff8sAnzQP/H7p4mrYFqzWdgoiT3olxfORJIYZ5V4xT/zZOSe5cJVT9+W/R
DAx8F3OztPdNP9nJ45iQ1NhHsTrlZ2BsdfOi54fPF4qhD8N5VjRgzoiSajwviWmNdGWEVG2elOrI
/G8wGQDylpkyrl0g1wK2WjYH2YPZhUr5MsfV+BGNg4kTaO7Tzg3UnclfUW6nAcrVMnUn7RpvQxKU
pj3dd3Avq88pUEUSnESt02hXlppmDxiEF3I9dqp/ZWA0N20iWDrrroQWsmHA4k+oyo2D73Fsi02Y
j2XtyrDtIEtMib1P1dhuMWRVub6nwjF2PhYtOMiPZofpXG2yFJrczteAFYEQU6qhf7aDRlkXCQZO
hgYjwl8mDj9cxBo5XsWSSjpWD4wn2D8JnO2kKYJww59Hld3CgHriilvM2xlK+r0mdIx3ssk2spVd
VY0P4qM1zqY4KDA9gW7dbJtF7wS9J0nxsVRYPBSNSD1cQxCVn3Mdb/tJxzmns8oe2LMGXbF0wu6F
sxnHlVkbsGycyKQo0IXjZA/GFjuvLnJgIINurNZa1atvAh97/aSACm6DgqhqYrZYOtGGF8oJWPEg
73inIItA2ODftGFKvi40Bx0LC6A/v6xBA50hMa/BOXacb8o2m8ixqVp1LmshmbCzbj62ddyZXJcp
/qvGbDEsifTotfJJ026qqB9tLF/SvLzAUam0FpTZqGKOm0bTu5Q45GhEJz7cXCDPySuMA/NMd/xh
Xjkj/hJrU437WzIklbY2Yq2+TW0xG16mz9G4GrSye5gVkVJ0O1Dc6w0U0D3XtiMxURiMWl9NUdLg
wilK9RMAxWSsR1w7RwDQajufxAqQPMwU4/KDD5dKd5oUTIqQmgUvtpkqJAaMGo8kRPfxkxZBUlhJ
veXwDHBpeikaLRGbslcm7PSsXnke8jleoGVFomknrdnBfwcfRxQSL5Ynq6bJNc3tx15jiEe8xlZF
XpRvUsRg1fDfDNdON2YfWPFBPuqL7kkbwk6uIu7r/GCBpylLPBT36PiArdkNyVCvyQ1mrjNa0Z0a
1T7QFYDm5kqf+s8wJ8GzmspkLrdOHBjvtQhy6NzMnUsBTR3ZIZEx2Usb5IVLMrLbT2CD3hUz7kZ3
cGR3pw0UlkGuFsQXFem+k7RTceHDTqvUdjimhrnnDEHxjimsLLis1tFTjg8AkO2coN+DV4XzM7zd
qViHtdM/+3aiVQk3BeINKMF+YkP57fCP2M+iFqUL1jQGqyY0cmdsLC0X4MwpnkddqwtMQxS4R7wq
BNzPIGhwKcWse/bqQWGzxQ1RrXEwDCAgBcZgksysp6FeIUmKrFU0T/772FXs572Pqxm7egzTwjFt
cUUwRDSb4h85uwSHzUcVjbRsFFkAHNfm3KYorqZqoW21IDlNjEHBsTqLYmtdY3v+qWSdbq5MOzaf
xsSJ4B5mXcViTzrgvF2hkSCuqr4OL/rej5K1z5Y2nEd2mrL7ZHY6rJK61Im7krI8I1assDDLehuD
a7WZHw1R8RIrscnCuYFNj0tm21WdBztRYHABxuwjwEcvXPHQnuknjslb6t6o4QWto6BoXqe5wTpL
gieKVq3RYiCWt6JpXZxTyUhp6jDOq5BMCxkZ00hvSzWdsgtFCXHE0EMnWnwh02llc+RqHrbb/laE
uD2c9pXVKmubRD+QKU53k/pUDT82WZRZsMVYuQT97dt+vekaI+K6o8ocQF47gjIFppKHHHES3LEN
j4c8MOCbkAi20C6g6YHgq4K2Nlyk7unodTyl5WtFqUHRSae1BBZfRlifKHjIOKddoZgfXdQq3NxD
ElWw94PgZmj18dbJsh1pqArmVl1Q01iB2kIm6tSYlhqdOeme2mtZvS51B8dfvcMV09MrOJGencyW
uu7NKfrM+sqOVuM4i/A0RWAXWJAhs368rf2k6VY9pXCkjRqBA4rNDWZFWaD6YWcgXt2ScHFfZurY
bMXc+h2cNyJHrxV6f9N2UtyzPOp2hYOieZbUhYY5qZJ2F8hayWMoWYJZWqSo6wK6PL4AQ8TyIet1
H4MG15kLtvrso1eK1k6Bhc1iDJKUAIjiNIUvPvJvj3EueRPBDwKLHjwxcFANIxVjgdQntUu2RLmt
4ywKONwL9ZfmRzimgP+rw9N5aCF8R7x+YL3S5+XlmJMFOOfRV11MfLsJ3IHeO/t4RqO9zwYCcgh1
EIRPytbMgtUEkJtox27se7t04HfbxFORN1Ox1wY3PGyE2VXNbeMikkT/njQUMkX+VPwqFWmAI2+r
9NOpqvnO5JUK+8O8ERq5tSiFDouZ0H+xd2bdjRvJtv4rXv10zgNrYSZ41u3zkImBs+apXrg0EiBm
gARB/vr7Jcttq+hq8bptd7dvl2lJJYEDgMyMiIzYsbend5ZqtbejezJ6NDYnmxqS2IVro/cFX47K
Ke2as26z2ZsCm0+ApCEgPKmRVB346OwQ9iJzNcZy7u8rm142sV+WtEoT423bkJRqb7iGYy8ScK3X
JK562zr6go/7Vfw3HzLbPHf/8wxBTx0vo/X/nrWvNeCg1x+gwGl+CDb5y+M6LvI/AxuOgpT8fTac
WZGvIcRZ1sVffnjFNSBQ9PLXvwBq5dfHZs0/tU9UlQcmnDbA/Givocj2hQ1Hdz996RJkhTl0ZPc5
At/vOvrrXyzzE7gutt/g2cgCWDboAfjoDof0TwAlwEy4gECIk0C7/+//4V4vX4vzL7W95uj3H/JN
dl6A6Gk4mwPC8OcaIL00sEPQXQIkQqHanGO6E1jgENgw00SmZqtqVEWtQUbdri10qaKuY9u5LrvP
Fldu+BuiOUSNV20KpXWerpfDVDfwIuWua/wWmUHNz5euM22adbP30UtRa4ZujmuLMqOOnHvdf0lM
dzuAbhWmt6lt0CK5Te0MqKyRKtJrq37tW53RhQBB+kEGDJ49HHTAEs0yLBI7o/bMogCCp91RlhOW
vtrdpJ2tiUVc7Rdiw6KLQndjuUHRkt4HgFSaN1nWU/mCeNPZlHL3Kg/V1Z9RiHVmFpqnLJOm39yY
VqWysNwBeDMXFvUeqyygg0wzClwauVU6VHWbjEi57GlDIHLmBXpy1qtTpQXC9lZdjK2KzKQkTxVn
QAhi92HdraF5HZjrAh1t5JVQ2YGzOBNsK8op3XoJBp4t+hxnZqC/C+/b0KzhzBeDPQCroaW4BqnF
LsexttmzcUxTYpN+YmbzxNlDHkq04Dz0UngtmsZEl2u32RWT/r5rEXba0JTN5ntFHA3Boq9vDWhV
q9WOegzMtWyAra3RnmtuSV60IKNyQymO3S8KMso82gsUZweLZgWDX9/lIkprl7wlG9uadXaXnC1b
y3yy8425CTMYU9fCLTYDBy28bFDPdiTmxwbZ1BXDu9GH9LWnHiwZHVxlLQXEfN9lIyPRieVVEz+t
3L26OYfTMyADOtAZ5yiBftWK7yq9HNw6xlqz/c1CQxuDkqsl0njQ41pSpKRFZg8u+0kvvWWCpxHF
KAfqWreXtKmPh4Xjo1nYJZqMdVLX86TL6/P9ut5PDKoenUdqgr4qi8nnjnr9Ur/NjFRn+tv6EqmB
LRpfS7uqVj4qJnDkLXvLR80ha+v1mq1+Yzm99jEG5r6nwrTeroK0gqJMIEBATYgNdN9G1GEAiUNU
9usHTdunltivN91sSfUlAtBo1nu0VpP1ZbJcL2bbFX1PaMRYcS4BjZODRiME6S9AbTVqdytnACff
ngxzz90k580gh1EQPri8EcyhwpJo9qiSklFbbCuWRY8aSq/hE2xKtADsDceZ0y3RX7GrstZn1qol
o1h227YGp66hg2Dso2K018p2NiCnPIbOCilfo7cizEZ2Ft7kZFdn48Iyy1EDNLMKbKCRuRzQwwG7
sdaubLHfmLPdghLLclB1F/2t28Dduq2QL9kdSphEONpFFmtaPirZE0wz+vqZxLlmx9KoaIK4Xmf9
NTtgA2LZLyCLX+WwZvEzXYzF2/rY8XztrP5khG0mqVEQM3/fSV09Yv1xvfU6zn/4r6B+zJ9f//u9
v/rxHX4kcHOMT7BgshxBhdD0B+bmby6r55if8BImoErYPeg7NwBJ/uizcGcHrhvg/yAkbZLHP/ks
DmmqvZn+VTpmVIPwr/FZR9gceiGZehC4gXlTdBDHyMSkI8vZaZoJ0bJOXgCFc1IwCBKYedydAOYc
EJU/e0d8MJ8FOF/X6ZsAf3SMAzLRdNO71cD0Vs0efo3Gz+om8QxqdNLEui6hfwaps0QxB+5Hr1yL
aNelAVsuROLgmAjXbyTX7eE6gVLGtdak1CCNtOocKUHNDt6N6Y++/b0vP7A4HJ0s4GlcOLQUyrEf
4cqQZ+s3LYPnsTxvl8meOmHrplPXjRBR2IquhP+1Kt0bJ7URXamGGnmzcNWx584aVykhmNB1bnDU
lek+JXF13a9jqtYwwmd9ei/JOZme4dIKutr3POyWKl+269DMVFAQI9qOtJ29zV1vNTdIS8l8iYC6
i/Pe7nkfOyvigHABj7ea1M7KM+P4Bbn7JTsaakYQAY/tRWF/QY79qlX/nxCm0sj6brZ4j+vHH8PR
+WP2+te/zOPN6/sFf3j6j8tddwafgPrCCmTStEOfMWv6R75GdYguLQUT0fpgjlUr04/LvceiBpqJ
gRjQ88mKV9jdH2PUnj7ATNiKTgnOERoYCXqPgtKPg9SvcWqqXYsFTxcyTE10/tiqb+A9FtRO+0tk
p8obrVdS/W4jrY6o4ZnjdE+JCrxMv5qv4wUMQJlBwljFAADoakMPzYFDpnkXdytkVsjuTrfkQYD2
t9n2ZUcR0gFfUd5EWoUbqt2ymZWNFj3hZJMvmM9fNQ////Q++IiPZt4XrxNXR/NPvehv7kb7BDsF
bYDgYQG3E3X/NP8c/RNNdORWwLoPmEYOh/7mbqxPuCYHASp6jvvMsp9mn259YsvEIXo4TKgoDOvX
TL4Dmch7qzrghMjlKMos8Lps476efJQ5NUpVJAojmNjJVPb7iyEtMt1GOLvdHlBhZCFag5Bet6Xi
FC03W/RYGus1I9v0SD5guLFAuQOmXJG1Y29T3ekmFMJ1WZy3Sde7staNO6WsMriOSSzJ/naVhhsD
qTkapfPP1abRrostyxs8wgVQtwptNFNrvS4HTUUZKTprMnsxjnp2JJ2i7qMrtGusuVsXC9HPoDxX
TkB/QdTWvjedfn2+Q/O+EQAGr5al0aTs7zKVTYnN9dWql8MtYJfp265sBpWoKO0haJJb2i0q1ebL
fpX1WxKr9uqi7tgOLc0S7jcYP61CGqkJFqZQoKF03dpFYLaNO0oLlMYWpJDv0ciIQdelxayotPbz
IqvYXtRbpT05iPrBZtdXeF64fEfFIDFe4KNYhlWCotxGOy8XRNtO3pQvZrxf36Yp21xhb3Q4t/td
M96bC9KCadlHIJOFPnJqOARIee+yeyivU1LI3WbLbjaJn9/N5G953K/tkq2sHkVRukIGmEBy6F9P
jTzZk9lb4vhtEtEe6SZtBImA+wWL/KtMx/9j/uRPHcYqxt+/H8PK4rlofvivyetrGufL//5h1KSP
+Uvz3qmpN/hiUwbOJ8g5TDpESWlQpnJ/imA5wm5noMJGmMscxVH5k0Mjs4IBGgxc2hbpkuU1P/kz
45OhQUahgfGxFWD6V/kzR/mrn02KixejbZV0C52EQPMtwuGv/Zm1WqUdEKTQQbzTphGFimE9QQg2
y0br2nNQN8qv0lxjz01NWht266FjThxAITvkhatoDIYJobx4IdApLWPZ7ocagocOLYKBtfEdy3ct
2ZRe1Vy1qxBr01sM68TPCcKqqYrWdMginaC/Gtf5yNxOF85oG/mAhOzUc2gI7SblfhQXwaIdxsCm
641oZtGkf9tcZy/do/3WPeYhgqi77CJePeysUbY4QUdjKaP60R068viGWyypBVlGSE9c83n32r8r
PlefDUfad9oraff+k156/afic/F580oynvrP/gk0cnSF8u0Ca/K6i73CEIhGgliyi+EWmM7qGZwr
eeNwtZ9BHL5TIBVEsEN9ObQ3D2nvbaeSVFAIQJeHfPm72foNW3HgXP3gko5bsPuI1ZhAxaBN6d+X
9YWbDjXYt3o3pXGO6Nd8/9a7cO8hab/e3yYPpt8Duv6wjmXVSoRaBhUAAjmgfHq5XSAOKTB4dSNM
XvgbT5NV8D7W+hed5qkJ4hJ8vj/NP8EEOWUV3KOOMVSw/sOswjeMAkxLbANwtzQMHpil320DyCEi
UZ05ZhjnlSvaVKcHzbTp/HToi1i7X3aOX6XK32+nT33akZH+jZ92RI9y8Am05sNqYDumaqQ6sniI
aBRLq42tcCOdEMicT5Oit/JY9BLMuGzlnoctY28ZoO3m2SfME8WDX5rc9yegKhjvVxSy3aD+ssgK
rXDra36Vks2TFkLEKQVuYd/v5HqqQRpkyfbafexeFpVQvTnUPgXfSfHBt5aMUUxT1U/oScMaWNZT
PM46pHg9ArbqJntdXqx1mTmoUcrkpjcHubeexDcayrt9wffktR2myN8dfrFI8veFSbJ8BfYNjJHo
o/mNJI6fNP5qjaSEdK6X0/UbhBO9m95sdblV9Qthjpfny4f9I2K3G0vmc7jhLoG8A2KeUiCY1rdO
KstUTPu1cO712+alDZOz3d12svSyy4rOFRFfJhQjiExtcU2SA3b0CkI5WSBojzpUFOwfViM98nqR
iN8ijr6Vz/lz+VzDYwmQHiluOirmL9rcxO22/k7nhKVZ3qQOYsAyTULKBbXtoeS1gR7kszGJvcZF
tQ2gq9hcrcNF6cWoTk4Q9Uzlx+b99DAf2ffvw/xnHOZT1uSYn/f3tiZfNzT+aMwUTxZpJYMt+tGe
uWo73Y3AhoelAVrbsM53XQXTLJqpw0FtIlZogmf7eGaf+kh1/J1z+D0+Uv+myXQUsw7UAK57zM+U
2AZSQmZuhaDYZOc18vpu70dzeao/9OQHHTmHf/iDjG85PRInbEpoHFaMml/fxdgoItoKKytEunkh
TbfYipyOSnrhVkMj7rqgAVs87A8aR9IgAvp+TxtM7SS2qOud69t6r/LoD8pGO2A2JCUsTUIasAA6
H9E6s8Py1vOqbEvpuJjk1SLJvUWC9rOVollGLuHjOaFq68fbCDzpz5dz5MPRIXRAFK6sEBnzTNLv
Bz0iVWI6E6uaU5BpSxXOS2MPZ0azY09o9x1gmeocx7FoQZ6LfjfLH1MaoSh/yVNO95vL9P35HY3r
MkvRccs4vx2R/Qg553IE1iXN5eqqPnPvnaE7NO5L9gbu2fapnXVhPYtPKBWcGnKVmHu/cP7kQ35c
sflnD7macUe7wPcz8pjipoiyXDOQnA6rx4oqO91Jj81GRLP8hKM/NbUUguT9sP4RU+vUtR6lx/7h
az0oXBzfVGoT5OGA2fDfkdVqSPKt9tvECu/vNXmGkNNaPDzcoBT0sTk5DM5Hn3NkToBROy3IVZbr
eHm5HkWyEtp4ES6H69FTOapHFmG7IwmQRzReirAXmnIhSkFsNy3nuXh8HHt+D8EgZJEF6oTzUtxZ
wkF1Zk6LrBicDOqPeN+/+OH3N+bYvtSdG1fQZYcFQINL7N+C7p2LQRCd65GfyKqQ2qjeyxwx8Ity
XJ3BDAoXS5+utpv+6OObd+pcDkCkdw56+Qeey6kJc/C3787lH50w3/Tb7+6/fpSlAMxLKjJjwrQB
stzOuPk8wskUoTUQZep321OLXr3fBxNUP1r0W6RuNa1mvNde95wBbzlLr6tY2sDyIw8ldvxdaRKH
idUQjuyBeQ3Kst3LygPuq5CqJ3mgTp3QkQn4l6+YkyNGfvi92fytI3aYAR+N2FGk3DiwwSSQFIR5
JotQY1ssF0PL8vQ3U0IDmNFm+ptnyZG5/MNnycmbcGRXf4+b8K0EImBMKtjk/A/lm68HGrCxvt82
pRV63mdk1cpgG84+Z2Lt3QcrT7wufdF4jeeePciLxjfF8OpqbkpX7LzhZCfvkSe7WYnhxybSPBCu
/GI2/HxS1lEslm5gAi32nJQW9kXt4Wikc2GLLoiu0eTeiZY+TX5rxsWkGbOQ751ZHWgXAJ6eeWYp
e8MdS38dmOK2F7xUQ/PB9jZyMFzIaoiqrO/eLNicXCz8i9tU0qDk78bkS4ajnuxJ13NGJNJkN6Rb
N6SfT/Llr0WILtoq6CZR8LqXrb+XqPf6r/XEosPg+pzUVM8ndn4tZgvPOl+L154MR0nY9+mO9Rwh
/Qew+rx9It0X13tN8Xa+rMWYLoMgesJVPy3DJoh5V6Tmw1g+n9szkU3PXa/v2/5ogIcCg8J5OF4q
/CagcXFEgwt/RuOG3wcyDhfT/C7mIx3PvuzPVbpMD7XR3eptPd4EdwDJx1zPcyKfHW/6sPXu5q64
I70l784vMxlafFwuitHWg05XhHccmjb0qCM96AqermAG5N5QAB/lYjy/ukDUEJKRwBaOP2l89bin
B0JMXrozxGqDjay9xl97k418uTUw/ZnY4NxX8oV2K5HxKlR8p7S7B/eTjZilI5tZh4PwtvJ+NlmN
wOP5ZIfOoukkn6o3K706iEbbcXtPg1ktykJs5W68mq5Gm5p/UvkRmzGw06A7N0gfrqa7sXmmPlad
IcSCfN0mgiZ1Pv5l/mCHizNXPA7fNuL2VruIPToSNSGqaSoq7nHpN5527z8ko7VPs4lfjB7QT/e2
3n68DfozbnNPdmK0FCGCIGKYyyE0Kic2bqp6/0tH9m4hHGWpys0+cnS1Om2B7BFXygXMglERotM5
67x9kE+3vnfeD+kMGD80I18fc4rBLvCldyLqO2UprCMn/k+xFKfuz5Gjr9dVte7qw/1Rk2ox659t
/VlPNKKSn3Vv7w1EJsePu6n0zZA1kAstWJ5Px2OEKn+r0Try8d+N1nej9Z9ptI5ixz9yUZ6yD0dh
5R9pPw2FqfiFMaesBYcxrduAho/izZ61XgAtx1gpZ1Z7Wqj8Iw0jQRts/I2/D/b8zG67oAuoPUl1
bDeGDsqjgZl/q4qUOraTKII/5iM90AN3vPcMqXt2YPi0DvqJj0K61/PbYf+yHbZDuIs9AhqPTl8v
JqK2L6j4GBvZr4P8duN10hHTjee3vj1u/celBzrXV54UdfHR1u9d7fCiiM0EW/5aysyjTsOenYgh
JarBms4B9YubR1M+0g5y2OITNISvNIqdF3jHyyQ8v7S8NYFRKy4LOTU2IpkO5tWzGe7lFE+L0uz5
9O7BISkQiWFK+IC4L4QnB6+Nm36Z3NJOJ8hn9AUR4E7a4mIjXtT9eFMndPWG++b4luMqqHh5eaEa
OpYrPwmWQRpmBK+WgI4gKH11WyKvuam8XeAEmVeGKihwZd9Lw4+dAeN5YqyPQvnY7aKcZiky/4ze
hru3kXD38Kg9E1euRnLSeqrCqYbRGm/9cpSP3LAcIXvomwEsn75BEqUkCo99e5gGSz8KVvyWk1/P
/MhLGHDT6wf0Wx7+VoVR0COZsQpiv5Epx3l2ADOBvx9mYcLRbpjM2PPSBKKdZVDj+JA7EIImQTWF
66ymfVpYZ3pY+9ugGe39nUekv/ANYQTIKcol0XRJDMbF8NA5q9hfcBkOXzuf6M3rE3FX/kZmk8o3
z5xQDzQSQemoDUoPwgAicJtp7zIyiBdKY1hKmYOn8aOhqK610X5OI9G0GhnTdSgjH7ZvSQJY7Dkd
fZwPYyEIz/0qzIPMD7aj9Xw91wJ4R8a80+zC2whXRuOMV8GgyBRWoefa02RKIElgKOPblt9Tv/A6
3rGlmrwWtDkxj9c+ojfBhLwTAagRFr7rO3z1uSCCdrV4SAwM+9PBNA6GA9kK53p3tgkEBBIjGYlV
eErS87SpOEpYfTcVf1pToWvKFBxvdt+5hePN7mJj9ZLYxVS0QYOhaHwnbDH4XbC46H50DAvWkoGN
UEfse3q3sQ+6p/lgSsNFqEnoEGXurYIs7Mnnlg0rk9YfoTQHRQ7bgY0HfYUXM5/7LMJUpuHYy2fr
2Xbk3HfMZ0ssyMPux7szYAceq2Lp54FJ9Mz+gtW7kxT/eUvrTBNz4z66XMt0PBitw3XI4gvMEPTV
CCKbEUV96R5WDtbuFAzloLfy0X062gvV6C3n0ba2QsgEDit6I9nJz7ZSuceNbz/vg9ZDjBE3at+n
oz1Wie4Uz/SUnVQPdByFIzdh6mXcPVjJ/NRrwlUQcd9oc/OWWMqlv/Bg9+Hn0i9Q5Yz9NGjCKtSf
lO1NsKw59nXlFWF0pV6XgU5Rz40vYpwvkDqvmvE6bK/+pN5BH66CitdHHmPjZxLlc254O8lC9awv
z4SogGcUPKJAfV+OYfwZ68Mq5CefGPuVbMKM844ZlzSoZMr3hDNL/MwvA86Ja8zxAigWcQbK6i+8
iOvIQr5mWaiuR2UuluOVtx/CysYnqZ+cJ1dS8Cz1yYevM+Un1OswtvN2mGFyldntE0CgaCdjeZ6M
MmKGKdS2xA+pGFzY42aUXq4urftihPnGt67nzbU+RgExcEMSNocgp2Nnr4IZm4fubcKcUaBjSSZ4
OahUyS250vHTsDjY6MJbz/c+1l0q72IwXujBMB87xkBjlSz8UtJyLzVvIVaXttQpKCRe5PfO4yAJ
Ij/yvdVFRHDS83q4d+W6KhxCHSz83TANl7i0XbDzMo6tAzIJXwIs1legXHUUqjyFy/xCItrPLxGM
lVM3KN9sAouFjGZoI3iI5pxT2x0vvSu6WnshzcAyD93LVRh7uPkFfm0hCUpg/pE+nYsSkWJJSWZA
FqiQvVk/tOUgROV12kz74dWswlXCiSdmW3wouqReLRPvXg9sLrrhBjV+ybRX62vhx4CfoLySS4BQ
k+FkMNqKW3WFLjeGU+b0veFmSD0Xl7thgXC2Xu1vvILUVun3L9Az4rMHvsD1tUL0yRrs5c1wgZ8n
LhuSCh81I3PcTPXQuLeenefG2z0vmZmNR0PqtB2O2FcXcq822sKQhF+ZmJDK8Wb74D5o/d6MoSXy
XIag1M574y5MffmWYx/e3lJ58UI5XV7dzB9X4uZmK16I+hYMmNwMVzfO3JuoaE8Xe3GpUiyNuFaf
gsCIKPisAeFhn3SPivVuB8PaIw3iqWmGktFwcL5khF3uVEU8vWNqqSGleZqn1wH5pnA7LCYFA6Ns
obpbiPzi3jNGM/aoCxH1TAFekd7bBuY4Go4ZSRWOF9z+rVSTiWo5U2ghV5JgmemwY77S5ezDryVk
PyxG/VDnxplj575HaojOMibU3PBsuePGTGU0VOk94Q9C3/Szs+XZW+EnBBEL5n7OA1wbl6AMtclf
Bwxh33P8iLfpnUhZ2Af4y0cm9SilY0FGVbYQ2LAGVGRa+bDDHYzplwhVLQoqKIf9SXev9h5qQRdz
nE+wHBq+HUDacm0Hugdn/BReEbmZLyd9fl+P6EOEAGZoSbV2HTlTYao9LYMnXWxusGJefnaIVLFq
yo4RsQZ5kIw3IQ1K2OLkAiqpEI4gbzNrQl1g7XgeljDUJ7CBDZVlXmGBC3yVsnVEvuQ2E4US5ME2
Y1BK66y7MK6Mq3i6edDn9iyZLkdQY90VIVRBvGrgqxQpmdXzAXsDZQuVHdYF56asLJ4hCRPWrYMt
/PLePX5bTi1Rs2OyiGGZNsNl4LLI1CipBCOx9UT3OxndbgOeRToXuhe5PW+lM+omWOYwvVr66hzX
QxK2Hom7tU8Em98svZQYm7z03fauDjceSpO8UmOZu7zrwl+FLuZlxSLe4bT3zKbHWkrC6prpyTgx
glHYPEE5wt+MC/ZxrH+1BVqF+ohsKLOQdKmKbvnZBmqkkbcm3NgQaqyJfVWwQU79ELBXAHlqkrHs
TpmIxAxhfLYjx9njHfMwZd24mEcePgTN2CaVVsV2cTMiZrVOfnxDWK1hYQchasxYzjlYyKA/VUna
/sGMLYndOeQZouA7241AReIoqeNVVKJ17UM3zV5hwJ7DFGoJq+U6wGAP2KYuuSMp9zyV5nl2h5kb
LWTGdoaxYiZkmDa14WXjCWJUFTDWvL/a7mxGmpBYcJZT/+CKDndm2OMt+w/bSW8UsZgPjyAdtyG0
WKN8rgGWzG/bsT1juFTSXUSPyEdxlYsrh+IAU2kO2cyIr8NUdIGrfnGonSjvEk5BbSLsOXTHfCnn
mtwsRr1LHPMku2mH3UQ5ZjXh1Dv02JosDkEFQUmQe/FQbQbhUZRP7LybUUP7QyzwQzzUaKww2kYw
NYK+/6wmckxQsA3hh+JcIAQnqw/jy1kZDuMglzJ93ZCodhndDYWQivGjY4epvA4jeFeFfGEec4PU
3bYuo1DNarVDru7U3cYrstlhrl8rN9S7Vs9Vf3VlM1T/tker0LhUnlPtBqOQbRS7QZ4tmXYnAsKT
e+xfqLl/32N/32P/xPiin8jGHQvb9Z3+ep/CfUjADPEfBrkhyHtUZtKYnQJlolZ2YpOnjr9DWnzf
vHzfvHzfvHzfvHzfvLxn8HrflqQyoB9tXY4qO3ovQ1tCmW+gBuSkR2GfmPhEE+Cpzzgq2PxDn3F6
E3ZUKvi+Cfu+Cfu+CSPu+r4J+9dvwk5G0UeFqt8URfdP2OPjFg1Nq5Js0FEp2UrrUPcoR6pwnk/N
M5W+Usgx6o+CZAXVXRQ7qSGW7E375I33nuUb1DFsck178jAqv/0lawROz/WeX1VeNpGvxUBoL3f7
Melt+iV9O9ySNtiQxOkAPRbeEvibSsionMeXPOtE7Y9P4b5OXulRrePPe6Uny1/HnSD/oeUvffDN
ye+Y6JdBhmojoPH1DnJbtwYM1Gs1+cnWka9TObfb25fbnXwiqVoAfrjlD6VHNn0CTHDLd1Ol1lW+
jzzUaO89Xe7FWcVTG0lS/bonzoASjPOz/KwJ3fP1nXFuzs1Zd2Fdl35JQrsCOdKnXNWQWhLn5+fP
EGiLc7KaqTgnFbUf78faCEzqeB9Wnk2qfxMUZEejQJfFCIZ/Euuq6wPRHtJhglcjMDR+gJLm4u3t
KhJXlAE41573EnsXb9QATK4hoVSfgfO4VbDNXjC5nZD4nm7EQr68rCTYD2r5ZP9va++W0gZ5QVtd
MBBOUCEb9VMdUVd/ccu9ONwj3nkd8I1nKFDBxcvHYI9vZ9HfjczR3j6NkwGiHhsLrLJ6TCj5yM9b
H3VFcd8XwTWNOHetWIrLTlwfetlDwMvCnwrwL1MQNDf0yPjQ6HsxJQ9VtmsprgQ5xauVj5SbupYV
OdfbF6A2u8NdewP7svLfdifgpora5ZdB9bsrOQqqO3PXszuDeoDzubxfvAKzDrfj/lX86FxoF8ZF
d974kAuhL28AsXSkNkCFTfbQ/Ju5VzQHWgaUIaqbpnsqnh2KfGgzS5hjUUxYJpLGQePC8Vso8R8+
HgFTwTx/sRl4d95HgToKZRCjL1gbu7keU6d9VSXQTD7r1Iw8ZApm8VLeoGEewIXqJVfJVTSD4JXK
XUxFSOW0FT7443M6NNh9dE5HYf26XlpmUqraChUqS1KJohRiBuupC45L1fMAxIhmeMCayDVt/Lpf
gATS77bBGOwSHVNUNqkCNoeijMmcX3GqYGKoEW0pYaYzakZETXloP9CiemIqwAV04p6q4+8yVqs8
0vpxj/NX1QKX81VFWuoGMwX52VGyVdUBVR/KAS5t/eWlgi+1VOIWt9R+wKOtzxQarblJ+anK26rI
vKD8rMrpCs6kyt8KZK/meywzqu9hDVGi5ZkXy+t6MKnQ/UENgsTzbrgCft1QwWy8eNqRpXt0zvb+
UEF+XFni7in8MoouhdOGul8bHMppJKHVGacj6HQ5MvAS8GvWmcIrtL451ggRcgrFb2W4nby8LPy3
t5vpaxZenueJyHPB+sNGxR7fItbg1dvAa0Coqey4ynkrv6++Q4dJfS6lULAZqt9VFUjlyikvklyv
D/VkSra/cXoZRy0SGyuPFzuTKQ+X5gGDQL/uUN3e7Y05rISqnsUC2SxMCYZ3PMZiXJUSOmR5o4mb
zLu5uSq8LDhcITbx4uUlp/dO2ciP18G3I8Sf1+ahQfPdPNK6HN2LDSdaXaZnlkPUBdIsbMNCocDC
mkHaT427Ex96ylseuvDefep3b/nP8pYn58MRZP93mQ+njLFxFDz961bLKbN7ABG/m7jfze6/l9k9
ipD+zbz6qUDpQBTxbnb9MwKlU0GnotJ+H2j8uwSdp8J+4yhA+vcN+xVF8i/DZ7hlFaMYVN+HLrR3
s8IuqiWkI4R67sXnFuTOWdENR2f5VTPTh4C8vVeQFH4qXpPZkkgO7IG3uQFGL+Mx4cUwG4PtEYB9
2N49d9IOG7BkcFaFTrCfFWRiVgKgXjtLDrgKJOQJnqKbAZF3nMjoogwRVYBItRIXSJNNadY8Ecqe
vLyj/dmf7PKcb5aW4aXWdU3pqhxTALpZk8VrFWBp6Jpeb4DIWHd9716F5goL23kE47K+ZvvBBiQZ
JhPngBVFS2SmcKCrQLWJtLDXiPUOjQuAVuD2VPOAtzoDZBVkswFbfgU52lAhV4BLoDzSZEyXsguX
dBAUutg6oa0jFe1/HMidvLijaOFPdXHmN5Hf70buKCrZIfSaG6iqhaQJbDG5uCWvcXvPPpqWCo0s
SBieW2RcWnnITp6H5xcl7TK6ZD9yYjuh3NYvNqvvzuRoiSCi2cCGz5mcBaPx1cdjePIyj3zmH3iZ
trqjH13nUaLANovY2dSkaipfYUmT+Z4kTRBjvZ5U8uVpNDfE48M0RLkV6zaak7KBnYYjZ0+AHXla
IcmhqbTCzv9shs3ICrJzY+oMnYk7zK6Wa1EMP7576ow+OuMj77hfDPqF23HGcNsGExJ6H7+99c1t
/ruRP/Ji66SwCqOP9agHkEGJZCeT2yfVTKZPLanxMweBaQ8VQlMh0VNPHwb6RMHG1Q4+CiLvskHK
962mK5+MxXZqSlQgyV6YMr3c+yj5gWVut/7i8uMTP3FfBsf7387RetGe+5JdPNA6dnFqg/1tr/Hz
jVHiH+/DkhKS87VZ8QGTNV3Ee1ChsGXJgtweKdSeuFYzY8/e+4m8ajASIZ1syI8JO3hCfVC88v/r
OVw3N7V4KIlpa8FZ0tCmMoQRu/BxLS7xhTQ4XZHHe9OEBizv7cTomuoufDB7BsbXF9Er92jTRVwE
VmXHyd8PxH1FAlhliz/P1F9ar1JwVhz82p8+qMHrhbXwPh6sU+tucGTG//3X3TGn+a9dd6em75HB
3fzu0/fI6P45p++Ruf6jpu8J7zg4ssG/yjueMsCHTNa74PvfxgB/kzAPNQgdIUy0SGztyALnSU9v
bLR5w6eI9qQmLCDuIdl4h62TV4QoN9g7j14KVaQ60bmga8pg/NKw/fzhR9Y53a+Nomd29Ndmspqv
6Cja0wu782cHZq+zzDeHOWB7Becf0EzVQTYFzvPKphHqaVJfLWvhorO9wpEDvKanS1l4ODXMYest
HoCkB/O5xnUY3tuKq2hDd6JR/l2JjK6cwjPllcY/d6MuVK1GKxL2cYAWHvwhS7pIKNKoROvKN4YJ
+58sWPkZEGsO0v1hEECjWOoZ3qOKoysOfGxs4d08cXOOrP6uimGhXDAyXp9O6h3NNMriTwpcz46w
Uv2qYfpnn7VDN43qraHbmL/0xf3fqliqC7ujt9wMlI8ohOoN+DzglSghcq+/dOKofkT1bp8rwbEv
j+hcPQf+YDaF17SAAeJXMP+SYgYlQ9+gOOgKug1lR3uXqrJDuaV+B+5PRxJt4X06BtpDg8WWV9E7
hXBg+AW9r491HBSydie2iH/HP/08nY78U7ZE1bBImE4au6RKPC3FqJKX10tCPULDRuReoP6g5kjm
56PPn+923p0pYa5Ddofe9RcYbPDhK/Fy8TaOmfWljJgMmXdqbE9OfBXhvjMX/0kT/5u0Ue8t0pFT
repF3pYZo3gI51WmQj3UoKnwbRVcj67pIaKXiAbyQ9AfM77XT08VgdnF2+0t1AOvr+hNAwQhlh2p
CI9+2un47e2NXsKroXzrUY5Vgzs2hFrP8ooWvZgWnZI+vDykwU3Va1fjq8jfiRM27+TVHXn0P9fV
nTZaR77+u9E6abSOwpJ/mdE6GSkc7TF/10jhm4H2QNd0BG10wzwkJ97Zy8XCQfe8wxfipRqWOzJ7
GHio7vZi/OgEmkjHJ2z0NylnEYv86SOPLjc2emtnZfCRUV9/6TQXVgq3RoBl/WRFtJ+2ehtmK732
EmTvg3wPR6qlQzVqJWKgWffbLUT7VZY3sqeV51lrPJVRJVvUr0O7nzToiLbaqTP+ZsDw8xlbR6Fc
tkoSe9FgOGEiaenDBZITyXJkiv/L3Jft2I1j2f5KfcBVgiI1vlygpTPH7JgcfhHCE0WK1EBSA/X1
dx1nFtqOuu3oahRQDSQMZ/jEkUSRe1h777X8FfBByDVOhx40II+v56aE0zUHP/87HvgHyv8PAd1P
t/AmoNMmjXwS4RaQWJ9N9Ae+PQ/KnensVHGmhTnPDXL0Cd0hurr/rtAL8fuwiZ6jot/dwZuoSS+j
beoBd3B1zo6/3l2dCRFvduD0c4hQLh9Psrh755LvrfvbsONfv+4/mMx/99Rv4gnbj24OAjx1uBsQ
yaEvbCiBfQHqGNBWMOxXnJczMQKYfCB5trnGHN85NNTFXYtuArFBg4Q/4JWco98YsD9QDjQpfX/6
/Ur9/23dT9vjjWtfsikIaIvbfIK3/nyOMBGVIewEpHEOaT9u9lMJPqK+uD2TLH6JQCx0pm3cX5tz
HnIe7D4cHs6RwPnWIYKG2B6D6E9P3++///5O393I53f+k8H512/kd1/pG0/6b3ql75nJs2rZzwv1
7zeT753WN3Zd84bNTY89qIur28vD7/fNO1/+trf5n/vyH0ITvznlP/ojftqUcmExqWa4JJwWiwMc
gqYExCRlcyWfXXF5noIXpbru0FI1gnIM/Bqg++qLa5AznDuevp4rDi/b3z/xe2f6befvv+9Mh+8E
EW9J5P8VQcQ73ujH4v30xv4F3ujdTfLGxupVJGlvzpuElKAS42jkRbQED2DLM/Xt2ScExadlg5x/
H6OJzgMAaXbVNXoR9+hlvMdsfvlOZPLuPb21pv8b7umNff1XHqZ/ShzzP0brzKsSr+3fitF8ex3/
1n3/2717dcI68cW+1Xo/f/eXrvdG8NpBh/iva501k3/5n23rhPN34zfjP3yzo3J/lzA+f/K/+49/
qTA/+B4qzF+6sXXnb+Oia39WroyxlL+Rvnztv/3t6Zv5+u3t7/yloEvpHwl00dKcpSxMsjzCDv5L
wZnGfzCIlEYg2qIJmK5xob8L6KZ/hHlCUpAyQooScu2IPP/Su4SCbkYYDSFpGlMKxfbwn1HQfdPo
AtXTOAPTdoYbSCElnb4l0OU6oXMcWV4sJIiPTaTx18rmyUvcd4i7m5V96r3ntFTQBtoi6nelyBvG
di3P9GsXylNdjcmwDYIu2SxSWeg8K6Jukt5Fr1HW0YsxIxod92LOwIW70mEtIEKTfazyMLiRYzMD
qvCdfs6rebwMFvBcdSotBgwWsIMJ8+B5HLqsK2Xn96gZxZ8liYLXSHsG9YYQSmykgfRasrJCqckf
U5LNmyah4vGnl3r7p1f6ebLzTSCOdcoA4kCwOMojqJZGb9tROi/V0LTsO1SV6CMjbVNaNSzzPh5N
VUZcaVO0oa4PPG6hplQn45fY5xB2V1EadkXA+XIfCBkCjkvp9ESSRvvCTIspZQAFeNVBckAGZCKF
M4aD+WwcwavVROvl/+A50jyL4pxAvDlP3tguCP/yNJ6770Nf1x90VX2rWeP3qpcYUUoCkD/x7qtB
PFGmLWd7PtXJh1wv0JfzNih82suycjz8XKlqOlWxi4pck8tJzvSY8dpcNO0U3bK2lkceduL0+5v/
NRz58Q7yMIKmeYZjE8Xhm+DMMKKYzfn3VldgBSdZdJlx7krvJnoZNqx7J/n6oXrxnwHK+XoQEQ7j
HO8Ub/WHwPrPweA6K+Fzmn4bmfoYNPFjrdZwG/fSHVzXqgvELqQYO4Ee5R4EjnLRu98/Lzvnl29v
IIV4e5JB7TwCPeuv0aiWdjFu6b6JVZGwCGSsQedt5fC1g57691VVAykrOx2TwMWgIZqI/6wjWvfl
KmL/OodDPW210dmlWuhN3KYkKMZVDZ+malLbtfFpvYmI62mx6kBcTBlNWvT7p8FTJ8BLmpAm3nHm
aldwwz6seRCMB60Mf27bln8IqgwSOaPK+ndAxTfZCtY9h1XKzjLAeQg1YPLmsSM2d7yu3Rc2mWko
Opr4kw/S+aNZBgjArgTqtx0T5HtNFgqiwGqJzragstcqU8l9ndQ1ZGKhzQ2Gprnz16NrZVYY34/P
SUDcdZ1EK1qQ4uwuyWz8tNTLfI0fmbKuB7AOziO45PvaXIVxJx6WLLuD7v17iiv/sJWB+2AHpziE
NEyiH6oLP0VSOBwdn0z8uR/SqIgrtW5VA8nCkIfIF2UVvYNkvAlZzksaUvwHsAn+BNv5DZIxSJJS
5ofPo8uXj3HF462HssWmVU6DqV7n9JU1eXqYgvWidlWPhovKfqBT25uCTrBHNOXTZdebQG/SvE0O
NmwbvjFRBIo5nafHgGQD6vRp5sDM1OSiXD21dyIbpodJj1CfHMQ8F4LG5MYrstWqXoeCdCkzxdQ6
tIIFbAKhUm5OORPjdxz/8CZOJoZJHZMn76zG2U78cqzyMEujs8R0npMk+gFq/7T4OhLRsuj1y5xX
06bhhmw8lgxjQqa+6FEos3Av71zyHKb+wyUTAl+eQfGMsDegSi1E6uJ++UKUyY5548CQrFIohTZV
/p7V+gejgUMDK4n3DJltnJ43kSB8tQ6osV98Pn1MDNooi95Z9RK2oIdbcww8JXwGdJLEGV5IlqpP
wsjmykfJvLxzK/T8VL8+9Y8dR2IodsN7Jm9upcl1mtU0/9xFC3lp/KpdMeaRuaXStHOxTD0kburF
p4+ymgkrgogHH+vWzh+pTJqyVfNwE2iZgEs0yKv7gMevbpm82eaTgOlxNaQ9w9asBV/bod0ibHHo
+ByHCNfSqXnnFUb/eGYx5ojzmkM0MUdnKsXT/rRtiFizQQXJq2poxyFFuiRfiTVgK8Yhv5m8c13R
Zi3iG5Vk4bbHufm2mCwvrIDU+CblFGNoJmwgLySa+XrtFrcNRS2yTYyneJ0F9999MsEe0GBdEEOs
9D6yyl433Ecf14VNT0NX0RtY4YkWMjw01SDumtp1QZH6bNKF6DIpCuJ4GkKJtWsP1I/+pVGjCbeR
V4+kd/FFEtfrRdR342WoUq2LcJILiqSxTCCWGkbyLtTKrVA/FcFR8C4Y3lnGNxDL2RQxyAOjPo9V
iFLsjF+XkU3OzpbTV0Nr8hKNJmnLsI5mW5Bar7ywAJXTTZgv+iLpkuWY1gsESlapTlIbjh4vQuUH
O3WgNqxWUi51P93zmlK0xMErfndMQCLD6AbivAsfUSxztrv74Zf/qbzmSnwxnYV4y9sM5ucE5v/e
9N/ae2e+fXNXr/3bT/4vzHXCc0z1Xyc7R/eq/M95zo/P/5nohNkfEXKSiBD0aqcJUpq/5znJHwii
zulFdHbsaXJGMv7Kc6L0D3R3I/OhCKnjODpPnvyV57D4jyhj5xAVZpqxGM1Of8/xbv+0MUgP/0vB
6LOl+U9LlJIQw15JFEM6E3PKNP2RBv10drtYD6vLMwxYCjdfyJS8JvkclspRdliptGUdh/XVT2vz
1z38nDOE4ZsADt6dpul5LDqmjMIUvh0joJFuTBQ6VGcrZ9fHfs5ke9RB1mNYr5I5ZvgnK5PLrvJ9
fy1l1qU361yFmKOOona4kG0QmxOrqDI7BEMZg41LQ7Ajk1Wsx6iazbbH2n4NOQ2rjYQrgxCyqfNu
J1XqyUumOsIOfW6G/kSs0N0mZrJvtykUWVHpaSp20Tcaejqyp/0z56P/GkySDeVqCXgaG5KjBJTa
6ePUyBostJFY0a+dg/D4VnrS3ydSNpiUnPs1OSGfRU0mtqpiR7Xm0cc4GFe+D7Kk9ri1ZYZGNPKS
lG0tDMRStlKEtBiaZJIlgzYpq4vcN7Msl8YLcNuuRqQX9TQlRm1cqkxTUGMiUKxXetEfbC4qukEM
le81cqU7WYfhDeU8q0t4fPKiNbkJ0C1pN8HK56te2HZXm2RKioTN6Ufdaou4q7NRd1vNaYchXNUt
wb1lzLOtm9moLslaEVpkiVxAVlmHzcsctskz0uRq21KTRGXc6/4l6zNzQ9ps/jzaSNgijpsMbM1i
xYN2swDjZ5h6qj+Tzmpkq0OMh1asRpdPFtAwK12gaXgg6FuihWF1vhkD3ceFGEiDPhnPZwzdUnY/
VU0a71irWF9WCXdb3kduu46zYmj8bPJhvBXeT9O91RmuWSV6eCFxV5fJ4H1bMnsW9eVLup6kcN11
Y20QnbJOi4c06s7jydzO7dbbSn4h2g2YjxcDUoomUBRc+sz1IKRd14ggPNJtY/brRNVal2u2surG
yGCav2bMLCE75fkg27WI+Er6kyejxkRlZEddjoOQ9laTrn8hk8RfmyDCu5+iIYJylFBUYFgjFV13
g0v7Qe5MVbXNNkjzytw2NmTN7YCZzWZfeb30bUkXpJl75xj2VxhrYu+WwQS8LzrfteO8mSll8y0Z
xlY+6p7W6jLGtscuhCIuPl10xI6MFH/9MFtDAdLLnEowNpMc31ytS5o2G9NkiUXfcM+zFV3WcxVP
60bkLR+PiN7S5BOCFg7UEUiK3fVpUgfPZqixams9YTczsfYvk5gStg2GGSiBn0c8dcss/pH3fXbX
9q1A7XKyg33x8RJBdTcR3QYnpYs3c5a6ZTt6nmPIeorw+8FoHNl36RI2j5MyOCqkX7wso7FT8il1
tWlu5yTq9YMTnbZbowXshrMZNqTMcwFJqUTaBxENgTgOXkq/GTzU0L7QJJeYGj4nTvs2Hdpvzgbi
uwIG8wF9bX38UrfZWsixCyGvFYanpgnNLuBr9sRk1OS7ObbRAx9Eet2NIbkavDrUXBcDEcCWKC3r
wcgNnXyE2CXdC5seFR1RE+OVREdVMu5WHj8y30yHmONduXYq2KB46aYxvQUsoW6HmATlqDNBoFks
lgvWhNXTtGaj2TbQbU3vEto+tEx/R5w0o+tdLPGeKAem2XVq86IVI5ZfsOsa1liVQx7N920IS6ig
s/uV6gr54kKSO9XpQ7MIs0t5/DzJXGDwuo424xo+9Vn3TeNFX6WDGzZ1FB6CZbZ7P/TVMW3Hz63T
NwzJ7Za6ud6QKrgPZA7leZuCdPb8ZnI/FC7IhpPx+WYIlsdZuH3vSL2ztahLoGTp1WQrxMnTtAe0
VARehNvchqJIxu46bVtY1ixL+6UYubjOZf2UabYVyGhLxanbojG/Khop+o/IJVnZNE9t5C8AbIEZ
IeSncQUrNamHk0tAtZs00dHnw06Z6nKFiHYRRXAGbFwveGfVTserLMYqRxvhsECijrkL5hSs2Cg/
wIXNG9PhzPJIn2gPOyrXbAdbFT+vqX9gCIILB0HdQ22pLiq6QoKVsCPHTBcC1fWyqqZP6ATvStPG
mGwYIlfQBDFo2MyYYc+NQSQP8g6RFGsOjtpu3HDKvtIsPwahOrSCgj7dav9SNcbVZVXjLdUzIcVE
2l0fBpdU8geWg3Mh1mthco9OP4ApvqgyjSF+L2TdlPNajzsysexuIHkQF8wNVxFPTrxp8+uxiu9I
P81lrbGZqnx8nqb0jsgaIIoVly6PD1PWoveh4ddUII8bl1yXPJJ73nu5ZQ31R+/VbRzUehNaCKck
EeOnHEjSAD8JTxU0rTgGff5ZTnaZi8gJ2ZYRcBe08MNAAjVc57s8W0LgAtm6jWd1Fxo0z2+4I2iQ
d9ZhBCrzyB3cCtsU9KkONv0CbEeswBQKOUxgdEjUvJ/CNj7MbSIfPUpuGrfKMyy1mYUoooR/zD0i
by9WOxZBOIp+U9OxOZlq6R9al4av+aD5pzzoezBGpCZvtqHvL2E6/I2xfbvpVJx9TLM2PEVr077W
lTXhTtd+3Yxo4wDNcY81WwzfAHtsDjxpKjCfS9aDOHqg2QOKwwE0e+Rco3FxjYKtnfNuW8FhXNW8
UTCOfOUbskz2BfMP4cGQOv3UJxTzMp1CCoTwEX6imaZdsvjkZgzzVxIPapvxIGJAHjrV7MOQd8nn
uMldeJk7/FqRjZyjGxLRAinSbOr3fTKBxcWNScnXoL4ZQr58zwdBN3nXNZiy8IF4jrN+LRtayQS5
XAcIZAxjSwqkYlRso4olUMlIKuBPlCg/l3iN2TORyl1rweexbJHzZLuWNOSOa7fMm4C0eGg6V6CK
kDa41tDWQ8zVm3Q/Ti1UeSZT32g0Ne8rOqefczI1h5XM5JQ1TVrmKWdbYx0kZHgtVZks2sMvyqUv
lFBoeCXJgBAjj+/SPrZt4ccVihM2aIYrwEUortYT9IS7xva72DTD/TD49UDxUxBLVV14JGKhmz60
Ddw+59OXMIv9nlkZfhz6kIEGfVWQX2yjpR6KVo1Av6Fn/NGOybRt9Ojojk9Bbgs9CPKUztAVQJpZ
CD24QxUZfSSaLLIwAWxOZ6u4jPkcXYVySE/AMLr7bEmfhQI6Y+0UqoJM9tCMfXstooyUrk32FnZx
H3Pa0I1hQfhgbEW38LFtOVQtQNAzPp8jar8TKhKHCAb04AYqoUHSqV2FyB3mUMRFD394kQ6B2bcj
yxHtqOnozNgWTDTJ3YRg+w7jWVAH4ENy4eL4+0IWdezV2QgP2VQBOR9Nt5U6BVFX3vHwSjYjOSV2
XK9rKpTeBLkUZMsrrb8MmbV6K+0EZpJ8aq/XJd+Nnan2aWNQVMD0kMXRZq5JP7jAIMTiiYTSSrC6
TdbJ4LNXtv5IjAVaGee9OqYhy6tDOoX5ZulVVuSBVuVqEoiQphrpcT/X3+BTbVhkzs37dF7MydfI
KiBQnZcM5fdC+3i+g+kZRQEnFO9r0nsEvrUZD2s4qT1AwRGMJlaAzYylaD23YjlVwCt3kq7u0TEW
TGUjAzCiWCIvHJdup+nMXnJkOt23qKuA4FCX5OPFlKxgYLH5/NSTMIp2vU4SgxpJ0IM/PK3cfTYN
2RUzaYh4Rk0fkFISIL4Af/ekmpClZQtHP5AaYax9tGJIVxG7PMwknCYc6Kz+nmiCLS21p58Ag8Sl
NQlofojPWTlEpofuTKBCUU4zyfc9alhjkQDi3UyDhuQ2m/znfqa93OVNPdWlSehyk8xBxk4Nz4Q5
JC5WAK4k79ILu8Z3QEpqkNQ3eWf2ZjLpqQ6ZfjgXkcpaaXsaG7acWq3Q0w9sZqtS+aUfXDhsVhdO
l3EHSL3EpYa7YPHzScZtVeSGqS0Vri0ajGIGheIzJmYjWzUlm2DUgcigoESFl+C7qSYebSeEO/ym
xuvnxdwnWekl8vQiptAoZtGgxZ6OKTr8sTMPLI1fAZ74DyJxqtnNs7TxBrGYKyPXq6u5aoMjxCv5
5ViPdTlO4qlKanEBqx5eZHqFUoEwAJdgNfd5NtDdNMbVVQQrfhPPbbqlQI0QA3DxGM9DC7Hytd52
ntZXE3LsjZUs+pKNa/8cJ8ReLkZNd0FFmn3bZY+SqeFIPGsu41i3j8D67W7tF7F1hNt9ELUQyKDU
gFAn9uDQasdBFZokaHbP6HzVOApH7XPSbTshEOmv2M1jOsM4DcuHdVowCtwSBBqiG2qzqVVlx4sY
GeW29sO0AWoe9oWAy98vdMC4eTsxd0nqKtid4Y4TxOUdRHKTJDgMeu52zLRLkTFcHhcViBD7vO9E
ycYufkpsFpVVi8RbcpzaMXYUTny157QyRAlU4YEbF/Lbakmg+BZReqWGNn3ilV+/yzwAcOkIWW80
MTfIIC2UvnC321xNmH2cVDgVzRBACtgFY35RScSKQeI6cpFlrYTDySK8rV6URpj1gzMy3rgWof1e
zUFzm6TdlJ9x1gYfdT0MGI9zji5GFtanUc3dUpp0wUDEIKF6XynxdehWv9Vj1O98LSIwB+mgdrt2
SNhUdjE9b0jkmRdzOqcBgE3XXQauTY/e6qoYkrOmeYcjHwEG/Jz4Mb73s19PytqkKcgIDq5JjJHf
Ei8pLTgyDOCeJpsw6t2RZrNQxp8Zb4aXWHFXtCZiH0I2QoLX8+pIs1Sc2p4wbEir9MM42xCagmjI
gxph0+XfY5iiB0LSb5ov8LoTRxBcU4uqAt58DvVaYAjPnmdGFFT27IshDjIQDg4OYYBCAorSEBJU
1/QXAGObozVi2gWmHsAIpzLQDgyEl6jqirng1nU7XBnSQSLUG+oqXkRmZJsgHu0znJs+2tmw63Fd
3MEEQ4eWfewZWi5zq+5zyZsrxZR40IlvriO/DMXUuxWrn12keC2nShpI4jG/hNsqaUaLBMggUDCk
kV8VQOLdpEbBvviRNa9KBxov1qef0UKxnPq47/eybbsjMbmIt2luJIaFm0agVVLz+c6ZKtWFqlO9
HMcpjO/XdKZorqWufXYTXnrZwY5dzg0J0G4ztgJZIIKpi8YPRO1W5XKyGVFN2tOhhqC9d424kxQ5
0bZqaPJJhVyBPm/RGhRta2+5LLx06pDSZg13ytn089xn83DZxPOalpkH1H2sbd2+qtYPryTQ6+NC
xrUpli7IDY4R4lKsXh2YqzlqPS8nNC1HF03j552WWf1cJz2CH/hQsh4MIs7vCM4sNmpaU5TiRSCu
qCV83KD/zNwsTIcvgKcI5K7jGUoxglXPg04f4L8JPMdsu6/zmBL0Hrf5ACmixtvXJsohfVa3yMer
HwBXrCb8XZO+/QK/MEEROgjSu4yFE7RQdGIeRTNKQFg1k3WJml93WOsBJUcHrZtTkK3Dtg7J/CBc
AEErHaPqhope/Tz2GXBvFeqwNFXMX12Paug+DqoQmVI1BQAblrln6jiyrH2eEqrjXb2GgNcClwIa
aHy98G2YWgsqUcdUvVlEhj8HGHXgFDWKZKXTofi0RAoOxqCaDYKxvAUYlemaLiU1cdifzpWVvuzm
2nzBbyPojyeEGmGj+hdXB9VFa3uUTVGgbvpmi9wNX9LHcFGbgA8EZGd9GiGy91ZtI6ujxyy0awnP
hI/hTDJs3nxacYaYlvrssfBz+QN4is/gCRWaHbOMnzhvuS9ymVB1FFVMtEJ918BbF0mlRwLlTQAP
6wEtKEsjSmCDfXejucRi0FCuxKOikqz6QuXTnNKi9zNwJ5b2wbpLddcERbdobm+TNQc+4/Olf2mj
GGvVoztnKeeswp+h1FRfALQm3SOjraUZ0l+mHk3o8fqN6zP0BtQjvFAglccNLvPAmiuLUt3wWbcp
MBhdAWL9C8sBgIVFok4CCxq1EeqyloGIN+2QVt0212yWBzIHBJKo8SiXu6Ua+pcgZvgCGkss05/g
DusRL18EQR3b3WwJ3kHSczxcwhZ8Ju/mAZPyMQ9BkRevAzCv2eRYqLExeCRnGb7f4T0Beu37trsJ
MEVACyBtIUQzzaDtiwLPB8xzX63dI6GjWu5gLrncWzQ3NVdBZLApa6TrzZX2SyShKpWhs+c6hOnR
l9PYjM8I/K17apOlMo+hJWu/m7u0Ozs0Xrn9SKJ0KE3W49u0XXGjZu5idZ3/eNQsy8fkCBwwwFCk
dr6ES7fttTQWFmXCPSwXUF3poAOTMOB24JKponIO+nbciqTDIy4KBfiC0nFeECAZvhdj3MFnRPoy
SLwrjFmiJ7FkIJAcM3nQIA1p2nTVD1E1zUnxfwitW+BtUYxxiQqF4pb4aoWzk7a/ieY27I5ZZ+OX
31cPfq02oi6GPpdz0RQHnSY4h2/KZHLm6N8RDLuWsuGmXZgIgadMyVLkJDVix8JRvzel+WYoBhfF
7+aUJjEqdCjLJG86bBBMd6ND8FQkadC/AL7DWEeF3fDNIL3b0HGNT5G3w1Cg9b3lyHvaINh5QC2F
m5vhTs1a9mU+kXgraTsW7UL0zrMh/jTMmZs3cT0jNR7WHs7eO9a2SFxc9hglwXSfDmG9y8MhPKGg
iUGUPJFGv1N7/LXw/+PxcvQORejlIpShGPRr6XENaB/CffgCObDA3u7MkdfNsLEsXm7RZDpfsXSG
vmvHh4d/8m3mIWMo+2eAE9i5FvXrlQcctUm0fi0mSRFYNio5Ajauv9VxjwQiRwlKvtOlGv5afD8/
LILWDE1954pciH6pXy9pWmHHCS1EMBKqul6jCUpKcZCfFrnGfYH58exSN0N6E8RTf2ozkxcA8C3I
pMfMBrvAdXNY1DWDMPPvl+LXVojzfWUh8GQU/VAuzGj6ZinawdBmgEMvVEWX20zr5VbWBuGiIRKx
we8vdn6jP9X9flwsIinwzQzVN5ynXxch91XSdTYciynXSK5q1TOQbi48Ov7+Om8fKkQnJriqQoCk
qPZj2X+9jp9WKXGmMIVCLOB2AqxIbU1XT1Du0R18w+8v93Yj43IU+wjdPBmKrehG+PVyrQ9FC3vU
oe3p7HjEIlB8QJvm2fxVDYy+sv4MQsExAFleEWNtfn8DaCh5s7IodhJUddHFhJoqOiLfmAoxU7E0
KAwViO+H8bm2ag22MopcghJkwG8Qc0TQXLS8R7mgts1LtaouAMYzjAD0UkMADhIOxMShqnhted1h
jqtNM1A30ybhBUMvw7nZkEVdGS0VOiMbB/tRDnwWyDFWuh4WJmdMege1h7YoTLQqPOkoOfS8D+pN
PDrY/j/rMvHk4GhRSDjHoBFDjYkCm0bLJqJbWepgsZ8ydFmIixaBLL1GJSLpN4FKvD8Y5Yi7VfOC
dc7tEnaPyC3gUFG6QXlwkAucrpsIvjhrCVbejlWrdwsRZ9c7V/izm4Ku2TZdFV8MKUvveO7x0wFt
WnFhZpaORQSLF+5nEp89sawRDdBJ4+Y748TeoQMPX5Ux/sr7pa92aCPNTtpYAMGRS8dLmTX5d8Jq
OHCssUAMUKHMcBpdUlXPbV4pRCZoiXtajVvv0sA7OFMa4RZiVaEsRYG/q0thejh0lU4IQlwWLOuh
jr0fv8UqQhTd5fUY3C+SVe7ouwnu3o5xDnCiZzLcdGsmNFryMnwPE0CStnQdWl9EOUKq0psaUVTD
MiwUcBqxDxZ0chQVqjnrobI8cEenFzhoja5wFPR+xCPxgCayE2j1g2UnmAOUattlIQcXzkRfLOms
wQwmBsDXY+57MOr++IZRRLjIiAIN+kTsPKCniwuRH1Dc+7EIKR46RR38/7F3Jrt1I1uXfpeaM8Eg
I8jglDyNGkuWU7Ise0K4ZU8G++bp/+/YeausY18LOasCCrjIgX0tik00e69vrSAdzGr4ZTf2+Hk0
V1Pa3w1LYN73Wz4g3pglptM8E9KgAv+d43Z8NbmNzrFac3sbD0Nd7WNTQB3Glv4YF8tNn9doC16d
E/bsSQrIss9X6+rHLm2Z86nhxU4ytNqp2kk6m99EUzhv1qQQMkyg1Titsaq38oqyqX5p2TuDHwAM
mSrYQgVMu8rzzmHDwCsK44raCbM+Y0+fICq+4R6Zp7SMLTuCE73N9cgr+PMkcT75Cg+e3CUEznOJ
8YNifT5LOTP1YaxnBO8yYH5PLFrLu4bq9u7P1zlNrj9P8qAFNLQErKj2hQ1y8fw69FXlNOQNJ8W7
lv+YBqL6mttu116keaAqcHOfwrXcbFtfx5tongYGxbc//wq/POIgkJ7HYibdgEXt+2L8E1+yBatj
1ZWHcDPr5Q5anCtmjf8GJBMqwlXrlypZeQZ/vur5HpE7Bo/R/BdrgY/J4PmNo8Gl8Ml0gGqp82tX
UN8wa5307rLu3k9JNokX5v1f1jnuE4ACz+/JfSD0GUc6M3aXqkAH3tIseL0Q6GF2yeJ+DdaOqeTP
d3f++Tg25wpgWLbBdTwBQvT87mqolWBY8jZMAkoRmHpTWG+awWz1pz9f6HcvT/EkNUg5OL5/2kn9
9PLSMallJ30isram+KRUnLWhTEv+IJgaE/qdXr78IDr+fF1GPj/55y/XsR0JD6W0dNl6S/fsBbLo
1V4fi5m9z1C+tu2+v1ql3TVEnpW12Tuy8b5kfrF8U1kjvihrmMrIyXX/sU/dbNhbem2/OE3eOXtg
FXVdoCCSahIH5Ru/mty3pvarV8FCdzPMYC0eA8Toj1Xm2MOuibWmzKa7x1I7rTQys8zMOyeZJtw8
+sTsZMFypfj4mp0zB+tHV009ZqvcavNXzM5ITK3XfJqH2MKQK5zlEjij1neL8Fmu1qxLsqcm0NUw
RKlsdeCGnuVX7tH/Xl+PbAysyCCkERU+VX58OdATG78GzsA01Md6M1dzs0kfOa2erAuIG2btVObD
GHajlTVI1ac+QdAZ/rz+3lyyXOqKm4paX9/JaeUnJKXJOCl1aOK/Cz8RyLjbPNjV1ejFud73ejDg
Q2NVUfM6fcXPrNPGYeEMtrukdze4Ei2hVTbDlUr0xZt2gqY/ZJtkIqvn3HrdwwfcL98bQWkCiVqi
2X7JAc7psGWB/bpX1cCNwOnQc17ZJAS5Xo6qKGUbuTVgj6inb2XpqhosZUpY+Fdtk2rnM+5f9Sqn
Y60KOexMZ0Z50Zh6pcNpqfhdltY12ULVGFwsW+I+9SabH5VmZ7HTlqfMldW46rruEplEa5pr3CSB
7o9dfpqZBnC8C+Rq7UVZE7MErrkcZKSXeequ+2KDTjOzuv6xJii6gx3zWmxxyvb3plAus7p/b9L5
9KoCzZ7AJBn7sR//f5QgnVzbmfL1q2zocGn4tCyfFtW4O197i7kY1i3wdkXZW+8t9JkHCWdD90ja
8fYBLqa4roXV4O83VkvXnG3uES+NOsxrMA+HMljiKrK3cYxv8poG9KGrhp5Txseuqm6yuV85CmQB
ud8pCB8rgjvkY/7Bv2zdyq9c10Nijl6l6ViXK0sn7W+TkqzEGOGM3O8vN+8yl8BY+OngulmX5fh9
5P8rgvShqfjfORT6DB/9r5Dp/4XoqOOyLP93dPThY719rLOPP9Oj3//JD3pU2n9JqWi40uogLxZ8
9D/0qBP85TrMzKdVVaBJnuIC/6FHLfsvPlFOiQDIZvGTgqXwf/Oj7Jj/gjV1WKiQUKi5gS/PgNE/
AaTPZ2othH9a3l0cKUzUASTp8zViygonGSyEvNheioomZ9scsrZekh9fxn8FVZ8vsKfrUER6rOgA
0oH3i1FjDby1rRiSYZYbGsa5O4+fgXuad+w95hcW81/vCXWYh+3j/pM+m4jn91QggjRtM4NerI6/
r01rwi2GfPzpPf8Gg32+SflxR5CwyqEVwSp3vvtMexeLGFxdmK2W80b1LY2hwMnS12wjYB90b1cv
3NcvzxBPDSYIffpYpFA2X8zP63nhyF63neHpyR7zUplly47Gu2RLlifLxZ9v76WLnT3E1l63eXV7
8Cih1+VYOo37tkhc+Nl2SdrDny/2yxujOUfb72TrCDQ76rM2Q4owWI9qQtc1rUUT1q93yay6F67y
m1uCV8Yjg1flRKud/v6n/ZCoVm9w0pFTmgCZrgvqr2NX+BzzrRz5QjPodzfknq7F9lXSTji/VFa6
I0k4RZgORlwCgKiIAT2/MKh+dxXJRpLJAk2WbMDnN1RWoyrXdeVUTiPFsRh1GYlY5S/YE93Tq/4/
uzm+dN4OnjUKHTpbHjXJ88s47G98m95eWCSpRvfpFw+ZRBuTDsdKTSPhH9sw9TdmUu3HpLPy9VUx
1q04LrgxifHbqq57cBZGe1T3QVsf4mWMdZhNdXmz1kJPoRjiUYRTg+8xGpbBw/HuFQsdrbbpTqi2
jRekm0Xybe6RsXaDuzVlpNijfPRKv13DrYZHjWpV9X8Hud22l1m2bXpXj43/PsGv9lKCzumOz58I
H6p9qhSYO88NQMwGSZ9apxChtQAvVKtnh2QHl2/obBR/Y3ZhBR5GcegXW3FulkVN8a8HjOujANN1
pVHFB/b8lQz9hAtlVmiHtqXhrDqUQ3e2XviKfzNgXCpPGuEOlRig//OrJNtmTfQHcUO2IwDW5ChA
SXvacTag9/nPN/TLbMqURh+IIuXkHaTcfH6p3FNDplTKoWfwQl/8ZSqo/pS7mdDr3Oy+VrGjXjhx
9jejR2KmVa4rJV1sdfYMLSCMhoqAQETBijTKZTpkmV5fWCbOr0I/WEqJNUMrSmh6ts9vLHNrtlwi
Po1RSxRgE1m/hJ0/T3r35yf464U0r0jZpwWJJuovffHC65vUou7IhZdeiU2J0Jf9cv/vr/Jjw6Dd
U4/09B5/mkObpW7T1IIU0NRf4TiafOfqKXvhw/vNvTgaQxUGMtehWD6b2KpZSOiOkRzl2auum4a+
6TaV1gv9ldOj/3kUO0SdnpYbJU62XKHOJmkI6LFNMg5ZC/rNvIFvgGgbnfWLqL44oAhw+M7+z08P
b875NdmzaZvN1vfLeufOmXrxEjV7sHDwfJYX9XZNuzatamvca0P3+1KPgfdOTlMc75y4rZyImWao
EUodytGKaikUdunAoLN8cS6YLXqN7J1oK8y7dqxApt2ZGnDOgWi7sVo/9YGY/UhUVJpR0XTFt62d
S7mbvKFzYO9oFCOobjn6mzv03c6z66S8ojhLzQ6SdZpD4W5aAIc51mvMEQCI9eZL7OmuO9+rYJEf
kp4XdBjX1GnBumLkrSVw54vOqb1TEltXgStZXdztMT72X1dh5i2yZuzPEVZz2lur8V3O9BLTDFLP
ogneF4t2pgtZpk+lbr1tLwKDkiR1iyO9bEU3UuWm0CD4Y0BOVmcmJg3CTBRX25jMQVTWrGMfykXg
t2wmbexDNS2qjbwtTQ9jFnf2jaYK/yTNarVvA7QhP8yHWcIMYTD0G/BtUeey3CW1N3LyYrA25GAp
nL3vnBQnNr/hwpzrb3VGh2EVyhzTup2xGpbL/LCxEFWRrLw5i7xpBTgKsaHoHqVRa2sHBmvTyA2m
xb+gHk/rKDC1+9nlIyh3lp68T0NapfMjxWL8EbJp48A6kIicfpte/w7IM/iyFMIHla+q9mEac2l9
MtDVD5ItCceH9K2uLhpPzPeJVlNyafKZslPm+BD3nRW01ttW14vCqZOJp8Hr0w/WauwmMoFj3rcJ
h51xDOXg98kun2e/OEinMNAdtd+b0HKqWUatALQ+eDkd8DRy2rEFJJzWKT/I0Zo+YHGwzQe/qAa5
tyYZc+5FSWlwhJBz14PllRKZoJ9c1DgMk3WINB6vUBZz7hxl2uICDWzL/2A1Am4buHvjCMc04Ts/
BXT8XdppxqkaudcOX2RmOes1TJZrXWrVZhNoMERVZAX0nQ5FW2x3PHeRv+OYT2F/7sq4HN6uGCD7
i7EVJW0JY9Vit8ar/5QsdeztoCvy+wp3gntZr4YHWwcl4Fy1xgUGj2pK7IOy5wLqci0qGk19ZvwT
nFkVPDNX5p97v1ys26mxcx+aET//lQ7agdbSOCbQn6k3mU+91Vdoy3U3bm0QTl66XShGvPnS2jR2
QraLnbcDaqYDEnoiM2/oEKQYgWviDDj9Y3VUOKlUjbtClF4V1qMEXkzbUfZ4Xqr2rXASySGhpanq
62CZcE6YYPOTvXJhjMNuStgDN9Jk1Y1HHdXfYOMuqnofSH9OOC/RrWZP0aAKfAutJmtsvvFgKpd1
nzUKHw9PuiiuAhlUIPuUekQWDVvzYZ0S57LK/WW8Y8pJ+4MzdSJd8S8YNSCt57Hq3vc+7bTha4dn
xRQiREhQjb9fvCDRxUWKuLsVjwg/guNO5iV7PU1lDtBvcqBYcHaRJ0mw37aixXU/OV0qhuvNA4ML
l3IrP8Y8Vh36phsXdCwneAgSeIQwycbFD+d1aB/JwcI4PldLosKtcUtyq+dy4kgV6XVwQpW0uohs
xCEIpYW0EErVsVPF4kLTtBeWPUe6oFy4sIDPu91Ylt74Zab9UgKxtmN/DSPmpGHNLtU+rgsQCL4L
9ql7A5VGYl+LF3iXbVWbQhqgvFwsJDdkexu35K21NCzZyp3VvM+HRJnLTPc+zHejyd2GOw7uStxn
Zgdoy2+fs2vhpNk+r+4HMh/mv20voYyBmW05DUjFbR+OjqRLuRpk6cgzxn5jlZj/rkw9xwjltknu
cq+sXlORWzW76Ti752cAYszjgopZdFlfXDelZm4Wa4+MCYKAh2UGRROXOCmX+iBMo+95UjhhXGuu
npo18eNINF75dWhbH+/K7CgqVRL+OaBW13V25WLk+WRpfx1p/vXsIdzc92iZTpb5ZAH05iFKYfHg
ClqihyWbWvtyEKIFC1PWdGNB8jpoaVkCLpro+DRYqqA8+Mwqj4M/2GZn0zZ+WJaaGtKIKeWwnTah
lOhhe8V+Wzfvo2HpNEBtTmZHqeU0H6pmgD3eXNFeYoxo2tDpqYRC3xqZrWGEtkcL4zdH+6BYzhGI
8XzN4MDuktu1uZG5j17XjfZo7zcn7jkM224TL2yMduFZu6rnJgeVvB2BklVU1XPXRjYaYPo1axgj
b/k1VXPZVZNf8gERh/K0pXSurweY7/E664cKBkz4OD/g9es6GrFbxB8k/4xDgvrWN5eiFxgqu05v
M4AJcULRlA6pivLWdpL7cZEq3btVokGXO2duIlw0hX3TF5bPIZ+T5+qo0RYcumnJALjSZd34kW3a
sdg3TmuNx4COin1AG4m3yxW33fSqLho3v9ZMPNl+cSTGoAZ1Vn0Ajyskmvakivmy6liTD37Qrtkj
LFQb79vB4b9zW6n4lvToAWuAW9Sd/SrofWytYVAvvX6DmG66T3HaeN23OY/H4Vi7mBsvElYH0uWZ
mLOLrRerDskIhLmxmFvEBb2r9G1XJHHLW/VmYNket8e+zHLrlEUSWGVEFgHOLm9OoaO2dcBG30oP
nM3KOtUDJBpWI39wApjrMSMeRNVezYLK3sl9yGx3dE/uTMh9/Kq4W2spQaQHa9rcqHLU6Fzms02m
k7KKmaM+0nk+6sZlDs1aqsF97RWsYRTJDXuYDI7vSgWk7EA5sClbU0ttUVoHswpb+n+3XabiHP2X
LCX0G9at41g0eRbli998W5lmOY41S5O3vrA6vklmivhau37nHRj7BYfZ2gZ0jJUuuEkAKAm/p1HU
RrOoYrkTK5ap1Bazu9vcXvUh0HyV7c06np5v2VqPVbUxRnRZChY5VZ5gwjkB7CwzSx1lN7Sv3MSK
aRim63RyBC/wJ5Ny18exn5AP2lZ7OyfovG+al3Zyo0JJ7AfPi+39FDtxBhRB02D5JjyHI3Ut25se
lnRZLPwQ7D8jK9Urh9wkCpJ9Zuv3zi1i9TlTgKivCjMyy2+Yk5nWXHdZr9y5Hp1I1lZxbDxUibBS
dPKjAF2siGAd1RyNpg/e5l2ZYq0IgETDfsnsp3z0rSDyWUrZfy6dUx2sesRnEceNey+rygWkQt3i
7OBOVP6u7HyKer8qXfIcpk2pEAIl0KjuMIIRtmT1UHp580n68Zwf2yTe6DAxo3IAQLGRKaWV5WEm
wPpG+E5NX+fgJVPv36o6Zw0UxVLu3TErOAeodNorrKDpGDZuIx4A4Q0RgScT2jT4Nc8HWf/7QtwR
IuGAHnE/kmZd13XFElIT1BlbhNb9MrYdUGiNU6gORVoJrFdjY566uVig4cqtonlYF8EaZRqfDn7V
TRHUbhMbQPrIVtA+9XX/ZsQKQ7TLNK52pOtU5LsSJh2Ym2/SCZXXy0cD9RJE7NbK64naRh9Ub+wS
CmZaqF6abP0RVvFfG8pn0T/UuhSGZExzEJtHopzSZzWirdicig0V2hrY9FxJBgcm+SGO11dN0sXe
IUsHi8MMTCw5riKbiS8bi2292wTRUxj0sbkdVjLz1l1al5s66qWSwO2eGZq7kni6+m859ZOOUiq2
7YDnLncuEzC393B89bTfFmbDN5TaCecpr3U2hG7jee+RtVP/QWCTv8Tq63Ew8WiSR+nky2OOpzwg
JigT9jEv+C6OVhxbQUgjCddA1WGgfv/ncvO8qULbjnAtFbBY0VYhb+95sZ62OIKTGg0OC6N4a3lb
fBEHuVOEqsrtt6Vcx4c/X/C8YfT9gtDfvq9tKK5zaXvCoWMXq8ex5WTlfd6srtpRdLBPBqYSL/QI
fnMtSc8IheSkbUNkPL+5wiNxBf9bE6rOlngWan0oty253LyifqFs/7VoV4EGtFMApLRbfznJs44z
BE8s+LE2T0FWrDcrrqkXnt2vFyERDSCWncNJ9fFPf/9TZyVvg6r1JiyOVTrm36rcSe+6ysyXf35D
v7vK98MnT2MGjuWsf0M4OqUNRQ40fDldiAyiXNh1dfzzVc4PHmZwnn4+LRUf3JesprPL4IMqAtV3
Bg1+YOLvaSAvbBHB+yOv75QV6XGt2ZSVufQnrGpwPvc5tRx5YYsgcMhZV+m8Ymlqvct1FKt/mYoE
Zyia7fJSstTvHokWZNFhKSTU5DwC0Q2MJammefD+8LeLx/qytxr/BTnltxcBpJQnpCWgKfj87Qqs
AM5gVtqZPXUIG1vT6R3pKPrfJXIxLbo0pPlMUdlQ3MgUfH4hAO+p7YaE9AxvGA7WnA4FqRvaijY5
t82/HYN06E5MNc064r+gPp5fDFcnnSu1daSPbN1+K60+Kkf92DmNvfvzF/VLr44JjFQlBfB7IpzP
ZxZHdj7ZIesY8vUCFq7NfMlyxqGZaZPcECwBbzkG9r8d96dZE1ycNvtJw1FnzxIH1ej0GvUgq0y8
kwTNHBzJ5/z91v6VaP5fFfFnuvn/a7FLcLw/veVThO0/0bS3HyuiaR/wVPXn0jn/4p/gJfEXKxeR
ZK6E8wYH5pP4ETDr/6UQQtlYETpnIxiwrP2jnLv8FZ4H6CrIQs9Wp7j2/+Qu2X+dJEYcKSIgZtNV
zr+RzZ8LQMQ6gbz7ro3JjogPn7i95x9+vshtsYmMCflgqw8lFv+rTWactRuP0/1sleVu7bblzq/t
+ZoNen/86Tnd/ehR/xzB9HztO12efF2byRUGEs30/MMcPbPWKpUGwja175p6Gz9lfbzcU26ZFwbe
L5dihJ9EP0WwGYED9hkZV1mxXPqZJrlb5+XDMpAQ0JRjvKN9FrxwV788VKLTuCv3tMbSJD/vx5/M
p1hWAizxCuv8ILC0hUUwVYqdr2oOG5d88CZdiQNEePCVuLXVfWF5PFu4eLLcJaoAypoPgs56//zF
9hntY7srKoiBKW8uZhpvfaRwiaid3jKJmYDUx3tyT8r3KsH+GU5uYR6DcWx301yTxpG49fiIZJdY
1Jkt8RiU++Yl8pVB8ZNycfotmZgCx/URjX2P6Lnnv2W26hIoEhIAOw+6q5Vjtqva6gXh1/n13ZMP
yVbXlmS1Is6fzX/tmJsA+0oRFhZN4dDTy0qYyLQ1PJLOsd/7YMivK5i3guKrmrfjMMXqazcN3re5
irv0TevY6V3mkysSte3UWHsMRvS4/U0E9yzn5RwlsbZwOpohPRZBWd8Sujm4YZe4/nQcgkmt+HPx
hQGkG/n5z4Po+e6YnEN8QISzEeKGuolExzTy84ZLk2K2MtIAaceiOHgF5VjLmKNRSKJVP6TzC3KT
+M0FcXYBpKBw0ok/344nQT7OutnIJkztIx48fJOutyNoAaWn+KDj7r7R6pjTuQsa+X62vSubzK1a
0/7waqp4nPy9Nb3wxTMjPvuUeAoBz8CTYEj2iY14/hR8Zdk01lY41E5l94bpDCvf+nXrC329yImA
7LYvX9g2nH++JzQHyoPhwTBnyJ8Nsm1KAYwkAUJBoZvL1LGLQ1320ws5db+7im9/x0kCKoXvIXY/
bajHTOk+h8QM25JYLXceOCnX670Xnt/vrsJSgIzMtp0N5NlKgC/Qi6f6dJWpTC6FGjyUHb/8V1o1
36qHh9LXLG4n+xyL3vO31Aa0/hcq1rDI2o8VEt8H0Xbyy58HhPxlwOP2oePPZliwe0cSOd3sT48M
uaxvaEZ+7oKRGd9OIQwuvGwLzFdPlDQVjZ286xOKO1px0nJ2JUyl2idiSqxdO5tyJpTYbZxblWWS
iCWy3ppbt1JDf9F7OY7mZRua9nKQQ6JpZOECoZ/WZ6AgqCbqDb2utrx2gEvcV4mT8G/l2K6GJHZl
WH9WW2wRIVL5eNG7eU3KbwddE/ppLV9vbTKhEZcG6Coe0/wiKbqAYBaysThSkRfSEvAGYLQjanP5
NChR5LtumGtOEa66nOZYb+bktcG2e7Gs3VK+w426+tHQ+Fb/qkyrcft7dNvNfhs3aeIcJ8LKOGox
EN3nYLGs5NB11abpPnh5deED/xS7IuvSaVev9ixp6DlVuxsa1KZdN/VrdWiN0smRqI/unW0svBOj
HSfEi8RGvcZJVtj7tdN6vIo3Q+OlqFUjdiRMxeuNNH2bEgK3NOtOZZIGroxF+qC9bSRkXeESOFjQ
dtiYJRQ7XT9Ht0dnGGufpIxOjqHttgjPaGtK7GdRjklEDI17gZBsd4eENh2uZCF5Pggd26Uu6IKH
dp/YH5oVO/HeZHJETyqU1R7EglC5S8zpCaqSfNX96qnkzbAsrHgZC/ft6mTIpAmPlFMtzKB7XsZq
FeGGqPd+QZr42s3u1O/9JC+CfcNv/7abOj6CUsq/xbCSpc8P64gfwBpe7bsCQ8wRj4dBiyri7V2B
G9u+WZo8JXSW1mxwCFZ0iVXiirt0eibhK0evwxxyKFhR3tHjbruDKJwi2ylkBkLLxGg9Cdrb694y
bdWGpuyq99qdqk94nKYyZGOaZTcr0FuD5kJMTsTM7Szh5HdUI+wC66+WIdxnPyxZeZ0lXYPununc
2QEAtl8mly76iQucLjKM5euOsB04qJlsg8tmS4m2aISql4iPayUDQVoijSYNcBVNbYnbf3KrbmAz
qVw3qrPF/UT3WFv7dCCdIFwIrRgPKR7e8tqIAq3eR0S9mq2x+EQ+Irp7syViCI0nSUlaCHcrIqJv
GybCumfRxsmRfFx9EuMuvLaU3b4CZfykl2IB1babBlClWiy5S8hOvK1aNJVL/NF1d5XH7TrdqTJQ
DB17rknPJDwKVqHFU0BYRylgoqfAjw/TmnrZPqkNOSZkSNJfJyvBGm6Vq+VyrBE5/btx6p33ntUa
cxf3JGC8FUOvsqsW1/7VZreTCkcz0buuSBfi+NticeC7Z3wTxFNYy/t8Rk+NimmZml28+GI6EKBU
f1iDbH7jolAToevEJHjvCWNAjOrpJCNU9zSj92YygsSrZi22Y1oYIiEyGrXlkYgZ7AFZgrqChWHy
3Qtdj8jwbE7Te6tdYxP5fi3naFP+wsaIqTSIMB4QvtmMxHHQsQ/8cQ/7o69b06NoO8SJ19FG+NUt
uRZpQ8Z4A3q0zJXc7hwifqASnVZ+sfGiiaNcAN4P9uYk7xayxkXEzrL9gmzl38BhZs3eNZh+FlD3
fC/qABycKHhz7YnWAz7w45s47wlCqxtA8rCDSHd3S9m2F8ROkQWGQlaXtIdr7z5zO3lpYZKdAT9K
eVOAXs6YaH0S+b3aEASWlfm0RUjAwRVZk013A8vMJilP3c69dGwT3+Mw4Y6nyk2+BMkobi25+e1l
pRvcbVKXPcfvymDcjkUZoF66yszt3RQPm3epPAPGX6s5IH/NW8s4xOLWfuzAHK7tSlRZJJuCzKRp
SstHsVSkpxkmseN2comGZZ267SED/x8jlVdk1Lkx7jk2l6/Jmc6SvbFUj5KD755mtqPoRY5SXOms
r9xXHhFF1xAbDtZlAqfelFXrcLRofUofSap5JmzKd8hEcnKREC2p88ELu8WxvjEi+qcVZ8/HxjRW
F84kD6gQAyZQyLQMg83uzpCj7eu45RC3JVlJvyosSkXjJYEd2UF1YouMrz4QMiDIj0wn3R8aHOMc
6vad9bGSyrpbT+5KYjosjGwb1/ws67mPD61sMMxbW6rpnuH4s/dzbmZnT1pV8pSzZtVXMnFSgQjV
tPgwG896jZEsCHbVuDb3dErQp3PyuflwiFZ5KIZFvyUUIv6G5YK8YKtlz/6KSmvRISdoZDV5nyb5
1usplQSDutXjysYuCJ2khz9Il1PJ42Wxy9EmVgIKGcddd4OHoX9FTC6rblb45s4z3sxGMp6ct2Wc
DjpiQtHv8deaNwpf11uS2qRAx0gdFdFkMi1aSg1nqGKcqnuJwQi9xOTlciHQMosjYTuddTw9kFsX
WGe+Svs2mHYp/RpkGNXOn6tJ1rwJD1KRRdVCQGeyH4kozxVHqlRkcMbeQJ+6QmDTXDNgMnHEaFsX
LsUAq9fI5wsLZOHgiNAsGVYBkl3o4zavbuUm6mznBcWC+XDMOrmEZbda4rAY20/u3ETWy71F6HjZ
RRjcBv+q4c9IblpFgmiZ1/7KKHNKL1nL3QIwoS/bnmCIctc4bsxcu/butzGVJO4sLaptte+LzPP+
4cn/f+Ppf31HVf+7aeO+bKav56aNE936T+fJ+wvnGqneJxsB/c1TsPePzpNw/6J+Ox3VQtbZqaSg
xPtP5Lf3l8ZLAe59IqQ5GYli+p/WkyTym5Jd+D/sGoJt979wbFCWndXlp4wHOq6S60PKBtRSz7fp
G7/B5EGSwnbY1aMbj/qTqzsL+skN+KgD8iFnHOLTqvdZHeRmx3pcoUtvFA7QMPX8uWd3kZ3OpWgu
0nV0BEuV79zacq363aBk8rlPatAuy9+sWyPSab3A8po4O2TU1jkCbVY9HzNmOPLViJli7k+v+jw+
MSfuUZqgd451WmRvEw1ZsTeyGdLDXLUxsZXSxB8JtwkIySESDqs/HJ4Jp21amt2GGdrdZZSPeL7b
huzUvnRJiy2Wau7xWsfF65E1H5xOub24SL2YceTWLr96nTveTqi2jYJeYzh2G8WxPWTvgFq2c/Dh
lHe8AZHknGszNSxFl2xzkhrwwV6/dKJfMODFvfiYN012Q/rY/Kotl+kVpxwhRA9s+JeoX+uKRJAN
/TPshCDSCME8sa5diwnk6I+nqCTbKHo+S1cPT7BKwiKuzpuSizYwPkgAmOWTs8n2bxfOoQzb0UYW
ybUzPikjFcNcB91TlSj53ofxefSTZf5QtEH7mnl7GnZi8eaK1oubWgfTNICD7ZLfuoYDBScWFadh
Wgu2CyPRXU0AiTA0+jFI+usGDN+1aHXUZGIHp2NLjPXaj5/IqOgkJ/4Q2BWvyS5lIyg5c71lTySz
yx63GFAYobLOISuXjzqt39jiVTOxLdXbuy0tvAsHZe92y7NdgOTgIOwMTuXvbbf6RCrJWx1nTqSq
MTKifa3WCmpuvKFGxqW2vV7G8cGOg6vUEo9l/5Vl7K5NHksv+yo5jStP7KdsrF9VExTRpl9DjUWl
RVxvFl+KiUVxlu4xTvuntiinsM5v23k9drLFmqzovFFpuEF9bAkOFU6zn5mCF7b7yQgq5jmHilMa
Qh2nR0LQXm266o4ONVuOrXQAGFsz/94e9GUOtlSFyeA80EJx75HLm8+53V+6C5+gnhfsN34Jl9m4
4iGG3tnVIEZEMPr3hSIAK6KrhXfSoqzfT2K1/oe981iOG9nW9buc8cEJeDO4k3JAkUVPyk0QlFqC
9x5Pfz7o7rubys1iRWN8Jx3RUncClciVZuW/vv8LJRxwaavul5qwj7Lje3TJ5XVuNNDYhmZ4biZ7
WyO47PzuKgz6+tbq8QEKrE3Qc2p2TrUa7Wy9uzcbGXrAvJt157OjvMrT7aTb28TZKXq5HeTPHO/3
ij99ThMdnyS+qWWwBb6f1JQjsgyCwpn3kdo+mRkLPiprB/55LBcM7W+m3j8gW3gCGHOQyPWWQc1g
gfeWjbshvk1N44Ceccsyd9c40pbJcqc74yHhTiuyzWs7lA/j0GJPEV8ju6MwQzpUsXEiE7NzmnCb
yrlnaEm313kXvay9oi2eOgkLqh9q51+D4dwG0xcVzefGqX5YQMXk6DqiGJKQRaHBGSr4EZoWrxXu
ramVUM80/ddQzzZm4CPkeOJM/sxBpXBD3fkuSc4ro+66x/dGBVqCDEVF4508DI7ebaO6ekZU1bPJ
GtFPZNoWSsdDNloH38xRqJoDzj35F67RTj2lHvYEWDQZ40OGs9SxBaTR57Oro8TY+T3ZX34Z241N
mCvbLla3pj/8NNBEU33bqeoDAiOqkLEqAuCV3CPD3PtDehqzCtI2baeD7/qUz+4YpdlBiYzkeky7
8XHkMUPVf7UQw6Kg7G+m2LzV5uSzSo1M0SO6sVTJbRKg7bP9lM0TCZLhwLXgZp7vYHVcOel8KFJp
W3B7temb9FZOo+9OaKNmnDuO8RFyD61KSYQwyTsHpEcoeRERzT5R3HzReuVblY2elWfxUz5Urg7f
W8+0h9KK7uTsZETyKUhst+y5GygsQN41OCkcuHosTav6yYr7R1UajjrHL6W5lyYIaVHwOJj9qa6S
q7x97fFJQoDf1U8Upt/00i+SbC+TVj+qw5Uz1Afooy9tmexQi20yH9Jw6yIR1zZUdY/XwXyyigW1
y7ysxNHdHFenOZZPqTF5OhmoYgAfUz2EACHZCJ9AZsObvE1VD2XPaQhtC0U8p4wGNIXeB9bOilVO
R621LywZMN80OGB+nb5WD3FVQusuJ6aaFD7VHGuHTvV/NaNxRK7qwTcHF5c79WtmmMlO7m3PKqs7
lmlyHdKccDztX/QhQ+1RkZTezEaAti4xs20zuBg0uaitTsgZXCPiCkGFo3oXtcap8dEsyydlqJHd
YDjQZ3uYgJx2xj3a/m0Uqu6cdN+ryDjJk3mvIKZXtfmgD+PBKFPm4++zenTm/M4a78izb+bmXs7U
3SBf61RdmVqzU8rQc9CZJ5Sx6+GrNrdaspGGusDuqrlLIBJ2bGIx3Rheo7I5scv9rsflryxSrrsp
MUmPzDu8xMFeRYeqBWKmjADms2OF7UIXmM+DnqqfbUq3tqp1klAuRUnJlcEy/RZa9tLVxld7Rr5U
mT8qS9rFcvt9rrsDR/riezL50RWYHk7GlJ1T2L9vJv2gpQ5WjnXxJUT4tmsi+R7IN3LpGdXxkUPM
BlgvwVXsJGwiSlawSRs9LZuZBaPXyKxfVV/nKzd3s63eqO3oVUzmilLMu9aket0KToEj7ZYqAi+w
ZATsztaQoy+1ZPGRklMwVApCWpqfPskyXgLbEUfL27mOWfwrI95LcIFqZ8taOno5ii+3oUyrn1Nv
oprdD+xrLgaP5mDcjFb9y2CFS5QZJGilLsSgrTHhWr8sqwnXhPadUn9GhsZhsnyZRxV8PRdT9uQ8
tP69HVifxzg5Vo7DEYdUwvjdVqKGK8HxGnHvPja6LSgut0KCHjvBc0ytzkYd+202x4cOKPu2wxhu
w0lkX8fyZ25if2R1wTw2eXXdkMgFriARPkV7TCbSE7OGUYfT/RVgC8ohK7ppyE8OJfBVLeTQjAJq
N0zKs2FWBKQ/TEet1Yud3RgnzuVHzWI9yKi/qD0pdxYuyx2ns12bOG6n9PJ9ULPka9y0o9GN8QFM
TdZt5PgIRvQ4Y84dX2Eqb9KeHzg9pXFwqBJjWyXfNNxlQBR9BQkFDGt6tE0IBNM3DcusaB7hifYP
URNDcKL4MPlqcPIbZ2ymxugWPTIy2RPSTCS9+Va2Pa4D/+rMwFOZ4JNeOaUFu9qMHAi1J8gDtrZq
b61GO6AuPBiZsldKE6LjeO90xr6VfKSs4aZF+DjrxScTiHMcfZ3Lz2Hc4I5QRyitJYU1SkXCrx+C
CTO6pIAhMzVMEcXtkHVoOnu9Vflk5pUdUtKy2JZ6kVodYxUzN/JbJEbwNvtSV8bToMr+Z6NkPSbd
za7Eqw0FPwLMf0zyg9BtA/8HFQHTjtPuoQz+6lV9N5Oy5HpuJ6fNdllcR+oxBl4EQMg+p+oDrR3D
s2Wtk+cXzkX7mXPrwa4f8GOpYWlPXFctRRYzVi5DCcShrbSbMlE/9dVP6LvuVNz18nVWtnvHz3cO
lghDrMPJJKc47s3wZPWvY7GfMD5AJs3wUtzM5OjxE/ORY5LdNWV4ZbQgvini+EKuz20WF4up2lON
BEZpYalJpDp0/Sl12Gy1wdFsG1dJh+6nbthMOC3qeLLQhRFrfObUwDsr2GsBZw0KUs1N3kcWJ4ov
WqWwHc7voxj6eaW2n1AHVkc87rbUc+9qXoHScVnf5Qq3B9xHPoHAYee0y5PKG2BKkxTF9oP3K2Lj
1WoAlzqUYG9z/ESdwfqrwYNikuRno2Nlm0v4dFXYsnKnJZMgwNEOl57NbDXfI7KGI+4PbdcPD3lG
+XPFouPr3G/7V7r1U7enbxVGSRPb80QmWQG6Iryh2siLYA4/5Mja5fmaGpifGSLPppB2Yx1yyGEr
lDucJlC4bzsiyPfB3+vz1pKrPW4l+2W/o5owvcz50IXqYaji52jkQ4HzDcfvA4mWNNZuwNe5FiiR
JjXcvv4ZyPneiADt+z/8cLhrteEQaMM2TvVtjH42KPLrwEoPJsS9OKQ2oH9sLC/LHnlXB4AIPLIQ
ijQrTZfCaXKgCXfKtlDzG+Cj5FssD3zzYe5/aWBqenV6rhvzhnqbk81keatnnWtoHECH+l6J8c3N
AOjYGuzxUNN2lGY8TGb4SjKfwgZUzUZNkp+r6qjdUhW2mRwydTO2JdoMF98yTtZofBunHkl5bHmU
KftH2GztTpulOxK3bHd+F5t8Sa3H1O53aQhMKjF2liRViBPS+lXLqaCw7Pt8UX8mV0pc3/u+bO17
hJ/yJs2C/CpP650d5DdaCZYr5JpFMacD/+EvUvLYn3DtrO0yg/RZmMi3fvBpypvdEO0jLS03TRXf
YNaw1cYMZaPeuH0oAxpAX4ZRzfAttJnP1bz20ADsMk7JgfyaJDHTgIYJZa2aUEc69jxa/qwS6Rnn
j6mGpD9AmsAprL9KVQ6EnG5Oak0MtlHkRfCcPSR7lEsY6VM2keHfmxIBbHNeBVSn7LgoSw/UZUak
MKe/rAS1cVH69ZUyzO21aqGNT7lb+Ck5dr2PMCpJkupH1fiupgK15+TmOoMW7s0FwVNVwTV5bh3Y
DaifbYnMeLar8YSBzN6q05z7tYNiDj3mGtq1MctHvXO4jrJvKHT6nAOvyxJMH+wi2sxVCKoa5I7q
NK9Z0LtWpeIVMo0YJsQ9/BfufR1Kd7L5GAda/1hpsQkxFVwwdyWWR4UUt4jwY+1T6+v9xjLhGrI/
JXloHqm7Khu3C0sTyToExOII6fvXHGEBTPceZhs0DSiGiN2LWscwMNnvjGC6HL/ZtqndfI3QPOBF
2fntL1/VfdWb4NLH4OPk2gcJatjU6iZ4EHD9X8rmRho7bGM6OEIDO88CqUWiTPpdV2Scp1LAfvQB
Xsw7B7Cgf5vrslwzYSjjTTuZBLOkyc0Vbk54WmfsW7/4PkV6+DaPvuyaVANSx1BV5R0XaNxCFnOq
nHxqedl1ELxUlSlKKaFBn/AkguqOxC7uKHRQu1b9hq9RYB6bVnNwNaXILXT9ouBwpAHJe2DTxDl4
mnuOnokzh1/iLFpcSIJi3icmHm2n/56zQvYpNuH+1xrrGZsxkEL77Pc/naGv5v3ve+z/n9f8r0V5
fD6teTO95tlr/QeKhv/hX0lNWfkfYC+waWTUY5ZiI/T4v0lNR+UvyF+YAD7RiGMd+++kpmqjpzMR
P+sIZGD26uRI/5XUdP7HRBiJWFlG6a2iDTL/SVLzTxUFjnA6UmQYNKIShIRfzQ1p6dVmWpx8mySH
3trVJV7DImL5u9L77+YFcUYel0GF3UQJlL0pjn48niYM45Y4VIpt0VihhdGQNeabKs8v1P3/qav5
f4+UHUGaBYqds29jlR4F29WwTaFxfRm5fGDvahaVRt2pMRv3bSRh3/HmY7Pbn1hB34oC3+9DACp/
ZoPxxTEKs5rJ5OImCyFaVeD6gzCedx+3rywf4z97kbT4nw+gehWiejoVnt50fXdkdxxA9azt4DPW
XOZwXUOY4l5avWvSvjqxdtj3pdRLP9qwkeQLQpg/U99/d+uirfrx+hjlQfN//kv5bwkvFUZoV3lM
N1zTDrIeyPt4SLsXLdfTw8e/9NxDhLx62LcGWFSr8DTWCtIdtvIrTitsL8xA4jL844ec+1zLn7/5
JWMZ5yaXhaVXRbmhb/BkLJ4pwOHYsq59QSrUtp09GmFBTxFct8VoDg/GnKsXzMzPdRETwtu3L6Ky
7dtaKjzcJfQX/IjnDBMGajTwuYGW5677DcK0QCVRCI3GLzyl72HOUxFwQIBkXhhL576AMCuAiiMN
bsWlVzD1PPR9DSCQSnqj3n/89oKY9N+DVaQmK3mJV4dUlJ6ZAAG6CyJjko/cINvdzjB7w95WZVfK
3IIW/SPVW0l0VAYzLa+stikrslQ4bu4HvyWb00aOKWHEgwHYxmL1Vy694pmYXlaDt9+RwqehoAql
9PzZltptB1Mu5JiF6d2BrWYsf43aZP6plH1CRlvqwyu0fE6xy60ya11YV1a/7mPYwuRi6CEolCSo
vEaCsg6GpbIeKcJzvn/8Lc58a1apP35nl85lgiamwsIryB81rIdI76O9cNZFm8iUCqJyTpTCKb2U
cvt04yt59oIYwP607vWFyaIdTLbAcVh5mZzGL1JYxz+GqcouzHfnOkeYKjoFY13wPuSgnQnpSik3
SxYmtKx1YWwLk0U615aTg4zybLmVsYBSguqzGmOudaHzz0xGtjBNsMDOPor7ypvqFoAkZj2cVeR5
ufyR/ED69fE3WIbKO8ufWGgIOgKTccsoPVJ/420nR81PFFaKfd0wdNPbETJ2dGFtWAb9O48SSVsw
n1uwt9wkQGIYx62BDq99spRxtG4wBm6VXcfvJY+LIiEcLkwFZwaBKADmZFkpWumXHmCR2DlY7QiT
InNgrl/4UWf6zxIiHPr+0I7aUKDJxJlshNaioQQfoIpxeMW0jOSYYrbTt4+/1rmfs7zFm+W1tyXo
qyNap64pSQn5ZaP7GAqH+cu69pex+KZ9hDuwl1ByenUCmH8Xl/jo6KnMtLKufSHipZjjWV5FpRdh
agse3ax2rA3phY+tLGvceyNMCPlibFREQ1Q2cCE9u4ii7fRHGCjRuJelJFS/StxWakgKQwxC8ixM
8pvUIJmLB1YrWxem/KWr3nsHYVrg+NfrIB2Ydsqec2qmqX8N8jwG2wxC+8O6bhSmBhObIrOqJ7bh
dQEaIZ4H/WrAG/HCnLDs5t/7CcIWIk/7RLbQFnh2NCXNVu8a3dkH1L+BAy8irD21JgI76fu2ElB2
PCVfgcVqPz7+bWcC6j9oiSMVqOjASk/2Fe4z0dCZ8RE3ula6i0ppkJ6ssC2Kx48fdiaeRNh5KamB
T8U5R6jGNo44R6InlWuIBBfm8HPtC7ODSb4mqsa28tp0knZahiiybKve+/jtz0yopjAbZE4ZIntj
eQ5N8AC71ul6izxNn191FaK0batF1i/IUJiMfvzAcz9HmB4mgyJeve4JX4zp8YOoXupOyS40fu7D
C3ODliLrrKplXzn0BcJfPxifNKfPQpc7xvFaKjC6/vhnnBnfpvbnLKdWFFxFBefyAV13/qLMtvyE
gjIkk4cbBLn50n5ppcy3Dkjn4BZT5gET6eNnn+tCYXrABxuNq8L2HJy9fjQjvIvwU9LQKnzc/pnp
xxSmBqdsY6uROcKUU1BzNQdKawC+RhUK96OgUu4/fsy5nyFMEQGW9tjlKaWnwbVElMQVExZ/5YUf
caZ1Q0gzYL2Slc4SlqPm+0+zXypPCC6r46p3Fwu/0EZGCSCDEsuReuBKZnjCzLY9rGtciPgQz5VK
ohjaW/zdQSHq8gFEj7KydSHiMQ1VoXTVdHujadeWXeEGW6Qrd8xiiSK0IMr0JcYmlI7qNQ4Qz216
xWxW9vvytd9sLuwKe3JU/qWH0WtxVxjStK+cJVe/rueFqDZnSSlVIIJcHw2/tDhBcytxHbSucSFs
pxx9t1XknITqrHDT2Ay2s9wm7rrWhaCN5dEnb+IU3hhjjtkDRuPy9WVd20KkttQC+GPKhBBaercP
nGLetia4oVWt60KkdviWcyuLR7M0GsGh1ahA68s6/b6udeEcD4ukTyOZfsmlkNtWTErx56DYaF3r
QqhaDra4WsnW3fEt7WGWleuAXdU/qtP7d5ZERFHksG/6kTSJF0xc42yRAJESzRWZepl1by+sxVJv
QKmZDLJIXEmpQweHhu37uglYF0K10krbChsV6+26useBGWe4ZmWvC2Ea5kBzHHPgRIZ6AWFHy+g/
cQVdDyuHpBCq8PsQW2IT5yUt4AaMNXC43HABOH5e1/FCsBqUCSt1XhRe05YTE3HRPEIOCi9k2Jce
fmfvrQvhCqqjQw3IoCwq7E9vBnMhWpmNUl7aIJx5wGIA8HYWnsLOmbVQLjw1UaqJu7xqGlDx4eSy
bqrUhKA1aivAzJQpIUO77BVRq5yM2P5ndPB/x5UmBG0IfRAfaO4DFte+nVUV8d7wg2rluwvra2uU
SR0bpCgYnPGTrxsnJTfSf4S3/vvVhYjFuNmi4qWh58NpcDGtSn+YpY2q5uNxufTvOyNHJL0Uuhw6
OJ7RMxSrEbh1veF08CXXF9mJ8zBXU+slVWtcCIPlrd97nBDHlKthXuaXrCtRGVtbTI5jaJijPbxI
VetfYkKcG61CMM9Sn/QxCF5vlEZKUHFIBYWq/zN+zd9fRAjltoHeliUMJgLaOpRl0R2d1k/WbdY0
IZS5B+9RaTOJlrZZu2NX1FcWHK51ratCHKtSYXSawkQx6ZFyMqFu4k1uA+n9eDSd6XiRtIOUB2vE
yUm9ptGocVXkeT9aeXPp5c81L4Qx9u9moyVN7inTkNk7/rX6AilsgT5XMlalVjn2HVZyPnXScRbU
D7nSPEpGnFzBTQ5OuRIAgET2i7hw0jUVAVMrUfvQFBTgbqDhxT8TCvEfWrX24xuy5CSaOjv3w+2c
JzZy4C4xWJRrX4++gUUwI4/bhzF5SYY5fYmpJlxoBBp2ALY+c4uBf4AXA3qVDlZfRDKGo0qfu2NA
waFrju2EPiHWE+OH4+OMfGwsEBF9ubAeR5yaZrBrtYWpYaTZn8JQTShl/vgbLcU878WgKozf3Emk
eUBP5lWThlIYQqKZHsKGaisU0lZauXhkQWaVWz0oTyr6Et+NITEEKCSkYfRUJI0UIHB/ndcXNg7L
6HtnVlCFCbSEeZqoWZZztprbZzDnKBHr6dUfKBXI54V1ETeJZqOOr5xbvy7N9EJfnBtQwuQ6YXSf
UxZZeBSpyy4VLns1zVP3445e3v69X7U89M3JxcgpmRySCP/vpq0sVLQqTlu5iW5uKLDxrufh+eMH
nfsVwqTa1JCoApihXmqrGRrFMryeHcm+lIE/1/wyjt78jrFBBjHrZeZRBYXpXG7piCWdS5iZc60L
812KiExChwm9HSwiSK624SLK6uzy66rOUYQZry3mqNcpKvQwPkhcGdX9tgUEu24AKcK2ZcI1erAm
NfGoazS/+oHs3IFity5QZ870zVJ097bnKX2P2qFJUq/EPPsQ91PtGrljXppO3x+fv9ksb75rN8yS
WSlo3JLAyjsXs2f1rz6cYJB/3PNn1vrfV8Fv2pegLsOEnRtPHxM53qZl1RPCUWI73K1m6aePn3Ku
j5Y/f/MUxYiGhLpxfkWRGdepXE5PdhrNF1o3z/SREFphqo/44oWth7IXcn+v1LOPP5ymop6NIVEX
ZVxfck0+90uEOMtBLXZdnMJ7tbvkFDfSX5EzJ+tOCL+FLG+6aVYgLYfF6MMXSLEuMvHD7qFxXAiD
c59aCOLEaLiLw7jPo3ivoXgqswNjb1NjrW+zDHLshXXinOxGhDy1ZWmlDpxAr/GjCX100E2qi/dD
8pX6l7C8NvSmocCnL+PFnslJ8p2u4QB/NRrAS2+7EKndhVd592PZjiOsHKWZZ5iy24VnjGE17ixH
Lj6zgkv6hcXjXPvCsDb0yDJlR8o9G/JK3/N7wPheEmS927iDGeqfMSOxS5OxkQ69ACXtMyTxXYx6
/ELInGtcnLSKSOOkUtE4NGJvsrVor6hUwawK90WY9zbcoaB1hlVrgZfMBOdWYy7/muJtfgnXee7t
he9qtx2gvWpyXLuW5X0SyZS/ZBRtrHv75alvolAZUOxXre64fmTqX4ZRcdzRlubPH7d+ZrISYVpj
5quWLiVs15bKrmBMFnJ1rLbJbiiKqj9o6FkvsfDO9ZMwWTmV2Se2JNsLT8jcjTBNvMDR+sPHv2QZ
K+9snUQNJKXZqdKCH/JG2Tein1afVOWVgifm4Erw5ds9+b0hv7Jk6mQ/fuK5vhNmMEpakhhggu9G
UgVbpAFXt9HKqNJR1IHMpnKWmuX9x896t++YO4QtST/isBQaseQOfjyjPqemL91maJWVC9PxuQcI
8R3WCJzHRJLcOpdtbaNbbZLssrHK5pUPEGIcvYpal7Hku73pR1+GLJ8e5Fp2VvbP8o3eREll4HM7
ThllYlXB6ayfFGgj6qX7/nOdIyzpFNVjaK9PuSfBTqUCG+/vBsTeyp4R4iLJ8AFLfI6okID9Y81e
/KZtL2rUzr27cHRzgjQzZD9TXWyRjJEDS5TXe12r9DVSRkamEAUadj7AjLDKGebBWcpC/OE7Ox7o
TNgP5avmDtsRtYB2Og2NUwep509x5Fkw144y+Pt1v0GU8eWB5GCJYSVehhvLRpel9pQOsvocBHPz
a1UAiwK9crZCrWdS8vQhKq9ay8ypnm+D13WtC8PfVweZqjoz9oacdAYYwJFabrboVPOte4CwxmV1
Z1TlyAPkxuo+qVlePPYzyK2VzS+D9034xtGsErw+KCu9mG7VcRqbfY6mLj6se30hgAvVnzozbGIP
YhpQInvK52vbyChm+7j9pRv+Y/FheAoh3I9zaZqpHy3DMz9g0iFjQTVMxrTFdc288JHPPUSIZKsO
MPiafb6BUoTchesdldxqWkEw0QJSMruPf8uZCUMU6qEcpeJNHmMYPqWOJ0UFlqxRVt1ALk6Yf37p
xNSpbxrrmKLeCeaD4WcldaiV+WXVy4syPLV3xmTIaR4bitcqJKERVPqamzZeXVjB0mBo8fTLCLIm
LO+15UtMVXQpws58XZH1PoyzPmN3HXlBWOGmqgB1G6m1dbpnJ1aqVdkrfoMQx3GgzwDipAjIQthi
RWovXqG5pOGqtu4DCJEsjYMVxoYdehgPNfuqQ+XZj+qanTxvL4RxaYW2DQkv9ABAta5W+Zi6WHAg
1726EMQl5D9EQFrkdb2JCNlUFCzSw5gk8br2xfgFkp7WkhFSfCE9T5kjnRSsho7rGheW4RFB8Ih7
UUTNuyJ5Ss5xh+tD7fnj1t8XPNqOKJYLJEg6ZhqEnjVXTroPSjsstlbCCbavYOTAUOj0700SZNHz
KMXS65QpMhXsE95brffxO5yZl0QJHZZOQ9mbbPBhNVSvxtAmtzl1py/rWheCW9FqvJa4/ffSQVeP
VlNBBIWBue7TiwI608zn0SDD4cH4dK4xJzNcPG8vCp7PdY0Q1ZBJNNnCTseT9Ni5NgJuo2FIF2uu
E/n2QkiPfrU4SRWBpzj+L6MB3kHOJNyv63cxpLnV0NuQo3/VkUqXfY7+4wBQ4ePWlw54Z102hZAG
1tdGtixDhcm5SN+YTubfhpUE2ckvOgzFPn7Kue4XArvWdRUtCowB9hZYvsdO1jTbbkqbCwv/ufaF
2Kbq0Iw1CpldKzBgatgYINZDvFv18qIEjmIZ8kZ5J0EoBPOYZnq8iyd/XVSJCriqZyqNbRqncDDc
1UWJFd6kG+vGjmg9XKfl0Csx7kRhVEUnbaTEuZJwrFrXMcKeGnNDQFWlDVmjzcyDhTv1wceFdWW3
LyP2zY43ykwj1do88LS2+GUXabHFnnxlptFYBtKbxtW4pxRFauh2ICGnIhvszVjkkftxx5wJKkMI
Wa3C1LXzZ/JdpUVBla7W1PwXPd5qpY+jyMoOEkKXS7Z5oPSAE72pqV7fD8G+aIZu3V5ONCjoYopI
nbiANxfHcG5aJ3CHTM0vXMKc6yEhYBV7bGcstJh2apjjW6wr2xEs1uLJCthqWJX9t3EK/fMzB7Oq
YlDI7Gb2ubVNx9AduexeN6npQkLI6kaW8ypalqwER7N2SPeWb68SePPqwnIb5XFfYR3uu7WpDF+g
tZXeHGrt/ccjdBnn70z7oibOmqnHiEAjuEM56NBGy8/YBV1yzjrXuBC5RWmMeT3T+ChR969n/ic9
lr6ve3EhcP2uQITipIFXzn5yBEYbnjBRAmm7rnkhcrFfbmcLmLGry/kPeaqOaclt/rq21T8HY2vX
eIlFkQOgIk5OTZ1DlZMjBW3yuvaFRbbCbgvZ/iS5VTIan3xMRF7TBHTWutaFiMWDcnDG0HTcGbn+
KSVT5oUdFJtVrYtSuMwGtTvCpXCHSq+PWaJLG9gazYXZZlmQ3hntog5OzVV9UKISRsiYabsJZQiT
MmD6Q5lkA9SV5J+ZNfxLxWRjhvfnJ1aTMEdyATNYzSm29aPkZpijaN3pSxOW22iku1Wf+R770BGg
pPWYdRdPpee6SIhZtbRjMIzsoOAYtF9tiPjJXu0nrd3qJTUaJwPX1FWlOPSSEMPwibR+wBzdTSt4
bboOUtlC/7LunKcJIWw6/aRTBMEvwYN23LCDyH9Uiu2v2+trQhQbma46k4V8J481+WjCef1BUiJY
d4QTvUTwqisgc2XMP4b5GNeYpftY9a0MMiGELRyJEifjKku1o2ofdUq0S0FHrhueogpOi3ITl71Q
cvt20nZx41g7LW21NVftcJGFxbYY/ApDoFYi/6ktmNoeRldRBOvS26LxYmbNdWlXXB7NSuD3IFdz
mF4V9G0qtyzfitcNTVGSFVBwH1o+Y0fpVShuYTAcR9m0LozMZZJ5Z5b7bbryZk9bYbsHF8eX3KjF
+ptDYqa2122QBM0uzkLIZnmTwrOF/5XEF/ptidj3HilEcutImI9Gg+SGat8C9OkHD63X8PjxonDu
BwmRDFpPm/Hjc1wJn4tfxTwZz2VjKg8ymzl52ytp+UlO0/HLx0/7LdF578cIkV3ZPhMsxtpuIVdm
+OiHWuHvEAnl/n0pV9k9xiAko2oHQ5NTKFGYs2mHWXUOeC/Pn1NcA6JtkM2ps58SoPKPQRfp7S41
w0iGKB2aw7qFWFQa1sB77SnQJRdck/6tbhMUkrLVFp8+7oZzn1SYJBylCIBUjuxS5EADt5k6nuWA
PVvVuigc08uUDTkG3bx8/8vR459DlZTrOkaUjWlgazOoERx25THz5KEOjmqQrkxQibKxKpPtJkCG
60p9f2em0oMfYW6xrleElb2BezSAsnXcdFB+BKn5grX2r3VNC+v6ELV2ptkJOxK/QyPZp9MRDN3K
S3fRx4ny0GhsC17cVpofkRo/x2Z9Yc92ZhwqQvBPSc1dICX2btViz6IlMljjXJPXnW5/y3jfzJVF
b9lYhOess1Ghf9Zw574nAWO66zpd2In7LU5ABf5sbh609SYDVbsJwV2uW2h/Z6DfvPs4tbXBbbjj
lmb9sy2bb1MfrOsWUQrGhJc2eYkAReGQ9TlXcgixQbdy+RMVUnYY+uzuS8lVWjt6iUK/+VxFvrVu
hyA632IKwGWW6rCrtM32hnxd4c5mqu1XfVJRIuVYQY702Ldduc6Np7mtizsAIOW6AfPbiOHNJ8Xp
JB9yicFet0WHHYITpjdtKeN3tO7thXU6k7AezHpmAaC60OvHcrw1U/1fBrNnrdLVZW14Z+UUNVJR
z43oEODTOY5t9sNCi5DezF2hfQsBcZduHEz3OPjs0UFkrz4OxQcI91G+V0N/AmvsgBRwqfL5EcEF
qvem3mEGl7DCYpuu5dk240/a3TzXxnPUNLa+8osKyz0uLwbsysx2J22x7ykkp85xTR7zdVt5UW41
jhDvk8hiqYv07sBdtAE5dUhWRqqwTKdaFcTD3NtuMETsO5zgFju6dbknJCt/HmMTeznzTYrvWhPX
fEWJxCkz5nLV/IUWQGi9V2bfjskktBM2cYHi+3s5MlZhyWyuQP9svW+tWFEyw3fJJ5S3ZhnaT6E2
T49rAomrnj9b56I5t/yy492VSd1EgQnnt5HWiTBsUf9q2YEWZSPTrwVX8VWOcOpTy9B/WvfuwiTQ
6cUg4SfjuLCpPvlqNVCpgy/QusaF5brEuQAnLXYCsSxnGI6YT4Ovr1PGcfr7s9cbUyrgt7KzkygL
OGDzWt6Mc2e8rHt1YbXW+lBV5ZidHZmKxM2oLtqUpX9Jd7dstP5zbsSE9M93H+deMvSyQwPp9+1n
Dabdqzp30nVVS9WqggmbQf/nM6SomM1mcGx3TOv0WBp5cyoMYxUCgtbFeMWmFYM3w3ajzvymK+lX
K1tV5EnLQrAOuoJLGxYybjqbgNvTNj36ZSKvOm7bIpPNprCgMhM2eWU2SAe49gEJV03WVtXw8PbL
J3+zag+xobWWlLHNo+JtJ8nyiXKJS3LTM4IC2xbDNUVjZCpw6225TvfOYI8ELJTdHHOd2RzcVJMw
F6mlEFMOq0hToNmqYWGql5ec9VeFhi1ENcgVzsT1YLuDhOk9lzb5pmZRXtm6ENZSZ9aKL822S/al
fh3aafbkuZ9WHSBsEdqWjcoY4XRru7qUHk0Hb5nKHNZdfWIP/+enxzRPzfSEXH4RYm5R+upzl3bx
qt0aM/KfjUuh2TtqTX5Uz5xq31kUEuPP4l+gYi3j550JSRSAzYU5KzhQscevAgwr2kzdY535adWA
ERVg1D9QJq+2ltsP/8vZuTXHiXNd+BdRBUhCcAt007ZjO87BjnNDJZkZhIQ4SBz167/V79UMXxxX
cZmLYFrosLX32uvRAH9u8GiWUBJoa47Nmb0IrFqAkJ7pFBcA+sCD1gr9SWg1fjn2+rsV3XtoI3Xh
EBcsNuICiYsoJjBiDt1Q4FX63++KTNwKGDnq5Yvo6rOs5+a02PU906a3vuturbrS2CmJ8F2ZMaqI
bI8mHrRDvpNcfOvpu7VqQQaO4MSLcYcb/ZqQPmsj8E+ODfvuBNYQy4SQafJiKK18gbybPC1T3x8K
xGO+W6uGwJqgl1EEfbern3jcla8J6cZDV7d4r/sK/clfel/gdIwT28FEY51fI10jbj40NntRl28J
LleURAU4YFN1qnEHrTIYi1afjj1/dwSTUgScVsjItfHEXhsamC/96qpD+b54L+saq3EAaKTGNQWn
0ueQN/FHMffu2HLd8wk7TpM6JoiXy7AbUrlYC4JZfyzPAg+L/y7XqHRgNq6CFx18qE8JmMUfNEAE
H4+N+265DmVClBSUF1dFfT5UHsmdp4Jjc34v65pbbL9geSJHxEB/iODsFDJ/Ozgld8uVkm1t5Iqb
7aLHqUoNnKNutLGdd/D5uwU7V5Nyfn89XGX/vPXDa6LJzz+P+hvR+F7LBc4U6OHKlQVokt0LXIad
LBLlN0GRGHEwqt1ruqxrm8WTyBUtCvHY2AMaRiV8Lv/8E97YifeaLmTmDISSES8qnyhctZLWt4Cq
yXI+Fn6w3R2Xe+VW6w63iWENQEgRurDJ0avc3tiMrqRdpo3HxUhjqXJ4b0cENtUxPeRSj5h8t2on
ZeJmBNO+oGDoAinocyCywB48Nvi7VasI5CFxhR2nh4tpBpr2t3Dx3rOFf+vLhv/dcCyZZD+siLa3
JTCwv4diDxaqhxJG8V7PNagRrgAjEkaj8zTIxB6gVw74tT+Py/+KLL+JKtluzcK6NWp0uSRFrRJR
XawEve7WhtH66MW9Km/jANwFuPsPz9U2uymTm5UtuMfa/5b0qDYFExnHr3DkDL5VC1zLLyWN+xsJ
/dyvtewSBkF7s/7688u+sQnsVRp6kZ4DoRzHxtLMX9nsBSpt6gHUkcCt3rc//5E3PuZeejboicza
rXHRdmgRzFHK2ERWmbIk7wz5W39gdy1nPV42XBCrru1sv4Yba3/QcT6m9o738rPYIDVaVSGW0SAe
BrZadNC4H8eGZrfB2G3zot62cRFOzJ0Zr/mLhUHPsXsf3cXwcYDT2oeWpQC1ncKUsd0UT8ekh8rk
2OtfP8i/rv3IgoRND9MUYPo698poxL7FLZm/Hnv6bodpJMzF4SWHa//q6p+z1OoGSMJjAqX4yln5
97uX8EuBAF4g11WqCjwnCUlwCjAAi49tkHQXG2whN2vS4XTyNNr2awJoUavr97aZt+b8bpepBp6o
coKes1NjBugyoM72WMS0V6AlMDyYuN+yohx6feZmuAW7ITo2ZfYCNCLatZpLjxVoUV5QcAiGL5a5
4Z0pc80L/Gbv3QvDGgsYmBALL8K+ZTcL0DN/h6OxfkZYd27Rp9G55bOYghIeOfpgrprslhn64uHp
7QZWxN7ibhNN4zVd1mU5VrKK9yKxTVEwHIlkyIUrRB+gZ7PXqQm0fzq0zvYyMTi3Q5kRY9B85Fcy
QoCCJl5/rHod71ViAx3oGl6lVsTvolQs3S8TrO+ZTb2xCvYisWYLcXp2eDjQs2ufrpNaaaoHTo8l
cfZuaW4yAGWs6BqQ4IE+wjDQpawPl++HBn6vE4tRRqUzkrWF7cg9/PJdHggrzscevjsUtcNtcJE8
KkBTDwr4KzbFCG+xg0/f3ZWjrW56E9OogBd2n1aU/FWq5D2/rje+6l4cVo9k6MgY0GLSzXDSTQWt
G5mP3Tb32rB+7eg2wgynYNv0UBJwuMHAfE+R9D8NzG82oPD6k/51IrZgYRphyqiYgYTvLih6jrdj
BCBHGrp++AQ/p3FMmaB9D7ag8so0jmoz5dcKCIXRdw9geiJV1wOVt7p7gBpaL3W9Vz7quPWXVM2x
FMfyWOH+eEXGQHuDQ4IygmxNShjC4j54rEEyDnfHK4P+H9ovERUDiNI49p4VtQdffHewoi81mR1D
ZnVxZVgkYpgK3bL30qr/+/2/+4S7kzXy22GjDjHZTIAPOsWb0tUrTNxslYF/OA7pBIrqx9pXAwjL
DavE7Vy3uN3aK2wsHVk1+acomNYo96CnXvOZD8vnMBz98aSWgS1pDCQHCMBuW3/6JOa5F0Yf1wlh
Xxq0nv4B8LdvDqkS+b58HXgc6XnuR8WSgDyc6QBmhWlLDP37z5vMNU79/2PF9wVsbwaStV+QUHQw
T/RSEQoAvqlzyV8R7+iXDTWNQzsx3xez6SThySgMsKiqledITOZ7MgbmWAGL76vZMFPkiHZC5Ba9
CGR32OwjT3ewkR1w6t2uEPd2036IE3zBRM3UGHQP8eTj9vnnz/DGhrnXEgJ0DP1pHSOo6niV1usK
1HfIDuZd92rCGmT2KJGUFZ2ZfgVY1ClSUsf6kuK9mFBdc7qVi1gRVWWVald9ToL4ndvtW8NynbX/
2owbcIT9xCDDMsfM3rUw1seSBHL42KDvPipyxWHADVCmsO0fH8PRY/+soMi8Hnv67iBhIGhzxzg+
6UzDn4vCe+cVhGLvtci8tc3tVYVoQ5008g8RCs68+UDUMr+qJjTq1IpSJGkAOe0XSMDjB702G71D
EqMdXzRrYby6ovf9c+PC9kFGcW9y5C6Wj9pUwgfuWq0uFdUWexlqjhaFWn9aHoCcZC6by7mTObl6
1uejgW3QO9P/jQIxT3aDBXUxcOIC839JJIcYOarcP6ILwbGHVmfjN5WrmvJewCzsGZUh9wEymA59
anWgj2licbP+71RDd1dV0xKt2qEP9u51Go/YCw/OtN2Bt1alg0gs5IUixnNp0GhgnANRH+N/oD68
O/I6MidQ9KKyYkH6LjpYxJxkbPixWHEvpUzUXIHx4bPCxbDw07AfvgXEUh6szO+1lBtsABF0XbMc
vqx+Lb1BihP1D/+YS0W8V1PyajLjvKwMIRLlKU5wZGu0GA4Ozm6P6qEtr7dojIpSIOgFm7JqX0Vf
qmMl7r2ccuMTis92xNjrarghgo0Zj8b2UHgR+7t11wO746+jxebdbCgqomR22w0HmyfjvZYShLIG
oVBMcXMcIe+An2gKwkuV/3mDvW7T/z90if3dio0tuCVji2lDrW9otooWjskhOp+rW8Wm6J8//5Xr
SPzur+yX7ja6wS6o507hMH9eZyEIHKID8V69+I2Eh79buXCJZK5ROCaM4T9MtzZwDvU7f8scOgez
rRTsb+533U/FkMFE2zjCsyM/jCfkvxteE0uCWHJjRS/tT3DNfxh9zIQRoo/dp5m8oInjfmEFVLDl
I0ybWzRHW//QikPHxn/fPKFUI2ZFOOOmQHyIaRVcJsHU6di47D6IsHqd2zYgRTwl88MipPmcxKV8
/vPTfz9pIZD477sTGsmtrWoCUUnfbJkQdbfm6BsZXwcYea+HEoB8L3ODGdUkkq7Cb0BgmZZD/Zm6
nh2bOHuhW0Mr5mQ1k6KUXXmqZL1dgp4eO2vQuvDfASqbcg2moKVFGcngrGe/Q0Olf2yzhmTqv0/v
4VDdeU1Di3G2ekhX55nLHKiD5WS+F7qBGc9Hr8Lz+8Qz9xvzoQYHae6dMOn3exHfS9jgJmQDUUla
eGaOIEiif9srg/TPM/Oth+/WLN4czjIGB81SO3kXqLpOiemid0p217TS/99G+V7BNnfrGrQzUtK+
7bTLTKdslMHHaIM3WBj39GzDyXwTczj+/PPPeSORw/eytrIEBc0FMYFkP0AWoN4ss+mGDpB/rqmp
+6mLtbreV8ZmOgdrGfUSPphIEOak9IlNHXJMwcmyNpxT13aq+zTFg75TpfSbFNEiX27RTYdy+J9f
9419Ya+TE1K4K+2QFEsbjGsaQXbz1Yck4Wc/VIfcwgEq3iUUbcNdov0FuwLo5PkQWJp5bbu+cxy/
MX/2crlQUq9zzJHCLeF8MWTSTwztmcf2/L1WrlkgQRuFHxbwOhly+MyPt+1g6kNhEN8bpS09qczQ
UTx9blxKmrC+J95BoT3fa+XIBOVQxFtSwEuF3BCVhE+xS97rt7lujL9ZWXubtFmiXmLgrV20faKR
u2lV/9I606gUrTFTl1M/sofYVphBuz3CwjnFTpoExeA6TH2gwPXPeCbbwSm0O9ijaizlWvKwiAV8
xU5UMJDo+rGx79mQvzVHd2e70h32/essWpJEXgAVKHMBacWx19/L5/TkD7yyxEe9MI4zQSOe42Mc
U9LyvXjOq02LfCZw8Yvg42krfZY3ejhWgefRrhzQ2LWyEYrwBcPxnqEEBktOTQ+VsfleOdd4DbcO
yNqCdKp9lcD1pbwk3dc/b51vfNS9cm6LhaK684MiMnL+iqy9vFerfo8M9fv4nO+Vc3MbIx/S2aCo
+gF69XWw7Vde0fI73DEGLx2tV06pZyv/iy+GeS4qOJse0tjyPVC0JiHb5LwEkEsuqHbAATRD0Xi8
OTZsu7W8MKrpIsegoGMni6FhZ7S9HYyz9rzQbaziuFn7oFBmWr7QWrLzHLLxdOzVd8vYdDxMuMar
NxWv//K7YNPo7oZJw6HH74V1jtF2BQEEpwFS/s+jtBPaU8Pwx7Gn705hMcVzjwjEL0BDbs4aOQMU
DdUhA/mY7xV1BMd7gL3DL2wNMWYKjK8FV9KxgzvoXlDXbDEcrYLJL5YmKHO+igUuK8kxSQffK+o4
M5WFeikoIAOof/YiYqjbHE008b2eDhgr1s1dGcBabx1uFzCTChtI/1Cmhu+d0jiTuIW2Cz6s1/Ov
xpDml1P1LN6ZlW+c82y3XrnXVH2tsc3VGqaVqe8lzZrOHpRNqZFWviJDG63HFtheYCeo9So4RuEk
28h2Az+M7aEa5vc0U9eZ/puIZa+vc7UMwI/y/ALx+bp8IKHkj5GjG2z1CZurrJx4O5x8NKGE+fC/
WPXQytvL2NSs1dy3rV/UQOU9+MRVH8ZJmGMR6t5CzXE+x34F63V4qVWPnQV5oNm25djk2mvYplpX
cAurYezOJ3MamPgJ8J57Z2q9cYLuHdTYMMDz2WFdlHSef9nN6S9sbN5jNbz19OuV519FnKGNiQ11
FRZGUz8FMLDLkqh9T0YFfNh12//NfNpjRT0U1jXcW8NCgMdpoAaYu42l8H2SzZRCZbUMp7UCj+XG
3yjca9mq5vWqMfGafHNh5D5P8GOGtBaGY3/FjSNjWtMNyQe2ILOVbabV86kc2qhMQaKtofJjLqo/
uKSb6hSaes7yZBxKP7McnU4ZsnVTkkVDzCeA44ZaZvGowi2rVukvhZWyGzPZ2W4rGJnJdEmqMGGn
aWFTnDIA8ibYEE9td96Ihlhl25xvbtGSOps709h+ypRENeejqQDivrAaGYGTmBzYZyqMWJTWngzD
u8kJuNmKanYCFctBTR9rgEVefER54/d+ApgaD2azyMJp8dZMS+erX2Smbs2snus51fAXrD8ltfXr
1N+CiBYK198lXSB2eYWaFT5O0Tg0JC19NW63fHOYoMDVoT3lc9kGcCJTo6uHC+OeX96R3nNhplHE
cfcMPDWZb77byh9t219VE9ji1zBdFUAAoCYpo37AE179jQ8Xl6eEhCb4GYTlWD6QuIlwpjG5qnTw
Ri9Ite9T3M9LOzS304hMYLbCyNm/wH6fDDcBLEM7vKJv4izgo24R5kTBD8AY6ZZ5oBzyTFZe8Clk
Hk0+aqCnbgCENOyywRS9Aj6QrOWzC6k/35swlCjKIhtYs1vi2anM6q7yaQ7cUPtX3S+yPVVeLxN4
jNXB+GAV5L+ZvyWzOo2IJR6rRYH9FYyObBfnXDynainL8QS3MuPOYzWE3wIlouG2Wiis1kI76Ie1
L8Uz3rCGnquCbehrT9ftuRbjD4ag9Ify4H+UD/2GFdVvofnSdtP2SY8NfV42O8pTuFGIVSYidZf2
jfRg5RzAJS5tdBTmE4+8J3iGR5dmxG0CSY5kMNkwhtunEFqS8FLWIzImlkULuzSibcM8MAxZITiS
1TatxVajjrx1UX+JAiPuAYNu2i8Uds3JKRnE+AKtpK7zbYvk+E2SvqzPZOHtdh7iIA4/yVLP4Xnt
ZSnPCnVMTFrrL+2nOKxYcENAtlpBT2yMzVe0LEJXz7y1zil6p71U29XKUxITs106M67NDYkYpiTm
blXDh3oMyiSLsb+jlO6prU8bwZGlHKQFaWodEzlkNe0DCiFIs4S5h5v/g3CTjT8t7SBvB3Qlq782
M4f83HHtyzsqABxBOCgsCl8m+kcikfgzHCL2GPREryfu8HUv8aSn+4puEb6nW+VwMhvt56fZ0XB6
ZQxDkykDCS/QiGbaPrRb6L1OXDkYQsBZPnoE0bnWaQdLqy7VS9/5eHs4WzyIEcTMnC1Y5+ckntrl
vjFj4uf4mGV8Cqzgf5Vd20yvW4hMdQ6lW8zPQWL6DzyZkIuEMsL7gQaIIMpEtTbIatV1n+RhHyTq
5Hti/gDaE0q/nob//53ujEoerzxfbVLTkys8sxrQPbFRYz8zDKHIaew3XmYrqEzvtsltTTZH6wqb
qcAjPyeDJY4eneG6m3RBJE5XN8fhvAiM/FPp6oVeCJC49i6i/bNQ3knX8/bDrwZ8lxbGoEseVyAH
yDRi3dV1s1t4GJ/o5FHgF9s10rcwYK4UPlmMjqAJ9hrrh3gKAlR/ynB29wN42D/jNZ7Guxqy8vlF
TmE73Utdy/Wm8QK22OvpwOsgpV1rkAaOBQSlvisbna18nHUWjWX0EjMkLU+er81ffqmWfPKQ+cD3
v0pjxlPblEm+1uNY8LAHt32EP33kuu9XCUEqJzJkwqh/hA+FYArMAlT/MftWwmPvTFb0fLbox8rr
ecYVMu6TzNdTnW1qNiluY+wJaQovbxfImtckmn5uI2vhd7K8GODLwpRjMT8sQTxkcKBq8wpV2awR
C8LB2GMnTBlRYSiowDVb8+pOCm9esslE3iMopZBH29hhWJcOXd+p9amAcxAkBCkk7NPFBEtWAYiL
I8BUJ24mkoPb9hUnmLhdTRdmPlwVq7Sqknu3tmOVAnkR5AzV2hkuc97nZRI/QhqUP0ATCp+iJgJh
ffb6tPNx3IglxI7uizqj2m6fBjvaV0Cbprtehv63phf2lfC+zExdu8ynvPtkjMYPbLzkQoL1W7vy
TxOoo6nmRmc0ElEOJ5gwxaQMbxtooyDDXzlMhKX8CvMG/hjM3XdP10jZbhoEB7ksn1aNBoAo8Wwu
SnixDH2J4tSYXNSMVChrIDkgpHzqZPNEGrVmcUXHwuvG56F235nxw9OKLsCihb9k6qnR3kbSwwzv
df23N5YsVW31JCP6w4zRI0BUd0kSjWezto/OrcmYutmvf8EMJ3QnNqnkq0xohSwRfGTcPJ+YHuJL
YwFalj3qNWQYmswtTv+NlR0FmVPmV9c5eKT5sb5FcGJOjTAf/C3GYQVMxSsFMPZ7OfU3JFwfG23W
LGh8+hAtTTFQ96QIJzc4KPwPPBLuPLPQpP4UL5+mdZtfjVJbKr0xzrDGpvuSYJwEoo+0rVV57iLc
ZHwx8QzBhngp9bZ9alHmvuUepm8Nj+h8KLsm9Ss4fs+z2YqxD7+7KsKgLSJlSWPTjujz1sEJiMBc
sSA92R4CLyFobSptlUKON2ZVGITfYak0/RQT+QnPLJJBrGILv+cv0DrKiw08GK0ATH8RoKemhFN3
iba+VymncI3GQsPwjOGrqBMAR4BcwKSz9SMv5cZTGLhUr6rCgTZGdkxF35rkhDlyiqvO5EKL8GH0
hfxBBzvcu8gL81n7Z8qr4YGGCCbHsbllCNSyIFL9yY+kDyyXRogUzvTFosh9Ma1Y02bQN7gZsw/l
sjzUwvuiREgvWDynoGL8tC1jneoycOnK/DBTg7g1Y/mlrNScEWDaMxWsNm3AKESVQta3i+9j557I
N9pOPwgsbLIessMmXYJ1OKFmMP5AL6fOu9irq3RaanvhCjutt8X+A8zG+CMJBMVB4ZYXB6V7PovO
go1DknSsK9NnbpsWmW1haP+uobuoc3+yXZ0tDRc5QBNtOsIKEHtLy75XdI2rYkXFrIEypyK0YJM3
DpkJvOYSmnjONlGuKQkYS1eEBVno5u+4S44UGqMgjtIOzegNpC9hbEBtWe+YtLTNtZpalyUzl1lo
sCUGa1DdTuAxrQ9oF65TiBKj3AckNJ+u+k1YkoVoFiS3dRmIYulKk4m2/g7PJZXC86SCjSEP8pVP
5MsA77Ks3oAYwh8Jubv0pAwn2OpTek6MGu6Ynh7mLflau+Zh0Pp2Au3oEiX1KJ/Ra5p8QDxIu6cW
/hg45OJl/AYE87Jl/kr0hNXSQxg6L099pTaZB+WAw4GRPoElbyyDk0ZKrf4wO5uc29EE941smUjB
JorijCwr7VLqtQluGglBfKGx16T1CJtjg6H4UIKo9a0ya5ANiPw/sSSWKVl870Pr4pOo+R0CoOHe
I9qKlM52OQk//jZV9rZrRkAtGgRpCrHfIzzn6WnwtqK3Wj/C6uF1JNAtJ71OUjs7PqSA3sfZ7Ctc
XtqaZsgqWUwNZhEl+f5tUvEhuDiqPZ4Oq9/d4nYSakhp2fZPDbOZYi11O+TKbNUJmJwh9cJ2I+dZ
kRrB69USPY4rda4p7bNJ0YcBJbTUq0ST8nBQZ8MH/hyiKAicFZijA0y10qak+F+46abN1mLsdD/6
N6KubV7iBJ0ynyl3MSHmKUwpCUMHnm7/bkhtwqwOqu5T6SQyJAx3sLSfE53k5QojgRvDuPro1Dqd
kmkt86aFj92w1d1rR/X0oV/iCbAoVYHm4Pq8DWZ7No1EEIQugnOApN3XNuztBbtGe0ps354UzuuT
J9b6kwqS4ClATIFQcfPazOM8uanXTn8FaxxCNbBzQT1t+vpmoqP5iDvafE+DAOdi7OJ2BAS1JRlV
M4Z4rmP6eTbj8PcywrN1UF14CRVp/LRse35TIxD/AANZktXr4H+yelEFUQEaZCZM/ABaTNiU98OQ
2pUFaQAvRpPWbd/95Qe40iZu/sLWhOXSyB45nba5hXZTomu1rZ6bEtae6O7rhH+aeOBFaSSV/GWr
pfuMMqT+YJYZ0TG39jbkbYcpVokxTeLAu0kcEfkiV++WlKO8aYOOn5ChjdVHswyTPKkWJQfs2HyF
Dgj2aeVGK5HDm7Z8Xpjs4hTLcnxNNgEgLI2D7h7SlPrrUo7+N0YqjJ0wTftMiA1wkfaMh+A/ClAl
DZuXqG1NPifX6NrqJnIpb8foxq9sdDfMVf+dVSj0456DuAm3yvhUJvDnshoe9B7c9T70W8vGS2mn
Ng1bqcf7lcAhNYW9lJeN8TirTIyew+kkdYn7ThRw1ABK3J/ImuD+stj5dt3a+AHZgODHFYmTAnw5
YDJXagFWyFS38xp0LDVtZJ5x6MR9FkUWEkv4ZFY8bWEPXOhl7IoVnaE32OLiz1Jw9RI04QKYg3df
WojwU0MdaPRrgB2w7BeeK5tgx6TD2p5xFC99JuvpwYNuMkcQnvyNrtuhO2FWWvmgDEHf1LWfKVsG
JAwgUuc4csPkAfPkJ1o6F6Dkk4/9NmHebnI9sWhKulRuPXY4wZ38ApjgndMAeFZj9zIRJBHSdfb9
Fn5hsiengKrwKeCkn1/nhrXrGfxjinY2FQAP1LlsWWr/49po7MRRONRTrhafoU9pGcPvfWK2b4tX
zSrdui7xsLGVYC0udYWbSelVXwSrN6RBiAcd/txX3jkmUeJS65h9EKEVU77EFLdB5EOYn/IKxsTp
jATQmW4euPCQoPXP5eBszmUJKAyD5OBuCxuEMSFhf3UIRLK+KduTwM7yoOZQ4ftYAspaGVT8EtNy
uy3RYPg8o7p0EoTOd8yIZyiQ4rteIGGksCekaB9TDuZySOTA62bIOxh131C+KAxRHVYX3amqwDki
72enxzwKtza3tKJn6esIvVo+rdJy8abTqE37MKDIlCFIVs8mCvuzwb8zpF9kvgDHez0MDbIMfqi/
I006f4fg0BTRoKuc2EWfNmyYGenH6gY5NlzvNuRRkXqBILjfrh5yzDxJOEHkXETqc132g0ohnRd9
Jvz+eQZJISXz7LoU1q3RGZg+dx4UduQ5sH0+BRE5aXj13szTFKYjdpRHFk8ihXIYM9w2i0zhhkhU
HmCTzW1YBjclNewfaEfZBYFScqN6XBzxwCeq8ErwsTc5IkB2Cqb6GffW8GzUxJ8iHj/ytq9ePNd+
m6hE/aVROdORhXlUU34BbUzewCeqGdNmBSQ1lbAvRthH6wxtGLjsUD+I78RIZCY5yGdduGAXXOBd
isxdew/3F52GXM7ZOEHsuKp6Qxf5pH7OLOgyCzbAnReO4Vl5tDxHEh0fw1j2r5WVCKhX0Ftqr2K5
C8R0grmjfWq1ZR97nMFfgRmE7ddAlssQIlHhlvLCjagfpBEaPeowblqb+YujgZ9SKM2wh9PmtgbY
/qUf6lOL4PMajanU1TY6BS1u7CNqCdj9VY5rE8Nlq35qem4yoJPFaRXBX1FURcXYYorU4XCRa5ik
IUEIFrhmPsFe9R8H89kfMS4VtxEFPY0q1aQ989sTqgnmMTC8kIqtmeH6dRu8+aq9Hs4sCEnWdKxO
vWlbTo0kc16O+Fm+JFuBzHxwo5Lt44aQqzBWYNMl3R2n9Neml6no6vjR5wt+QdV/nGr2wCkuigub
kTaKvNcqYX5BE4msKiwCH+Yh0kiMIMWdKlMVpReiCSee0I+DHtYvS0seAnINoJgMMrg36xNUSt8i
r0ZIGavvZI7HLBj5z1p2cx4CJv5AfbVglVibSuumbw2sxE58QwdWrcJs2TqWLehAKra2VVnVwdVW
rDGcRIlr7hGf4JvicACI3vn6hDQAoq6O4S4BS0B8nNGDwb9fncttjTNt0HfWw7X6mhcN0k6b8EV6
/nDrL3Gdgx/YpogfNmhW5KsZKmSaVsVOtqWP/awQlsr2S7D2L0nHO0QMg8zmKmygCaza82wac2pV
+b3xFUTFET3NcJp8qEKgGr05eDLAzjyVNJpOYp4RwQkl07YBpo2Y+OxVa5IDSB9f6qEJUhHIV1n2
7MyjZSUZS0rvJcJHQKp6Fl9gHnwz4XOniQcJMKZ8dA5oif2g73Rmw3o4w538U4yyt5WVTp2YtxZn
eBPfTmCmffQTlWRN62NLYjM6oFbRDTcW/Pi7IRnYSbAK16POwGhtsSgblkFoM6aG6YP01NSnEdx/
viHa+Y6YVd1aIreHnkxeFnnbdoduJ/ExGAaL8290+HHIFHcm9RZGHpBkVfdTRV7MEjePI6n4es0V
t+u3AXqAbAnbEi+uyAM835Z0hhImhdJj/r7KGv0vXA4YqhGtPMuCZLXVciG3ukxwLs8QK3v/x9yX
7ciOW9n+ilHvqqZIjUDbD5Jiznk8mS9CjhpIkaIkSiK/vleUyxddx9dwdz01YBScJzMjIySR3HtN
G5BXHd+EFWYM7FbkTcBFPZm2BQpezresdqPari0f6WfVuCH3FFyzRxkuhuZtCWwvKylqnSxq/FRd
dUuz1BeBN9IM3V9X4M4OWII4c/nreQpJfZhYjCHDCCqX/v1M0vbdlnKOn4P0XF5kiwiTKyV9e7Bt
XM0oU3AAvk6dmOkROPoc57AknRcwRJ9bD9NUHczLJg5QyyrSF4E/ox09w3FPkTLxUOD8CqDAC73w
ovbJ0N6XcSzkHUNQ5Lpdq6ovbzBCuN8Zr0WPzEaOVtN0s2aXjQuHY5lAdI2FEN4QYojJUlBF9e0K
K6IEUrd0lzoIBrOz1J+GYtSDqo6kcVN/L4nBOSu4NcNuZAFpM77StXwZy8AfNoBAwa+IST9C6ELR
0ZyrrGxtfUxa06gE1C0ZaQiHI3x51wh5QkRnBk5n2cYxwNbPccLc99PaeKMrKou5x1ntOTN/+9zh
EMYaiZZt0jTD45im1d6UQt1xppw6JfHYXlc4lbAworDWh8kbmgejKjT/QWqDh6TrovuBLsrtqvlc
XVRNjGhfrEZgojrSC+biIlo+QEe3psFNF03+dXuOnt8OUakAv0+rssjrg87+ENdByy9xdmu+pz1S
jA8dbfw9ni+cXnKGEqltuvlaAC/4UP7UXsCW2IPREj6MC5jQniQY0Wo5Bh+gX6ozE0naYsKDaNui
U2Ep9wy7BUBSaMX3+LPh/YJOhh0Mcl3ZzosidUPDEVEyypQWRvdzcjF2qFJ/Igl2emhhD7sb1o6u
RdXjDoHjH4bPKTTEK9B2U+8GY9fjfcf9GBiRCsL7Iahk+71IhfwTlI6Yo1OyNB2zEpde5GW8MAyu
XcFB6LarFlRqffmjMUrWlxwzgIMiHRqNZVJ7gzxJj7fHVGt+IZADSTaYotKbDFPAyugmjsY5F2Tq
2VXvBcNU2Fqmfd579ScD6cFz5pdtv8FU9vouDSMGt7Tmdo9GlvqZCSkAHzOkyNAXONwycDX8u/Ip
WJE67ZcCuLZbinLh67exQ3wPEyS12xZk3DH0a+F9dz7w402djgNM0k3b7GIYsY8cXa4+C5mSJyLB
NV7YZrJL3rPVnz6UbSJaZUnbLsOVZ5zyDpGLCLvloQvrzSKRlrftup4esVfH87GvkEGXpf4yyNwi
qzLM14jFN7gZIQfXQjQKEZHAiYsQjWQouja8w9yZgWOjq30gDL4LAK/RSe1NpGeZc9RiECbppWza
0xSUEfkkwJSjrbKmSs65mwhZ/QhBevATyBPNbj0PCFBRT1SIGykcKMIVZ88uktFkz5+j3oZOxoj5
Cwj2znbgTOYRppk/QVJqn5ET310m85JsTefmRwgSAGCPOLxPNg5HlcPG1yyZJ0uJUT/BTN8lSsa7
HlzZQz+bLj2Ipp/R3vskJndDOIyXng37rsCarb9wD9yPpU3CeB9GnoekR7nKnHo8uDZra2/FCp69
7tBdZl7XopWgHWPNweMlsCZg+3WHChWATdH5bfyU+qO5RvHPbkALlTyrm9a0yAKdU/3M+rVJ8iF1
sswjQLjnYqOaxy/fX2dvy/wGY07Tiaa3dWvcLkZngMHbNfxKnVj4VZSGIBB8p7dkCS3DrrkmgPZr
3+9z0obCO0x+7DegbfVIOSCWnnvPMpop7p1CHCpm85qkvACb3JkbO/gxUHtnIvLRhKp5xXhlejGV
c+zlKcIvglMv6Qp1P3DrNl8BIYFSbBP6hD5uHDZWtOHD5EXjwaIDtrs4atMnpha0tchO6g+2cl33
1SKWE7HPcjiTvWAF9mQlDj2WdRyFcBJWD41mQ1b6Hqk3LjrHIPczmPlsXsrxHvFa7i3Ff8vMVaFh
GYOv+9PymsjdNOGp3cwoU+96oBDo1XgzZNbj8HnbcNX+scIehi3AJoDEeuzT7QZR14LkorWaZRAN
qmYv59DeL0uVvnctR/ku6TLdow6t7/1S4EKUZpUwJIKI/eigGmkyjuNgBB9PknSDFEB0d2EAykVU
pTqUCzz9WSCsukFH705D6OLTIhiy6jD+hIe0EJqVLle98L/ghQqrLV36mmNigxUY7Ach+WfdyemD
qp7qM70uzcEBTf3SsmzLjd8Bkt6OPjpYIM0dzl41coKjNlj9OyE1gGs/7oe+AJ+ueC7TCNtFxzwc
TQ6MfQmkuknnrPLK9BnAXFWdKo79A3CU8qo99HQaus9m8dHY60p8m6jV71w5HAFgA9fPWYOyzEPS
L7e0sUtygcMTbIY/dWADWeMz1LHTcvC8LrwcFlWb4zD4bZDXXocRO+NkwR35bdQ+9mDoKJ5oKB93
cLD4bqOIGD9DIJ8fXhez7pQi/7ks7FgDN/YaiT0cAGtV7whDMHGeCpDaOdasHxSVBB2GMtI1j50I
urdJzj05uq7kybYUifoEUz/HmTOpyBlP6Oe5/UhzSPC7Oe9VuVyTaSp5PoZwhuYg0rHXk3J6ijro
L7ZaJKbblcbDsRyEZY9MZBcBBPZAdqPaiuElLSqydHwzIAiObVYJAGyD6rx7WUEzZ9hdArDaY9dv
k5Av2GnbVV5hE/ZOZPHA6Cbz+g7cOFW5HxgHYJKU/T3GjuKJ0SPxcEmXOSK7wR/hp15CL64Axokx
eWgQPRAesMmyMPMjb4Ia22/ax3gx5GnwPCM+Yg0lBwwJzo2ALXgpC7eOMH+brk8u3VjNS+HrcroK
63R+d8AOXG4baf2tGhZ0iHIVEwjiJUT+ucMwnxweMt+7WA1Z0f4CR9pO0tjTMuBXr4FdAbaHba1N
9rIVSl5wvH2LXbHFiqjjvgebIXqIPbTEk4G+fF0xcmLxML1yRp0p0WcjpuirTTw0YXoM1i7z1tQP
tzJJ5acpQ8ABBBk3QRG4bn4AebywLan5PG/P2TpV4bnYQCHDZP+EKOPK7UpYVj+qmUiT8Sgd6Gae
ULzlCKqU4lb4zQhegjdA/rwWoAQeay6ByQgNcS9uxeXI/eaiDzrI3AmPSpuNPmxmh9H14wR6RKNu
d/PC9CappXjC+iDkYU4sVbhOyZAUK9pvmoeUKghK0GY8J9L56X5aCEKkmgQVTVbCljfcrdYFE6pR
vvTfft/ZdIs/MfzA5obJ2HUrwFnpTgeQZcTVEm+QSq+6DCkBTQwFT9gGWx8MtMmBX6iPkS103Yx4
EuYMWC6mY5AFTNYmqKZIFbUX4bJOsRMo2mNnPyq/YuGl0Gja0H72kztDU9FqrmLA7qdUggXLV0b5
tBEVCI8dsWV/vcCb/ZiU9TkLZJqCF472dNyOUIXMhRZ9qAqDLoQ8I6luGm99ZZf4VOslgC0ZIG0Q
br2psui9pQ66R9DjEv/SR0n36cW1IldgAZJlaz34UBUqUvinMuACOJhYxGTy3HCUEVCcIBj1KCxO
lwJD2gI0+gn0HnlU4aC56kCEe+BDGm/KQ8gAq0vbetg4mfD0fSBk8KLoal4hBF32KVd1jI/nFLQE
lHbzYfG7QOTWdvGZmLMJ/ajbbmY44SdUdA7VHq7QjjXcH1w2EZd0G+k4TQqck2c+QugbzMXUD42s
QXl7jOqrwWvwpiPV1DUw4dk8aa9CXqFehycbUdYUGGcyuENSdf2PtYoDlVdkrV2OG46tFIPYoxUl
ekeXHFEmEJWR2VQo95YgCG5jPyb9dRPKZN5b7ODpxpsa5ec4AfrLRLZJkkWwdn4Ci1nKPEZJDgCg
HfR4nhUUjAU1az9dGNk2162LQy9bBormd8F2W2CLku6Ecx/Pc4hmccraCIAx5Hzp3QJ1Os9NH5Mm
bwScDplaHeArxVCrHlPZEgDTdu70kY4G7SBaT2y7ietXkQFDQlyh6vFod74XwJ8oRnEZzFbYXYW8
VPljasHlHcAe4lCJoUeyGZBYX26SpJzJedLGLAoXCN+/mnEtEM9d0jbNSKKn+dEYZA7IrEmRVYVj
o43qG4wSqaDFq6bpAUlT/m2fMH7Dk3p5w6VCWRzCNmAOibE1R6XQR28QETLIFKJwsvBFj320ARea
YoyYZeWXGCJL8mWt6zAHaBC/+mllQY9yuWLZcc9djMGsL2zYgj6JzNxsFOX0daDC3pO4a+WTP4C2
249piZcExhgP+4VghPh3YloBo3GJ27YZiZHRqSLSX6+ThgzfJhzsR8LVXELhdO7TPewF1dYoSlfI
7QgXxRQzWpSkq+TGQ9jMd+IH4L2jMei9DActeYF00OE9dm2E8eWmNFWOIYrB3rYl5nNFMd8lLPyW
64JJMnPkkR7jmD0cemxEHknGEPPACg6tR39TTmPSXlIs72gjUlo9YyaN0g+JKYGgSwxlDAtOAnZC
BabJHaQyqHKz0ob191L26qqKaRoUbqhwzkknnskcMJXXdu28jRxqex9DOzDjQ1ToTqpKtd0mwCjM
qqDMhXHeR43DjqBZrTCuL5RDtsgIkKePc6rOfPCjISDpSJWHafL4CwFpuWZm1NwHfLUYRMRMrV43
Q01A6ixYjaeGkHTdtFPCLqNai+ehpyjqyQianpK4dBD8WbBCi2OU5CFalvuyHS07tN5Yl2B3dFnu
IXRxqNpin4KGrsBJfsBfoYAjp3ic82BwITtydf4UaPPFXbd60a1OOTDHkOH+kLItVEsbMOzjnBz6
FqIxpD5NGpcB6OoGA9XHBWc4iwegXCvje+4ZfomSa1q2M5K6E7zJ1P9gZdg89IMqgV+s3gBgj4ze
FudOI7ciDQQECz0MRBvw1MlzPVcDaPo41ijFkPOpQYiG4tXriXkS/RlSguy7k3tZO1ljGEoPaLId
k2bYpv48DNvaeHFTMHAJFXQrTODgm6LhAf4DaEvrdhzO1x1t/oNIan1vDYbZ35Yhw7JOIgzPytoA
rrushpxEFlGqmy/UbRNmrzGNyz+FNcr1JKrRagMxpHaDPQKofp3wFojw6AWvqFwD0FhlEyL2LhH+
U4myqwF86E8MCGtPxdZN8XolMXC9zceZjm8L9JDPpWF+B3yDTUWAQZNBrmeNCRGKlnwqeCNRo9hV
GZBfaCGxEy0+e4y9CaBxxXtzeR6R3e7QK1Ujxn2Db96CmXPqWMvBrAU4ngDko+gDsvdRO7ZFaL1z
CrwT+rs2dXw3R2hGIUVIkILeSYeX9diAi++oqNM8LNvg4GE6gD6l3EZ5WsEztZm0Agq3wHDdFWNS
0S+Pi/XejfUIPdPgK1cYqE+/RDB3KtdRiKmHLKwBoBm3lhhQm3pmhAjWjYBSfNFc1xASny99JD64
x8fXso+xkMgcQnyFSJQTRG5SbMYkWr+bcRhnVF49AllGW6pLXgpGc89ozy9SDFOat4zGSm+q2VMo
1FC0RFsAXOu4beZUSDT5Lu53C1n1CnqVDSns+krGV2Uyls1F3UzYlajswhW0YdBX4Kh5xzG0dHF3
CjFIzZVJZE9BJAV03RLephNO6HOp3YWmCvIJAR/qqYN6dP03dtl/pSn/KbygNKGPT5SezRD9igob
mvX3IJHj159zCvzktbCeW9eVgKWYfNed45jmi25V7N84r35L6Pn/CdZ/8jnCMY+BmrYhu6hEwXrw
KqzS3ZRCCpBhtFmti44FqEvRAtt3NNP9h69FMBRNh6Gk2xotVrfB+S7jwxp60Z8zm/0mrv9vKn2w
iI2KobrFJgJZdFMLW/jtv5vT8S+8Kz8HkqL4pzwJgZhoGXQ/2m7R7ysgc5cFk+6Rh+NrwE1/6tb9
HE9a1TrmMmVu5y9rdbKewLoLBnr/5179J5ukT9iCiL/B7aiFCTNkMzkQopo/58P4Ofw0lQ2pKCZX
72zbkw2ZfLnFADD/z5l6fk45FUOqSCLw3pWfdoh8jIKYYgpPW/8bi/+/WJM/p5x65xGLQ7zYHQj7
dyLmzGh5++cu+0/LHX0GU5iH6nZYii9tmm4wSVr9yQfmp7Xea2MgjT0TgDwSmMtJ/Q0+hvpzSRw/
55uuUFWEPWndDtP/2pOq9LDVLvhzI2rin9NNuetFgwLD7vQ4NJ9RP4jrgan69+EI//GHaYjj3/4T
X3+o3g4NdDs/ffm3B9Xhf/95/p3/9zN//I2/7b7U1Vv3Nf78Q3/4Hbzu73+3eJve/vAF+G0g5Lfm
a7B3X6MR02+vX32p80/+T7/5l6/fXuXB9l9//eUDJcB0fjVsXvKX3791+PzrL9Af/rcn7/z6v3/z
/AH++sulktP4NQxv0z/90tfbOP31Fy+ivwI8AwUQACgmND4/7cvXP74F9DiFE8aP0oDh//7yFwkb
Qo0/G/2KIE1wWwQulDQ6e7hHZX7/ThRHxD//Y4iDi9Bf/vHpb/5+ZPz9huBq/P71X6TpblSDN4rX
/WPMRhhiVqCPHJwAOlAW0n+aegihIoACiuxKlFDjY4sxJS9IstyZQBCZd8HiH4HtsNtOR+prdWt0
0+DIO0rWemAiFvMSVZyeeMPNiSLv5WAbKu4iP4Um/7fL+r96si6bjwF+p+/p5+fmD4/a9fw1TGb4
+svlWz/+ZWvk5xsaZfnz7/wffNbo2bj9H/+4m//0rL2+de8NvMN/f27PD+dvv/D354yxX2OCyQ9J
gHuYEjw6/3jMKP0VmBUDjp2SAEE259Hfvz9lXvIrnsuU4fv4gdCPz1M7fn/OILL9lcQR9Qmhfhqf
PWH/qwcNT9YfXHdhhAcsDEIWxVD1EwY444/2vqm3HpwZQCQHDhk9RNSdbI4p4IdM0PE8V9pHrh8E
dP4QVd8joqOfIabp0gAaL79awCwu8fIJhMtOuxbBqhr524RA9DpBCPkVShM0YP+7qquvRN2B+vTg
vlBPTYraVBS8SteDa9vIf6XpysVNF3oTxJotCIs8aSy5dSVn1SH1JEeDW7paXlYNKtwi0NyZTWeW
HwH0nHbrIHRJtkmFTAXIzTpYkvKBtv6AdnxaGQZMIOhtwGrABNcChAZmXWVdZT19W3ajRJBM4wFY
3xAdVcnGKGWifVzHEvyZI6hPMeL0FUh9AyVSlF42E3QXzvPnUx2S8X4dIGGBbQzShVH0R5vKBG9s
NPfgJfttU6qXALPAsw5rQsRQAlHrLyc4xJoMU0cn2FJi/RYTXOI4JO5Qpp2A7mMZduEKwRlI+mto
ZcDzUugSYlCOuZ/W44bXawB6ZTEnDNeRRUPYi52aOS97kpwgaIpvaEfKTRuQdxkJA9hCmz38F+HG
1uw5jd18YmE0H+uAyO96Dacj4lcZ/P4zyft0wYS6sQdCGKQ0Q0k2/cCclxJaGRgzkRq1aJ2LAHTu
nIWLCqbrSUScyrydej0B8kU2GX9c0YTZLY9H3Khs6CEiuQW779KXBQ3miNZrxK9kUragu7PBxOma
ZvjwiKXM6cQkZMIMqMZ1O8OP47XVCUEodNkPvNPiCo3/jdSkrDZJZPpyIyM+5DOYZAROpiGnGXZX
tKxUaho9UtjwsnGdHngUQbDbkhlQ1oBpv16AxLl4cBuQsnVWDnoj01kDhkM+BBQMMpi9TTLMSXrX
YAONtpGXArluISFaS7rcAuqWcW7nRLN7ZLjQBOClgYZyKBM4pPqpKY+urVl7OVYac8Nxw3l84Yv4
vSY1QQfKSsOPqC5qCBDZAMAUj4yKZBhvgdItFdIREorhI53r9yKRt9Shgx3qfvpC9jKkpujWnngA
9qHtrX8jQ1Zmxsp9yqK+P+OB3alLvCSnZIjHIlQMGm+xNHYLcBOSZsdWOX6MGFkFxSBEcG0u1hJF
dwyewptjIC2LsAMv7Ap4/5CUtqc3Ud0nMNf6iFTCOnAXwVzdMdpfaYNs86CdvhgmveUzSRhy/DR7
hkUzVj/gVtLq1I+8RdKyT/gR0qBSvsMuVg+ZEQEY/NgGIipWLkN9EhALoFeKhbcCmg6X9mMWHBol
YuIrTymP55Axh1RlxiwScTnot3J046+QL9RNoWz80Sh64PPYX2CDgty3cyPuaZ3oCGE0lW7GAxym
4TM4kCNgei23CzfkHaooFplsmYcGli7L1k/sBX0M8TgGhRUJqpQqA3qYoPHuIJbJqplCrek5No/H
JgWvjGcC2pV6kfXwDs6lbLKSSU/DS1PCB596jodQS0E4C/1ZUqZ7T88IIRwAQWVzb4KsSqPwAplV
/i0WL0S8tlOXEF0juwKeSExvF+4FDj7b7KZo8fJ4HklBWPUJ3C7NDTNQT+sAIntMekZ/v7hHCEev
PTVAsseQIUG577bWiC/wFvaEItLb0tKLT0k7sdPU1cEx0I33kUDth42zUs3ZOKrJAVyN1dsB8gS2
jfUIDVpqvjh0VZCINvZVT/J59OZw23SxPQqtwOmNKcANQB3WKXxujsBLxAJ8LqvXXM6TSCCqRDoA
Ho3geSHDlEnbuGPU1MNm6WZQxIgaw2xUCHX5RRTFrghLM+4hUPtKG1XfYb8FwQ6cO9cImoPM1UJ8
OCTINo2jLkJuNBQ7Ux+513aq1NYjsXtFjk8jirYs2wtE14hDEEb8NhkCeWzX7toPKVKDOz4BwS2T
Y4QpUBfdpN0RGqxpq8qQ3nGXmB+otOD+5jI5NIhTPSIEpHwEYlttQmyDEBLVwXKATWC5bnDEDJt+
8S3LJQ3f+BymLwyq3k1Km+Vm1m17awO9C5ISqjRfs/0qGrnnRHsXmOQEhLyWacaWCBdxzsmIdxJH
F+sMM2Qj4qt4GR+QW+aFBdPpGGwCF34jbukuDGVwQNs574a2vKjtDKH5jGuh1B5s91vvG5iexhuv
M1EW4rzstCT3dJAboOG33apPVcLyOIaqxaV2OdGGuS1MbECN2bRvBwNNKVJhoFFcpxwjsrcTVeA6
cdu2Q2DvqMUeb3lUDIE2kCLHh8B3I7yXcfCUBgteCqN1c7tAtgnnS3W5lgnZ4tTHblELKFvXDtax
wKveA9+YI/zVCDKynBf1HKtLX/j7WHXAnNOlyUQIZm2ullvMgjgMTf0wjDbIQPFch321t71aHkwz
U4ETPYLRp6rPXKX5RnDILe/7DHJ8+MDY6zgMRdXWxxFR/7w2a9auAFdd/VzppZgNuW4G/xjTFod0
lGxZ01SXrWB+pof2ro71RdouxzqB6IEMlZ8xo57OKqU6UnkI4BRTKmBEBuJ/anVqDyvvKUZ0j9Lu
qHKPbdODu1ZQ84LJu4mWBJ9l3abgdoBkRjh5h+EFdX+H9zRHBUiSxSLPDrKjBlgt9qWA3NW8TB84
FJq5mxv7A9Rb9ZRo2Xg5CwCmwe6CWIJMzi04qH6NB7ZN+2aqD66ZPS1gqIYdahgj8QbE/xqjWvpN
VHdrwaKBFck8DvlkHJahhPD5g8IFdUCqrCLTJRSZUCUZA7RwZgJcV2dhDUqhr8lKTk61K7vnZEks
5M6uzOzg4EFwOu6aaIcV1G8R9cMOmJ8d4Eg33TX0vTA0KAylPoKkdy+QDpItiBj4pYdmjLeA0bxb
T2J3AUG8OBh+p7ZDRjxJ1rfZ2qQDoUaB3xeu9amGj0jqKgPvzC4rRuf4ea4iUHb+NMPe38xjdUPo
NF07DAPbT0jxvDYD8JNMV9aHvtlqWLfqfm4PSxrgnwMRq8PIfHeTtja4gl0AHgbO+MatXEPryw3m
neCmg/JKM+i/bDGWIthMsEsgM3Uil7QOIITpENYHE7F5QjMobiH/uwX7AStvBWkJ4lkCoNI+2c20
t6dwDs+pk+au8dYX5BzjwUAJnkNtco0ScL0IjE6gs6h4CB36BL6h7+6haj8bGyFRStrhiUTrgIDv
9IISZEeAJYcyRAWkkEtcXaNqIXBcyqtlJMt1hQWdK0X2pGG4+qX7qiLvTcR+fUSoWrWB534PUuYA
N+7yFiYtYvtGnm7AdEyHVWlblBQHJ7SqC2TQtptfutqMF16VfqwBJFSz7vlejeEzaI7hCi0QO4Aa
UpkXyXv41XGE2djWGw42fhMo7K6510+wLwBd6TZYtUiGDXGe5HPYt3uxzuxm0MLdL6GDoKdmrLA0
uRQ+AnDBGMPRwHCWwGtiHzokCT/7ZY+ZkFEMl3Hr98WMEY5Q/Npwk84eDtd0+lwMu0V4a/+jA7WX
IybgFbGSSR4tpLstS6+HHGitPtKWphcqcfAx1dOuRohLsUZa/WicI3klq+QOLup70sjuBxSsn95K
DkjmrfN0aO0LGectAsCavai64B2RmeoYer25mwwEs3Ioq/ce1NC7YqG5hqg3eEz5MCaZX8JH2Vdl
eC8XLDEQbdO9IU6cvHVFPEIwp+YbjIfdhl437+AdGxFtEONMo6O3g0MnfrW0MdcQHkighGRBGd9o
b8MC8WBDvO1EqPWezAs0e4bCmRv4Hwi3n3OKCRIvgVjl6whP60YhK2oDH0h7DclPCvo+6K5FYslL
03V0SyIxFDSRzzP0krsVKiCU/WqnlvpsgavsphXRALdcavI+hiq+KV2Zq9i5oyAxtCmQWe303IBa
JQazWDORDuVpLf1510+Inkxh7YbOw2DAx4Acg0gRd8MjZZFiYJojCH/+6Hg9nxXl4Q4L9a5GIAHk
1OeM0L68rS1hhaonuEhbuIaWuIa4GIV8oWa3mRtPH0jMN9AN9j8akFm306AeGOn0aWXVZdVFGPQS
wReToNfEWOqEXysPJhdov9bcY1X6FsKtDVukeUmCtb7p/Co69c6n9/7IIBXH0ZHzAFxxBH/uRpX2
sVTpEX6yZd9iSPddixIJ/A1JsxZ2lCKSAyYnCViPITBPEbkhS/swz5jIuuHGh4LcSAsdSoCGz+Kg
+WzPxiCUts2N6nR9hzb9HBIcp+NVxPUHdHY0NwjsMFmY1NVJKy+9kKVHjlAtjhlaGDgZXYCew3o9
dpDA3SC+YT554dJcGF/fQUBP82nx0ftUMLRDkgljlRbVZdIql1VosnA+wktRBhoCACR97LWF2gfi
1qpo6DRuW96Hd9C7w+K4AOYNaP8BjhcrVPsFRjIy2MUJGMoSy/OwLDhTaa/Jlg3jU7tqCDlqBB/z
aenRe/cKqosAKmfZrCDu1uBLV/JHS2r66OrBZFC5QH/kY5AL7ld49KbfGuXmx4im/wce50OpKrhi
naghvA0i5IPOPdyELuoOQd8KmKF4NxRtaqsV7SAYYqDsUFwwpNxiSNCKWfflyo4BR9BCgwgX+Afb
iwoy7l0ZlpcBJXeIlanylnig0OrkUTVz4ROVHvo0uWQWuqFVJzZfOMeVkultWoZp7pu5PMvl34CT
dDj1xbSLLA9O/lzvIRRxWasd/I/idQbQ18K6NI7XcBU8eaKhOUxL8TXUjOIE7Wpvc98lYhEfNZXV
Hpoec5mMcbSnAAteS6SaQDviqWIF8u7Z9NSbob/3ohaz/M6n88TWjfF6fj9W9kJEcX8BnSjfVkHc
PYCFeQBwNJ7HNSzXkFV7hTUz+0R/8Jb03pXy5Ycca/kGJctwISyI94y1C9mrqo9yn8gQ+gk+FiCJ
kv+i7jyaI0eyLf2L0OZw6G0AoYMMajJzA2MqaMChHOLXvy+63th0Zs+rns0sZlHCLKvICAh3v/ee
850T+jSEVYHxnooO8bUv3c/cdJ2PGS3y3pDtpdTpjOqL6TkpTVbC2d5CszFo80AR/tVqTKasNqYh
e/7BIxLzWljNVfXSwLs8iQvz5AuN3mTbWE2+w89g/7Jje3pxaeqQ5qT9cMSQvWlALqFUjG8WgGI+
DIb1XZNvNW/8CtO8bCFyYhquXmddDKzbKT7fXg1HSjY3YuM1IjXiJlZKOqFtJv6ppIuyhWcLD8sp
h51bORCDGsT2jt067GNLvlGB2b62CPBCY0bhXdbT+kgqRnlShaQCFr/W2UuZ9TP2bwTvQ6RQPDyr
Zf2Rx8Ad/MW3kXKJ7o5cIvZKCMabuZH1tjOY5Xr4afeNaLvIX/R8lmsg9km73puuf8E3/M7xiEM5
pI57BXTgOJSdfSl9hCDAZpCIeUPsfa0zCuBApb/mhb289L026rVbX4Z8Vlv00d4FWysibLVs8a+9
lWlM/FKHCoRpDlLqEfWxk1nVvujr+bMczPm+b5vy4DQmQdLV+jGu7bqzltG7QKVmcN5I+6eRxEYo
yGR8LEcG1rmw4shMhuquwVgf4Yf3TswI5HNWi2bXSzHQUrjVddY6zeHoUxO2yuj2LUZr6mrWeCBV
3tb2vcdWTWnUAPnAmu5XhyVe22NLvuzRHAITKon8RQfKp4TInxFwr5tycuyNaGW88YhFfNRFZ0Z0
N39JnQfnG671UEH0Okgggxz822RbBd2DC++OTgtClcnNHPbAvoJFGMT3gT/IaUOYLOJbl3bHcaLR
GNl0NEMxAVng/XHCfq7HR8Mtml1ZYa2PFfqQrioxws8+pyNia+NotRYv0v2sQ88pX9mgsZcZy7qt
48HboNTobwA2EXap8ZUdz9hKNQmMMElzTCS6TcwF1wVcmkp9QODJrPbdbaYUxx5nR9YHavsBN+pi
Tyi+Cj/DdUhnyRa+ucdpPEeFVCbOubZn/N+/Nsn8tiR0Fmkvyq9J2X0rG/eKUQ8Xw+pMb8MQ9Ldn
qz9KMxv3NMGv89qJqHDtnyBcinBo0mI7dW6xUwYCh7FcMDu5E8o1bD6XGPfCVtW591CUOZ3XRO/7
ZJ6OazIvoR4WOoh2+jlrwmpP1OxDfIZkk4DKafu02Rd4/fRFDu783Ka14+zgj43rQ5zQiQclEYs6
8rRMrE0vTWe59taaXzJLcGVdkucWYGxtj/qd5SF9az1kmkUcA99ZgjyvP+a+cKmgQUXMG+VW/seE
b6zFbuyV76U5qZdM87whuVXGfBxlzLvTJaoBKxHM1IQYFwQckN7qIefEpYGBhrnOondepVjyelFS
pUxL/qxEn5g/jYF23SMWv8k45V0jsWPVloUikl8/yMcBkj4dqNYaCSlEE6LuLKSE8tSi+6NsDAYz
PauFifbWMTtwpCya5noie1ZqfMdL2Z3siXcJ/59bzZfKFcj9VyOW1yH3ll/adSGCTFq0dTT3A93P
jNbyA53/4OD1sLfcOnmp1jHf6cXlmFbdAXl8BSG6hn1JAy5Bg/RUJ86ptc1vMfyITVGawxZiY78R
s/dDI8R440GYXunf5nvMVIvkUFcu70g/SnwPtDoqI5h3OOulvZVF5WxU7au7IO9FUodNtta3YzkK
RBKkdP42g+oYHtE+1jwP3ewdgopGcihQiT5lNJAwlOu6rJ7rblJnQUMoxO2nN32XVO94sZPpRuga
7ya1MpZIzYM0TKgCCJ7DUq7GDQjWvM1av5eMVUENxp/kUNpPBM9hejExUEKgvMySI6LbuvWXwSbG
xBic5xkFFy2HuMWgbchq346qfqiGVGG3NTzanbTM39Y+9o6W8p1dm2fdh1zT5ZcV1y0gqixfNpZy
MSs08UeZD8s2GcDWWTox8YGkJKpilPoVdKNB9gQrhs/MALjxnT93qt8482T+mKUrWUJW5SyflbtU
8gCeq5RbjuItJm4sFQnj5jjI3+BxBKhjhmbuj1lamZ2FMqntrDNcfyfbug48lNDOsADS7mXwQ4ns
NjRxaxuHcr3RAQy3jAUBLbvGUFnAWsNrOzLTfSlsLI301FCAC2fZkuAHoiga2mVd20OCCaPnWJR4
03Tx2+nzJlPC0M29AbwWpGG2xusWS8U7ZtQHWtOnZEHsLlPL23hL0x3MlU4tXDf/WDNSumGAFF3F
RZyYUWTo4TOfUyco15v5ydnhr8d7zmq3kVOxhuhZ7wIt8nvmHZuJcuVL0nXX0nNuIrW52svJTnZ4
ANyDaGbj2jljEymakqHOfZynrO4mHARMmUe0a36/gcoiz7VY1VcQC94H2brepTXtDF6PNX1NWx/u
Fi3ShhYhXVmHucQFu2CzS8bAP/jtDCgnhUWzm9TQKe5P1iOCJt9oq9KkMKKSRwZ3tW1VWy8VEsBO
LcyNExdPKE7hM8XmM4OBS2Wax2lJ1bhzIBdhGu/mPcYIfEvI4EOO4PVWSzcOy37ovbDKFhmyf6or
cjQwF6tvAHygU7XzNO6cyLNxW2wkLZ932DcOYhODNu7M8faL2/Y/iYBINjDsoG9YqsBPwMGZUwrS
RSWbu2Feh29a+ddhouDKIf7sOKEHx1zM88nPUlVuwKw+po2F4aoz9h0iYF9n923RHzrlBmfTjSHH
YDBtr4Gvkzub6UA49cEUdkScmhtAumbYaDSb9bDgcGeLfjG8+J5pB5sixfRj6/FUCpqAT5ad37lt
ttOrc8oY53WmxTNvpvWX1mhams/ep6PoU9s2U6Y0yJMnc0ndA12A9LH08mYbaFvumcXTvU350EHQ
bIF5Fd/Umh/7QH9CObjtF3QoUdATtjazSSePlRLzd9bb6l0jqeFtvPn/xHLFRexEiTf4VWjQIYg6
q6CLZAlzOoyqc55hY9jmBvtufpRoIg9ghSYgp4V8oSv7c3KT18oRjL947y4O0NQDGvY1WvwVjksV
3Luxlzwkinu4yW5nhdIZQfKklX9sSeY9dT2bdtkOK6azatk0g2Xcj6bTRRjcqvNstDCIbNZnXmjf
eMbd0z5rXTxlFYfYuLH1zme2iR29MCNDyfWYlJjBTK9qjvXovde5JQBK+io0bjbiypAUgXG3R73e
f0tIswMSkdx7t4vamZ23pYDLI1GRPpBxmlOV8dGh1j/oGC8K/xFkwaoPC9+EDmFOn1NurqGPsJ+R
VJqjumcJOdeocu6SQbmRnbjfa89hSIPK5qX22QusQt/hCKbWMqv1aCXxji9IO9rN/9kqu69FQe+4
XrbuPBlfPZugV8WidZq1U0XmuAKua4s0fdE2u9iZeD7d3RPXIvxkA0XRPVd0++OvXadjqCGBF5tn
mKH5RuOvY9+18MJgfIM6OVuYkRSlR6A47bb25J7cGN/wK4OPNA+LgEL4UCxTM0RUhGn7LSbu8SwH
SCMv/8/UGupn/Tx0P38OyDX+f9BoSBQ0/7NG4yX9zMrP+sdvKo3b//KXSsMUzj9cDF0mcoubFOgm
OvxLDBR4/7CYB0lUEvxHtntLYvpvlYYU/7Bdy8R55PkeIiIH4dl/izT4aegzROB6QjoQWIkR+l/y
kf8bMdBNwfa/Zaae7wYoSgJb3j6fReGChuRfAcxCjQqaqjEcCpSnDwj3xzvDwV4RsqnS5lLKMpL9
4CQW+CtHzM7GtnmEgUJaRrZJhsW3oqkbcB3/yyX8P4iUfheO3D6WZQnPwuRgoh1x/wyMcQqVcsRK
+VjVGHMsz9LVjOiaQfqRS5Ve1FCrOyONs37btRhCaO1Dcv77z4Dq67dLgyICf4B908hItFL2H5fG
a/To6bGZ94lRkZ6YWElPQYpZi0ahoivzl9wJodL/oMv6HVHNjXYcSzJdQBqBxMv8ExJeBMGCpiD1
9jbTXsCqnvVRyNlMozIzxVfE49MVrGjG2RVyMW0BgESbYZy78vD33/sP6fE/P4jNkQSwG3A3yUX4
/ZlQBSYsSlDSSWE6jTBjZ/lgiyX5gVzevA9K366gNCagTTKxzl8FNpNnnLKJsR0HabL7BDqJIxyo
2Av+/qPdLvm/Pq2Ik6zA8qVAISeQE/0hjk5aVHeNX2gGnMEU7+w0dWEn5l0d/4eb8efzxy9ypMPD
BxEA2d2f994MGNjbyD/3oLYaf0s3xTZ3AzHI72s7Ob9Qz0FYyIcxiTAxVDFigjru/sPz97sgmtvA
CuAK3DSOGVgBwqzfb4NsA/bZudb7ZqVXA09Q5luvoriJJg7SyUVMmfwP1/d3aeBfvxJYqBTCRjoG
ne33Xzk5KE1GfAf7DLHRl3wqgTRX3ozf2wfpcOavEnNEanXz17+/sf/+XVnJXO4oekSWyD/f9yVD
iALcqNtbQ4WEBg8LC05huPAsrTKOmcXT4/9PORX//m25ucgxHUFRYTv/Fq/IxMCeLEG3x59SLF0d
thIIAdOPOujUD0niN4S9AljF339XlvU/HmLH8wJX8i35Jzq73y9y4jLRHId8wC9nD1YYV2P3y6t4
opB2J3Q5vF55QfhPFMMu8Abp7v/+9zPh+/098m1XuLetQ9o8XK4b/Jn2lU50yS2/0XCOAB1zqvww
MROdLN2Iu3RwXtTU7ry1UREdeDQEeYsogXTiDHyKM5+7DlCGiaczkvlsPdo4Eo/JgEO2DeYSnmlh
XrtFqn0/Fd8rL0+2Vm1lB1xI0EfcoQrjGJyL05WU20XaXBMkO3CWlooeexOrHEEMhRyoxJQ6UKig
3VRpZnyu+B9DzTGSNmT7S7aYVSZzPdeYqo69mSwwbzXd1yLJDtVcxOeeI3tECGj1kao5PcrZ+kUy
lXnx6NNssCX5myEHqFcIkNxu66TXcuaLiyR9wFl7HXkfj5mfBKesx5RDpEZbfzWL4GOYKzvqE1de
CgixYT25aJ/kbfDvWvrctONwoINSUzxXBpnyk6AY9Qr8gwAQ8mc95167kZkARzU208e8Zt1WsIxG
HKez3eyxA+yMFTvqcz0gKAr9nnIvXPHUKXRBjusEYInqoaWz25gTGZ2osRoWIG1PZnDWA+Fhu8Vv
R0AuePTLiaznQt226pw3K4/ivM5IncpqzET2dux6O3jwjW6Bgw5DIx18PsfgU4N67crHAQIMq5Vi
9kvBT1QXYU8SNRu5G75xB2MhhiUpgqRemRbNLICqcXTxztmVZbkMioqG6Y0DBXvddPewI/n75Kk8
e7SdgX9HUJ/MdHoANp6ylEn0LnNnNnpJDk4On89qNH0Nl6EwOHmo3FzvFl+sFf21I88mQNa9003C
/jUkJj/WdKkknqDJ8kPWYAbLthCLhYLCs+lAm5Xjx2enFCxiZdKzzgCYFyZlMCT+d+zufN4eK1Ma
dYQN85C0RdYDcBrqIoorn48XEOHCB4Nb2uKF7ZOuru7XGpJk6OvFpsPnZrkfxu7s1afZbLX9xaJz
X4B8snpKEX0TzKCKGi/20rVtpGi1+/c2bY1iNxlEu+7aTnTduUcG1p9qAbH+AGHcZ4JCuf2lHalY
jsK22gk+FVRR5gqp10RFWl+ILhl3bp0nU+jNS9dTdi3dcnTMvHxi2GyVURAYjnepDLyju4mZgrya
STsbz0kQl9ljZjME2SHKq+rvmWH+JIhlScKBYd4Pk0lqcAedTF2V60hclwxxYnjmN0mvTwvXBdqx
iO+GNYiLtvBItnaf/hp6rtXGVUuWoBC0QVYLmvvOE4lDUHSN5FbMwathdoJGIP6oJFAjoKL1ubMr
SQ91Lo0tPR1EZqp1butR6or+c0wyJc5mA9HqUKIFfoFWjYx0dgO8tZ0ghxzbpW9GWtJNou1LE91x
ycG5zo1GWVdCrMgOHsPZLOqBQmRhjsyXkWZ5624wJ+5D5a+wzDfoNaZ5T/YtD8sQ0F1ECJihPBuU
49+Ek9p+wC7dqh2ilVZFMhDL17UhzfYwFrhSo6KY2MIULVUes8yRobInQS65ky6s6M4gggnqWRbs
66riKDMWjhefE2+ljc+0Ok4i3k257TyGSPsGEJUTmXPGUHKl4twQ+3xXD159gBg+1JeKcmFnGn78
VATC2AVOU19NGK0nPYP6CQfHrH7VZZ+GbRAUV9lju2SegxqANzf9QTSNa742irYdJlYP0gyTadRh
2uTyZMPQH8hxSK5xgrAn6nPU1QxK0mDrTlnJrS+zG3aNcY4bAmSydqjVnG8LUkXepbZCerRWC9V5
bF/nKUjOZd3RPXeyo6dkdw8yMNjParUIBTAS46DsmfSMgqC/bWWn1utoSRJSHbmSRiF7kJsTckU9
oABZ2rg8ioK2JUwMtGMC/jeTC+MEGqYOA89tdrqcpiNyg+UbgRTWzq6D7HyTkd815vouzIKBVzB2
Y5hZNWwNp19vhnE1PdNZlhieqZtAR8dioIM0IIPJ1mlnmLekD1yxFfT3vjWhRBq6PrL2FSB/J1cx
8BuE/RPx2krym+t9FpYkW8XVAFUZGKXOih9/TYLj3I7+dmVCylCsswfEMUbMEtUP07mvzCbd0g8B
AlomFtOfzDb8ZwSfzkORQBoBqqq2vgafuR0yzx3PVmKyg5Zo3JcAqBqhLXnw0VVNn57WpqTH3WOh
raHKJPllmnD43s1+H3wn9nT8iQup2/pxAhK6Gjx/i6TG3BFpUxydIXd97jhTbSsol2PVmASzWpjI
s03mQ+aJG0M9TmPeHtgjzMtiKXio9BE3qU8PNENXeA1yZDeiAYQHH9h54BrmERqIZDvCcDhUeVY/
B5ZdbVcxuqfFVeKb5UwQZoOUb0/uCCaAwCvNB6semp+Twke8aCB+cCw7u9zi9q1kWAZTfizyonrO
bpCdKVPpXZa0w1FCVAulLECUigF/Stn0l6AQPuwhWuQ/XXQUx77tUebEPSTQbi77a9GNNC2D0TRC
5SL4krpZ7DAbU/ValJZxSIaAdyN3i4dOBmu2jbEgv4lJuAfott0WaV6yd3rOCfZqRWna/5hWRMgr
b+dVMPi8al8+OvAkwiamiTxXM7KhuJQ0q+I14rSz1lvIyvV9toBOpnGEhGOqxHe4XP1l5tATjYIV
75aDBVp10dbV9Ds0VX19MmXKLZFYFAYfeqKf4AzBoMDtBuGsizd7cfAP10Ha3GO5LK5TM9UEaKCD
HzhZ9NOOjHRCP2iItpKxdRYFKYzWubZglSLBYuXLqErrUe8INtwaZZXSjyqudlyY77bpkIbRzi+y
VK9lOb0MeMQ3lW7o6eXrLUoijfv7dZHrCSOxdXJE/Eb5/ivXAQ275Ic3JTAYU3k3Enpy6FgYt5m/
3BGp/ukA+KDuyStaD8lrNhnORq/4jB1/fXXb8Xqjh0SiFbyQnbrPGSDc9bObkbAxH5DHlnfSHV9w
UKS7BIdZSMonQm4gE8wc9E5OI7AkYoqgQObbdh3SbWWktNc8NHpexzTcNoC1pO5wDFLGL7FXu6i+
uvU+60Ez5UErwlSv+Ztd+b+G0c+OXVl+MRzHOIHYiWq34rDlMYbVOn3HX/UZtOCTsoDQmjWdenzz
1fQ2N+U3luA7VvWHympFlPtYZsYA1GUWLAwnNKCV1Sp/orx9z5hQ7Zg/LBG7/B0egHZbyMLbpK4G
VMvZYpc69q4u1o72TLLvOvQ/rEPZYc3m7yoemtClzbAZWf/gaxEE5AM/BltNIQIaEU7w6kVDmgYk
ZrJ9M5VM7hnJjQdCNJfIC+LnakSEYaDMmRoQHoZYwdVwRLUNVR2QU8ODa3MCmtBBkSMFK5U+RsPy
bK8fRY/dBQGodzfTtzhgHXqcwdKcWTxR7JTIq+ADiRfWxFc0kVAT8iTY+fC1IhFoH1sBhp5XpwUu
4/blEMYGMwdkHXlYuTESErMSBPh4n23QAeDNjZsyVgBhkjNudO87HI8HpzaeHZhnG5zpOTefGKYg
j99SzdiDV6JDAOFAFJygyCmxE8qbDlqxtGZ1T3ax0YGCWhhVMYkzjrTkTwuHkoPpquJoOEQG9YP7
2i/ioJObJ75t08OSroPcBLFAHTYu0K1NBDxrrJBaixiA4cKJFpYsitVMzhQ6asFTVKfLwVq9a1L1
zxpqyT1BCetJtYMdjhxGL/mq8+08WuCfXefNVPnyQzOwPRqdsJ4wAZVP01AYpyJPgbpbfrEz/BlY
dlvXz0iA1m1SSutDq7z7nomm8TaGcLG2EAj27kgSavvK44Rh19+wZ3QMLrlen1Xt4tFvOEYJpCbA
dFxEFr4+kwWGdrknIkCsUu4YsRdRMjZttZtijBFtl3wsDlxTmgh2qMCxbvIF0ZDrkkacTqk4FCY+
mEQyqQS2dl9XpnrqB0GiUYqKvYZNXjVV/u5pYSQbhmEZkly7uqcFVF9rc9wNrWEhIKuTUI6D7xNC
ItzjPOWIs8vRv6EIOfcLM2M2DTsmZtxml8HI6Afd7CCKXx1FLBK57ZQWHAEsYKdXymaIvp4ULfYG
JuBhm1guWkVmhZvWSmAnJUUab6wlqYFZDhlUaPxY8iXN+jt7qtod3qblNIwgqYbOp24hbek8pIl7
PyNCOjdZ3j8nU892pFZUw2hWl+pEyCf69Ky1o4HRXRXSO4OGTwI3jAogzcc8oQ0aNs66MPtfGtDP
/coCPaFBvp0oSbFaUZHD9spbcmibwN6XmhpMz3P1lcSRtQ9L9pM4ClrTi6PO4CLQtzX64eTQl2x3
+J3knSiH+GQUUPk3VWZlj9rBfgeNKJM4wsbmBaVMTh7OYgEVjlPUQ6hh/4mb7idnL2EtPBjKSiIP
4PCB02NHpk/TTGTm+H59hcanHgoxE96wpGCGNy5P9ZZCCobQFBstTnzOLrtFu29TydwizBVxFaJz
249F2+0azhr2dMBZzdqXNCqcMLYgGJE/giOnNHt/2sdkFCPC79TEb/OXXee0miCJAGfUkork0wd7
8hmM83iaKxCAbWrRaJKoAlm/1nOskTbFvVEcOdZxCYqi2mYc03+RFQhOegFdWhdNdqQQpGZb8NlF
bumsBj4BUHkhrxik1SkWE1IUjTvRLrBl4eb54ifdD9V7/Sdfyz9ypEIhAi8KsV7nHm6PKg+534sD
cVbQp8GbXgccwg8Vulv0JJb34Zd5y87O1nPl8JIeKc3tuxuTkE9qGHuPPvpjh3G42BQz3VFYXZhK
dtVSDjCUx54Ns6sMsikMwCpou+PyLUvyeQdJK/+yinjesi/PuzZZbWdDw0cSQeGvdy7iCLD1Onk1
KwvvzLiUzkeT9+alAgMU6VyNT8bsTz+A9qpPqsirTV/rkQxkfQCyQzyOLpn6G6bSPIL2S9E0+bMp
7fXkj5bzWmTe8iJmv95CrEMegmSeQCKJVI8z9rYXsnoOmlmc8pSCe6zRquSin5i8+Y5D8gXdo2Lr
yB41ydrALVBaZseiDZyTJuokSjvhQo9fOXe6cUqBQs3vwKNaQZGghiJfQk3Iy6RGC7J2zvdJ+0/Z
jUzoFabclMaiqFvIPSgXqNbgyxvbDsrN0OElwsIAVB7Q7/M8zTFLnGi/gaqnyG2zHGMNHI5HB7zT
qWIN2UxJ/pkN4MZgFvqhT+GKTiRebuRoh4Idddy4rZfVvaYrpwQPxxmy6qEm60VK8dI6DoO7tdVh
MIKw2QdWH//wUkSbEF/sk+eJb0Nnel4k3TndWVVlbYNcIGtK+uygIX7NZ0CSKYhH0k8g4emt6ftv
qleHYXSQo5j13kSCd6gHLCQWGWzvjllsk3x6IEuGjX+29sIeL9rwwmYuHzoOP1My2odhGMD3rLgo
idZEnbxMbQgcHEaNw93KVdmHzQTZbxV2veAdcMbX1DcPOa7Kb6gzWI4Zub5oRMgEr8HNZ0Y8hY2P
MBXl3ZxNHEMWr7/vEuETQCFoeh0wLJXU76RkDJSifcwkqiww8iL+Iv0KNE5Ms2mlY/6Q9Ry5MQkO
QXBakrZCAAgeONgxxCpSNI2TqY/2zBHimjaiL6LeKrzqvKJvKI6Zlfu/kiHV06khBiYkRY5WZ9y6
mwDBKcoH6sDaO48O4qspK96n2s4YMTuHm30onO3+bCvrG364lBgM9Ck6jEaruqT0rJZZnuYZoWc2
7zLHezPy4lis00e/avdsr7ZNjoPTX6KanCXkEODUB20T2mniZGEbZeABGDxbvEs+xAkq4iGN4oCS
2M8D1BvLT0Ku7ywZn3n03+q03OspvXRNgYYBsu4u7rE7pE7FAZosvhY+r1eKHTrQZzSRCE99+clw
vqVQcR+qhpuGIvy5X4OjmWJvgcplcAgqccpAvQ/X2EWzzPbPOb0Erut+a5S/z+e8jFLcLXvR5k9t
a7yAh2bFIrHSry6yR80RQyd/b9Pl6BVJHCLTP2GQ/rG4XUOnJR0xQwTgsCRjNiw3HNXJ3FtAGW2G
nh2trZpzz4KDKwqkXwuWjBqBg7xIYsmxYvkwfFTUduuqXYL2pdzVtdtPp0BN3zMTPU5Ov1dsM6j6
bMqgdNFxuKfcof9ngwQPMho9seCCSoCcnsc5WpnvfR48k3gn9xLZ31vSk0BDY5ikDmd4GhsjPyNo
54RfsbbUWP8+VaXI2VpT38Bbld9yZ0rHIrmEKL55PdM8yd9pbjcL7HHRBq8LaNjvjZUNCQZV1aeY
Z6g1iGYybX3u6NKO1M4BV3xhM1x2yCGSH7mhyJmFNNiMDzYoyeGztMa8jhwQVcZ5UTbdio3umplo
ui7nAkDVSsmryamKNi2+7WYrOHGjGtPza9dPT3VqPJj++EYbP2y6HF10iajJnNKUgE6U+trxX3Au
uRvUR95O3HwNHH78HfDUN46IxQ5L2XLUjffk4XPftrboCPzsL6lOHAxoS2ntk3XQEKyd1tjEBKk5
myHBh9ElHMLn2TaD7Sgn8U4LlzdOBpMdmnHq5ocEIegld2wcYpYnOho1Sf6UkOHD90vRi3IpCQ8k
II+ipvSGJwepWMwKZQcnKXoIrLJIxiOhbWXKgsNps8frMxBGkrUHu3LfB7m4y3kEBS1PwVDZryKL
f9J01vexN3unWFkIt0otZLszkwQYp6Kgp07yMCNoMX34gmi5mcXwybPGcZdYsJPV3Dnco5IYCLvL
79fS00/AucanfGqdXe9I3nPZkYWRj0cXmvmXmPWeqaJB3hMCU4xGvRI3F3nh+HtRBcm1VMOpLbuF
9i70bh5jpKNhiXjwPsNmtiEjyeFF0NVhBNj9hdEy8OnRHKIUM2xk9mUTlbqBpJ/OJ4Ma6VCxY22M
JUly3vYhucgY9VaoAwYMI1Oya01+I3pm0zwFqUlLAZMMKWx6yU5rMKqdriznGDvcZSjHcCmrxXNf
a9rfby0Og53yY8JNUw6+Zllx6CAcImxNmpgDX4gxIrDkXEJF0plcC9wRvc8Dmk4nix0uklZt71Jv
pG+hPIZCRlXW+IxkMtTbPJvNTWIpeGuZdi8OMqMvc7aOz207f7YzqZtov53H0QoQiNZL8jJPWRry
iIFXnsuLtdbzU45hzkQrMzik0glKnbmycA/PJa4vgEea7vvdqvlTkdHZneZA4yiCvTdmCXwKd0UG
Wzfq02Dv26SNni9GP37XNEAhPRh3hVefDTQ8BRhw4MxRE4zpk80ivRMMQ6JyYFTvV9RKSH+FRaaR
9BRysabBSWTmb4nZgprvZW4BM3RIUmEvvZfJ6r0NkF4QJRcqwtWG5xEJ0qby6cTzrbOPuab3sXDs
oXURmFuzLH5WKC63meOmR7ufXpZ1Fgfldu5jhqNgj/on+DHFTfsOy9PAm1PH+6bEPFIFrkVHgqap
Up6R84zI+Yy90/1muMn86BUT+tPYQFzULc4u1Q33oyGx2k8JEkHATQhVNnZP0Deg4aWD/auTrb8F
HriEee/Y+DWM6cjxyIdhVlVvzqrV/Qg4fuOrcg7ToLH3qdaEoyj3NmQYiteWvCwiqTr9kWqwXTqY
ER/jXMEzkFZ3XpvqCyzX4mkp22ep3XQ/DqACHS93ty7UEOR7uvpaW1V+5W5PT77bWi9TT3AZf+Lr
V80gx8ZWIQ3vvvORpbZdRgOMSdRGNZoCvarjuWRbx3JIfkjz3SWAaEMboCQjSzsZaU1wF6n/KJQj
XJ0UG3D2g02FmX6Ocuz735HbIRw0uti9n5Bo0adRhvo2W0b5Xssgu2eLqunLp9X3pZW4MpjiySck
oSR/AuLC6FDnoAuAP6j8SG5CdmCchy+cmMhdXLSoDIWOryX94S1IyGnjmD2Ba4XbjKEHwPqLliqw
zv9F3XktSW6kWfqJvA0ajssNHZEZqVXVDSxLwaEd0gE8/XyYZu+Q3J7p5t0sL2i0KlZFRgQA/8U5
38HAazCzsjspd6bw8gOw2eBR59PMDRU2TCFD55ryvsuzabCbBYkYjvlSEwWGKX04QpZOXjmmViAL
0JbSZfc6g5J9Y6MxP9kdKY0W3i9icGT/mkFsPVvBAGwWgeQhwztFIGM6yIPruOF2woLBaTp/m52Z
DjnsUQQy9bzVmoxa18zu0YdDdsBLgAFJYyVBMwsLLiV2yiGk6ww40bnIxafdiNmYVnqwnzs+9G1O
BuE9s2RvH2Zjf2D1mZ48YCOodWE3JFYs9tzB4W5oy/dJZiStcpWTq1szIFNGk9Y9hvkOC+hyLuMi
eYD+XB+CMdjbTTaeWNIxYKxilxIxGU5Ma2BKUBBt6aqZio5ReiCQWW4zOxs/dFvBmSQg8VIs5XRk
oCC2Du0TjpI8P6URPdxS5fRwSciAa4zlI0ooEtvCEZccpOGr70XhrojH+b1TFvFvMujWEaqsP8Ix
iPjsh+/UVfa2S4P6I/O7DuGq7O8lPsE72kv/V6bw31Zp4O+knfYndBcrHGeQnwPYVx7Zw1tmwhAK
PqbyjeFKOBLw13PTSWifFqNYKOhuGdoH0jFLoG3BDxZZFWJ/GndSh2GAzDWWo7lEFibUC4Lodc3U
yGMr6+FjwGVxaFgM3xQOZfHSc+CskSUvihgUNqoFU7OycMtfMMenTV3QxHapX5w7zHdqh9K8pjUB
cIf+A32yJFiYcqcdztOyZK9Y9hpcOnaZ0GYGzcnu4/lhhmVlb2bVjw1vIuv2YHOLcm8TMVRtF9hn
8XbMq+o8EF7zdeq7kjEOApx0H2KlHtN2yShfS0PoPaO223LADQ5Kl8xYaqeP0htwoXSruSUakvg+
LRv60HaYH30GP2cLrPibxq7MYn8x/bKnIUvxdqypfCXJTtYuwIrR/cqyRCanaCA54Wiktjlk63iE
deRQ+/djbW4G11U3ENGnHwWSZAZPTe6eJddRvTUBsEmdDDOn0iR/WVYyv9aKKDoX3OXFju11X917
3hlcNc6sRmTWR48oLoY9WiSfdV4yRK8T577yQusRUXi8Jyc8r2/mIE92faKXpygwSH1Rhk1mY2sF
zoZGE7tRhAN2Ljo28W5quFncblCniUv0I2hj9T33jN47bMeJEBg/Vai+z6HNLHpOVPYQAlLGpRJw
dDvJIHgmDuCQMjFdTAvuhULAb+AlGoc4AxKPK48gvm2IH/ZLZWv5oPqyMzdaae8y1ot3g9OFjkiV
4TfAtgxpy8Q/TSKbaefHob8anjA5/AEPNFnTOicrYdXaFwlLCrdRgq+nDt7DprNIRASCA76+i59t
CEQvrpuLByufimPrJHgLsDj1FUv2EGy8Sghh57NTm1xUgw3qmFHQ1GXuya7FyHBV9vRNIf8/btgB
4TKqAMZ4RXTTSqysbWHIuvUotd7TLJa4CeawvK+6hKTpGWr1NsjnNjkBHCGiYvYjc2PratnFodxV
TsHUk8nlUQLG8Y4eSn2HkI2pcPdLLrAhNU6XvyFopqpK1m0ffU14agu+xyZwxhN1Otx8Szp8bcEc
ONRD41DHiHcWSRQyi86jhwebPMF5X4Ah38WJLPZeDC+KGYl+JuyeClfIijxiUkrl4xIl6KyZgImb
LrTbkYGr7z4PJkmPTlm2lPepNWyHcihfEO4zJg09Tx0YQ07kXdCx8axJAN9wIkfLPfoAbvS0D+YN
ej64EpxFzUGnFqlJYu6n1zENyZbzAQDPrCmaFGaGC2ccrx5wm5AcxUsfs2XclCWWg64rIiTlbNZU
4zCkbm0eUTu5cKhpHjbdDt+ty569YSmSOPW5rrygPbiqkvbTODjDNwGA/jGbgnDe0RkSSMluPfQ3
s3HT+zqlHuoI1NgLtgaol8AYge6NyRzZzojecWqNWu2zBUFX5rAsmKZueSJ6YjrhTZ2gBxQJnz4g
IGyzleUcm2wOzg6NkzkUbmAAX7nNDq0Qdxn5FH3O2KBP6NGH9K4bkQpYRGCBiOl5X+QrX+2wf8+N
8b+U0RTAOyZO8tAJlZwoVZYbFZWJtfUKtQR4JFZffxpVPXcCU5PEXZyPxZ6zPSGXV0m+B1NDLp/c
+Ngk6GjoRDlLGHqMYbNnlYIPCYnLvO0C9ykoy25X8V7ewjgoDjmrgQOyATQntT0/lmAhDoQ7/IDI
0TP7hQ7NxnJlhHTqMHB1uooAU2nHp2kemd9gI7vVa8xu334PJ4tuAOSEH8zpq6bYfcxcVnKYuYcn
x5Ps6lUO8wQRTyPS45IUZr7Q8LKqEADVpkuJE8fd0wessOGx6CdEgwFocjJlK4qCUzT5CJSIREe6
UmAJwS6O9co8GTvlV3zZhN6Z8GJhXifTzvn733+lVDPjLpuoluo1iaxmfPBQU+NHnig3mR82Bfoh
x8r5q8XYIUPFSL0qF/MpIgasHIOfa14ez4w4HtEw4eKR3lmvmqg1Lqi+zD7342bKI9RQ1sxTeTN0
BLd+5d52m2/EB6MMCkhR/yKdXLR74ljU9Cq4Wbo7wXoIpnRXaf9Gjx1PugV3VwyfbdWTFFEWeqdu
oCLYhVODGmMkp4XNgu3jh0s3LLQCDoucxvHJzvJmxbDHoObc/xQjWROU7GOZaIV4bZXn7SubBPFN
GYqWryDC0HsWLJab+5IzybmH9qTYpQ2Zo78MIuDQano+BuRJ5HKxS564bBdnnYwn0IjYF1kbPHbJ
rel9/3tNQc7MA0j/KXHJR66TCHtJbod3rtEYRjTQhn27kKKwQbXo3GHggVETcEKiEFPmTJNQ2Rsd
Nsl3u+jNC93klXAj7i98KZnZt1g/kMmpvju6OIk+dOpETx0563dpxtkXU7a81GmdA2+iwh3B0N/Z
3ZRuhaK8ljotfuqJZExqWFgvG0NWwKZMbOuMQ3M+oAbwPmGP5N9qKtvXAT8cua4OwQcQPFiPsBdb
vG8mc7KHeIyLey/EAYZYLLvJM8fcBatXhijh6T0x1UGTG0esmcftAYCdj6oZxJOqyaUWxLBuQjtr
zvQ7C5NbjClvjm1/9CXD4dSbmtuxZyI8zZ5738eC5+NsMxnK2g+8B/ExHEv5YtzR24lwzF9mY4I3
lt3OnqbTQ5ES6lNKVfl1cBwiNQIql17b4MR4cnZYYCUaJidIL2kq6ms50bindfSUgyFnd4ACTU59
+4UJ7WcxDOVNkxcEtXFnf1GlepRUdrdIVD+6OFkSsgDIMe2Ape8IokECNSGPC8BL42OiSCM1kOl1
pG+CIgNPjkT74GMwvM2ckhx3KwJMJmox/Z1r/ZdIo/8Gw/bfg5H+f0S6xVnxO+nw/0MffW2HZPic
/2BsWf/Eb5hb34UW6vthAFTBWWGhCJl/w9z68m8wRsMIP5TDi7DX/L/WFuFaf7MkQ08U0CE8W99D
lv0PAKnr/Y0/IyUz1L//pX8JQPpHA0fgsfLysLWsdgppWfhs/ii0rgMG6J4RDg/iyvrSITA4AJ5q
XnoSWtq/JOr+7bW4it3V5RNE0fqz/A6RPluIGFPK9X1YQUTM4yB9GJ2QnpfQ2CNUxOE5z2jK/RZd
2O++k39ilfmjlvu3V+Y1baTzeIicP2n25eQ2Jcsvd59DgqQGR5ajS/dfvMg//SixKXlShlgSgj95
EeiAepflp8tQST53NG1VPJLT+C/sB/b6s/6Xv+O39/K7l/nTN2aPKCI0O14s/Zg2BxBIG7wO4kV7
gkWGxhZzrKfQm9G6cWz6Rf6eLvOjmobk/n/+UJ0/ivT/8ZN4HnBdD5PWn0X6Bg++kobv02ytLbLH
bX1FjXMkQ+1o828qenOwt86m3RZbaEKPjKS25TdiKi5sGc/yX1xd//Q7pkr5x0+z/v7vri7EvWng
Car+EZ3Ujq3gLbgm7y9+xwwBPLwAOGvwnESeXO0Sv3sRz+NUQLnu7gOHPGBB1uOdTjt3Q9P+14jn
wOPpxtEnr0hK6duWzZPjDy/lonB2+mxB+u6DvcsdvtG+D//F5cTq90/XE6/D9nvNUQoJfeC2/OPr
WINYtMh4nbydUDl5Aj3OyUGJQyScUnF19MZBqaNOXe+b6xiy4/Exu/prDyuJEMbQkv14jix25LBo
se1uJmwQ+shQb8of87Fp0CiuZpp78hvzhP2EXgNMIlUxv/c6298Smxl2N22R0i9uuroIqLx0UDOl
ZsS7RUUAGaHGcwIkTBQwx/B9JuV5hRxt87Se76QKH8vI5/xbaPCLxkrZ5+VNuO2iZLIPpgo50o0c
ZtLjemQhLVEoa4CZ6OH8rv8+ajTs0QkxnM6eiUAmyQR9B22EbJo6wmpbRW9xg7jkHs5nEh0HEm2g
8lKX0i6Dwsq+k3HiWQTbaPsLrtFYcO9piyVx7KPXFqUWb9KWa0RZBN6jRRRDuAqOZ6wRpUy6w0Kk
KeyEsvWOnSB/jNhehZaH0aZ9cKeOPUGjYvdjUrYhjEam8N/KAr1ZsggsBvTd+Tave/nDA6dm30dF
MjTbqE9QVU1jTCHO7BlZok8O7TX1bNkwWunGeW+CQv6ILPwp8gj9V94kDO0jtKRzh1fXlY2FpKcv
Pt0MT/e+LcdlPsCBcjTpqB0SSt021b6kukYGGif2g9M6mFaCYJYPTdVVD71xQ4K28+Cbzz1CG1v0
xROkD5sKUUU969HcRT6NingZd65g/KMmRkY7308ZlBKkWzLO8ZR5yX0P3M7M7MXH5xJCXVB209pw
W53iO+dngDYCIMAXGH1YZzryZ1/KhI6cFablfRfodu8SrxR0HgwLiDCiZA/3OkwS5Ap9Unzxoorp
/OBOuFGMkPpXHrTztcGC85045+5BlRjI2WVPSbt1wmG8N7Ou3ufC4gHL5jO5R4IiqD2rXD52eMdQ
MlTdqLchGvFntmnND9PplMzQeOVxdY1A3l0EQrHSmrDul3TdI1mKpoV5aLfFHSrSNfCwkSSXuWNa
bMegGx+dwcVVX7tktbqJS/Htjenw3JJfx+iWXd6rRDxzboegheUAxZdBgmX5nAuWWDbpXHo5ksTR
epxVyfJoyVodg2+r1t51ES76AC70e4f05mXT4Fs5WWLNS/IGmjXaetv9EbJxtW5q+OJX4cnlqwN4
1T5ymcl7w9aNGM2+N/12YGv+NYgqGlFrSFnf0G56bDxG7ssYls4vsA7BZ7/MIHpRYjP84tPP7itw
Wq9cUsUPlSi7WKEpTLsVUR4NBvTIviM+lI8p82L7qeMZAoty4WvYQk3gpl7qLrjG/ppth+iwRw8l
yyu47N7fpVwxT4zC9EgiYlv+rGix9aYFkc11C+Bp4MOxNOfWCqs+eU1W3vi2hypGwvb1T0CymZT4
tW5Y+DosSvZejiluP6PALbcMRQZQp30BccReZpbZDsHvX13jhzwFbH98mGyFfKuQsgHHI4bVA+Ww
/56FPd36RBD5t2ne9B0juRUOHabhwpiiSSJvb8AMWPuGMGP4quOKXBaaG+FRZ7oianOoZ3aHsGzi
nVN3vrzEnW4BbPkN0HX8NRbDsKVpl1u7FeEbFgPS1RdAQs8KE7060t3SZcQpWDiWj65PGmONaPeq
k2ykmVKoXezZLlgQV929z45QM+jtwulUxjFxk6Q4+s3WiYcmO1nzvNpt2mJyWQKE6xdmrdJeIlJg
JS08+7iaUas/A99lXZOnwmu2lVVZAQpak/EYbANIYXVpT+PRiVjnwRl1YxLq5hpDimEs1O8JWcs1
w+KFE6gL2f9CN4XChL0XQQES2DA0aN2toSEOXJoXL/dDWFCqME9By7yM8QLKzZs1gWoVpZG3ykGg
CvI8Ye8vO3dBmjc5zG7BJU6wBslOK812gc/V7BCkquhQ+izBbuzBAbpQZoAMd03IExXGvX6lwEw8
1nisxS3bEsGe5NlC7i1Uo6TYSqyre+JGB4AsdgpgJYEXCjUbibxz6+e1BFKY+AyYagsuLA6xzOlf
gty2zI6D0333J7ZiJw8tVfSEoJcPDNVjMx2UYxGZNSodG/Szo0+wogKcsGUFH4/nIcWADtGJbmPj
DzZKTJuktiuP1Yx8XUgfZ488z5NF7uezHSL+3uAP8p+LLCewswUiRNE4Azfzsb/T604KHB2y1qLN
bsl1Nb8giodgYlHEYFLiPEd1uVRdfwzT1usuONaUt1sfO3pj8d5QOleh8654n/dz7gQfPfb0+VYo
Qbq1Nwptb4gFc28bt2Of7qHZyA9tnHt/N9H+pTb234zC+EN8xn/b1/4vDMzwrf+xZf0/Vf/Zfu/T
75+/71r/8w/9hmOQuNl/61Lt9b//kYsRWH/z6VMjSfYKT1yA///Vlkr/b5ZvM2EnEz6kdeX3/gpz
wXKiP1qPA9sPCQmgL3YDam6m6H+22BP56OiMfNyNQlfZtU55yXObmG27vCQuF6iNQQdsjqFOGPtf
OuyQoj7EwArEYyAQ2Ids1MqWYNBt3OQlTrE6T9xOXF2VaOBmhYyw5VzCOVu8+M5KJ2+dQSex4v7u
ZuAsx7YYF2967jzfywRGpGaYRkJeAuyPd4nE7Y/wrmpxybaAgdliGPiX93U/2dNVxxlidxxkCkmf
auf2h9X1Y7nnfojm773HCI3gR0Lf99m4tHoPNb51jqSHLmV9qdoep+W2R2lLvnqsKWNOs+/xeAQn
GEc5dNoAqYzeTsDBrd04l3Z+GCJ/uS0SpsJ3DAO79ILuTFMDiSBtiM6d3BIJTT3FT+vcYVebAnfM
DrKLo64I3yLznneQomyZJDtqLpScYzJHDRRiofVjhLf2lVfAnBE1+m4SSrbrEaoIpXXioD75Mfz5
DuQSNjOmGooAvH78UURu098AowgeuiX265Incg0H3luYT+cQQcaPPiqac+RZ9n7pAu8z71tqMJap
ivW5m+KiKK0a+xu0ViCStv02goGZ92noWXMIj4gqAZJ01uOH69cIQqtgQZmP65bFjDyGetXW74YR
NdumWeBRXcrwZkLg7G9JVVu6A4d4vNN5TRRi3cUWXFc/nk/si/vlOAk39JznFp5Y/kZ0hsh+dbDL
YGUi4nIZcCdpeM+mdsLOaYmwAX4UOs4Zg+uQ8U0DqmW95TT5N2vwyqPsbSxMwHtBqvrJDan1cNsw
ZT5DOy9A0aoZbJZCrbZrglzcQ7bGf+kwjkbnGaJoFyRDRoZB52xalh25Kr9KMgwOAClJIbcThYDf
A/+5tYS/tmE5bdUOVTKYxVjEBIGQ5zkVQ/vugIhk4xvMCKnixlKvSKvNA8IWYOu+XtKXpZ1GlPW6
7adf7Bj1mtRWm/Gx8sEJLk5tuvuGcOaa/AVnbuoY87qJ1b5S3Xzq5oSw4N6dSvbTOHCpPgg9VUvZ
Ej9QFqQFBFkQWDcVnkP3Jm3DFh0K3c6aNqE6wBlsENmt6H1JgVOhsRrrt6AumZuWFCNkYlvLKTaw
2C6DUAgC2C7Fzk/uYKDV1RRfgC924laBS+pO3ryMHtdEF0uWEdC5cW0QlzsR5bRr2tjdd6FLtnNB
MvS+0d740xDT8Y5jrTw5fi8+xgHdGzXOwjqQrVlx7Z2leI40eb8xlDUbcemAx3yx2JYOA/w0zD8L
9jjleHzzqkKE42DqRJ016H7aiIZV784YzyeLYDBDswvjKlkoyqgmIOx27n4YFnlaDNvicUoD7v2B
UPerp+3EeiSJBlNh7xdh8j1w3fa9cLHk3kCJktMpYbWSkysdinw/qNRVSNvo441TEZY8xcKJbycv
La6wc9MnmzbkvRmT+rWfHfM+53O0IzjRtxAOsVFz6SkCHK540TO0H94aAV377R49Jokq4+QdFxbi
D2MROpT/QxdA4JUJfabQJGMMmZC3tZ6IzwWfAjs0i9or+7nxXZqaf1hvkqy9C9WYY4Mo3YULYg7v
mPnHI2VHgOh+GMNrpzrZ7LySKPHj6LgNBNqZdeI4rCkscmjltkKBcicp04gxqj3n0GtREUPsLfjl
/LlZCeI1z47t2Ak4a+PSe9uuWomxDOfZpSSGHTbci2AXpWMWXmlh/LdY8vim4l3Gbodc1rHpwpzu
Wgkk65tpiif/i0PL8rDoBHdInAf2DCpwsjEFFP0Y34p4KsmQmbvbrI2n5xrDwaHoQFDtrMK3nxTG
3/sKDd4bERKN+MWwQOZoZBjDbuaGSN+K5y2gUYUSJiZ5I4+dbUnyAMbLGhE4KJWKHX/81pUMUhmN
sG17aAIeMZsma0EAGuP05pE5TwaDGAQOkpHUx3IdQsvmNdCmWUmZRwcsdw2Zt5Pe2VXC1+dWIHQk
8wycJ7kn3Ahp/dgifeKOT5+CfhI3LM6q/EvM8+kiYmxO2yiuwxUaHNePga/nchu5hCmN1mw91hJu
DuYi38OSTCfBhmhOvoQ48l4hC7P4gRtdLD+R5PgfmIrmhm3QtCL4i+JorTcT+SayPKAmAfYPcoFk
H3y2c7jqOrN77TNc2cfMSK7J4A2QUILRROD1wl6v2qTKPUVNAVe/q8Pe0Fe3Kl//ZF9/a1C08xI9
OcroXrPk5OSttk/daMFBr92B1IqI36MWFZWvJNIBO+N4R5jXMSDIEqwq0UvUkBZjKzIwNm0begWi
qz6gh+kkmGF+tDYuj8bFz4v3wDeEW9ey2qHKqPRhCvCQcvXyjCceuEenOFdWaXjyuYh6bNW7B1LJ
lsPQ84gg6cqGVeo1CIhCZAD2wcMJdpFdNzl8VugNz8lgqXrTOwBhvmE1tDBKVyUHNLhTFSODKQb7
YSpp5Dl3kxDLj2PPPP6y4oiMhU+LmG5qngy41udYooo+KuZ+qC/sMhKsXKvMPrls/CuUr+A5yOnA
87yCMUTxGoHPnfaNsIYOWHmc4fhER0eghpvfCVMWEkrA3AS8qYq1VBunebXq5BNrQ/nYGWZutTmL
xq1ZtwoEaZxJfE3MrpKVFOTjS8sd1bUX2t+oP2t/wXPSACD/js4CKQiqsJZwFFLPxqeBTq24WlYE
4yrisbdZZ3jTqbLc2sfFWDiP9ORMC/0h4sltI6B5R4vTIw1DCJ+/xvlsvVh64UcbMi96tdqFqzcs
iupJgbL8asZCfMkw/ehrPI5+e694VK3xW8awRYCPsukXIi/2LIDGh8YsJYdxzuhrK8M8TN/zRCXf
yjT2gm2M463dznmceLeDcGCnygXDEZraFhE1/rJg2ETkB//gb4po5Ke0epK130zHKUyoShzm8B+1
aS20z7kF7G6nLcSGeHxgTIGEcedzL1CG7GFYzjlWBtdFChQBWQU7v2TuxuWU+6qHEDpfi/5sjc0W
UwlxninYJijlZJ4XpzU/MMrNH7Nd8YSsRoyohxzdLWg/+NTWpqUdfBxh+fnHTtl6ep1xW+h95y8R
ly9cxugQuwnSh8y00S1fcU+sk8iDU8tN9bhgJ/ucAk1oGCkxtoWjg+zHrSfzhp+PxG98jaaSgkQy
EpG48EMe4annITKUSjqoU9ja60sbTCU0ATxq9Q1abVc0SF6WJcCDBfWqPhbawTqMyNW8oE7If+At
64i8AJix67puFNuiIj2GEY+jKcFNL59Hpxf2pWKNnZLtblWwEaoMP4aNyci9m5eY0gQ+RMPQqpPt
tS6SkEOblrm79rZXfw4tMOR9wttX29l2km/QrJP+wa9oxi+9r60jZrP4qeXq8Y+soEL9SVZbuiS7
kvTnPXx2q3maAoDdj8WCCJMkjikX9nZ0ZEP/TQyf/4r4ucPGyYbspvPxrjMYRF94dCPSljH1lema
zy7Nt7jCa3uZADtVW92Q8LQZ6jF67cFnisNoV0wdKLkAELNAr6CUiDrb22ZU3U5kTYA8sDeslQKO
JHD0ie8h+J0s0kjGIpoupFbgI3R93FWbMC5zRnDTuDz1UzehUxULsMsK8vKGoh6ugR+A7jk0+FQL
vo7Rv43ZWrObaYDBHgig0L9SPErhxsyB/1KvJ+ominRylw2Dm34JxEJSgeNVzrSXvlbOQ66X0MO8
Yhp1CStHfiv7Ag0CypX4EiJdR+/VQgXacypjcPdEpr66FYiEG45dF/tA0obdgySu72dLi1hB1s2G
azPRJ5zDpg+HG2sRyedUa3WzjMjBy0wIJLS1pxjRSpNeaTthUPO395u67tg5IFKnETjjLo28W8cg
BLuZs1K7u6GrxQ/tqMHFzpdY+TdMI9X4Ay8O6sNMt+4K9k0NFacJym8zLsejwo15M7ZuegnAIlOo
Jcm3MEdGjL2n9N/dSfb4wSyh3kS4BExDdV0+BmjA3njPuA0CvYqPU4BQODbLDhMq8MyQ9VFc968A
Hpz4CrwoClmEqnQgq7wt3asN9WadPE4FamU36NKXnLGz2gWOtPOnyZrL9lJaCBB2uoaRpAh6B5t0
nhLmy1dDetawR76UgASOCYwhP8JVH25Wd8nRC7z5xasWy9prWxjYNa3MxjuEwTEyCj5kVMGKJdcG
NemcHJfU8SfEC2E2/TSoYvzXiVjD7lguk71jGTSism2Sp2EJrTdMes4r4qHhXFrpot+8Riw7VCz9
F5fzST4CvFuGzSh9wzUdSGs3ZPlCQc36AyNqX6ctWSmkCJyT0MVyA+va20b4pu8nsltPYVvJY4qC
bR970AaBp8ZXe4pTcL65/SYsXIQbjJW+Zujf4A0bBrha2UgJh06kZHsR0L49oBGxyQpIF7ffSN9D
nd+kac6mjeFswUoP9yggizC6UusOXyhDFZFeQcFMrpnn276nCsLpXvpRwtnlhAeq59QG74TyDrhF
D/ebQ5A7uoJmU7wzdy6rq/ZtWooJ9e4Mk3uhuJCBn72UxGzOa9qIQyNsgpGYKkxocdVN51LI/HtN
zb8DqVM+TxY8lzs0ft2ePPMAIo3dXD0bTz0DEizpoiTbZROEwDhwCxd0LmRfdPd1YJBwQXeoLpCM
pjtj19PwhW1FcvEzCWy+AARwI1k83QxFt/yA1YC4uodIcFck3nicogToVpGNWYeGnLkPctF8ecIA
IIm2UUAetkE09c/5lOlo42Qayv9YLeieITF0P9igta+xi/T70kHbx0iPeQxgcRpGr0HsJM8r5HlF
0rISRm2EbTcWSDuOA+bLT1/M9rMwnv2WzqyAknYRy74gvgaqkIMQbDLKUNo2DkWZky13ZAjwjS7Q
tkjlybuY6jIAmh4QM8Q3EpgB0duUjUdRKXNPio88RsQaRjskzwLEztzJc8+qax+RizLdskLw2cS0
XjVwlcAO29JE2Ns0a0d3O9isf1BPd0iEVSzyDz8Tq3tQ6lYySKf2f7QbqtgHmmoZ/yRwLPlIjE/P
OXGVXqLAq58ypvSGlrzR1Y46sK/ua1hwwOynInL2Tm9Zl6VcGX/UAvo7G2kv/ADZE6zCSBl4REoV
uGrQcV5zutYJM5zyvzZuZhEkNkIlwhpYflRRLedLa7fp1kn96BGwXlttMWvlz3JxGugAM+CIU9IJ
E26X1Aw3/gzqH3J9jcgO43b9saCrbtgqpvFDsgz4QNKio+NhD8/hpjjxTwuMi1e09YPZd8abixvk
VWyfoUiLcJc5Yvz0J9+9uoEgSpMEzDsvNeP3xfN0cayZKUFzjxIG1GPynujYwszlGGSxLiENxMrY
/okconohiXP2n0vjrDGYCS7WaEh1d0dJHB447yP7WAfJsuHBCjA9jcs4oTL1pvaRLZJB5jy0ImWM
vkoI7V4Y39DbsdyhSQv84azIxrkHFVBchyB31XNqR0TKcom5n8SKtzcpub0O5k4/DC92Nctn16L2
4W7Jjo6foMBLwhjztJQPlgt9ejfVQxmchEVaHxCr6BIhXsThPzj1YZrr/FUsqjyVEEnY8yU0vYfB
hO7MuRw2X8tYFvZbH4SIy3XHGJiHhUf2ZOKanv1BvpQE2KzjiK3OInbmdRvFR87K6FlloD42VlbU
RDUNxfIY9yr7KmKM57t13HBt44Lmf9WB9gfRRxn/cyDGkyBlgo/LSPGFkoqQjIBN4Q/NYbYrqgFk
zYgO+34UAmCP50wCjTxTSCqHqI4vRCaGzpZxon1VGfuOfcNaDsuvZ0PMeg17AGX3+ULSyy+YCtOD
5FSa77JlZhoWVIznTOlWd0ss1PiOzZX0Hq2Mt5vZ4mDH84s0x+1H9hQa0pZn1F0ID7AgDZCxie79
snp1Veo17O8mwBUbHlKIssOim+VWk3XIzNcJ2p+6IslMRVAtDrq1YHspRA5kSJGh6kSPS0d+wEbE
kRc+1Nrrca5DlDkk0IQd9pkkvMxpgKgTxr27aX3Qjgj/WPZs5dxVtwEYL7W1Dfgvlynlj4wpS77D
ozGagxkWWDR1RvQcRb4+BU5CymTKlPqeW3l+ZWtnnnBFMwloU6MQN+hwJLZYzcXB1tjKZowuHqO4
nI1bLMify9AEf0xhkN/m6bA+BYMOf489c4HsTaRyedIavxTJWW42nZ2UW41dqyk+8HOQCjAK2T+4
zty/soOz8m20SC8/SxfxEhDuOH0p1Qi4DpnsGO1a1NYoI9oyGG9ThZNPj5b1tejylDw/IoqH09zN
o3mdMeF+HbUsP0xNLk2pUMlgcrcoVlt3vghrgm4XNAYv/dzzzMRwYs17t5HyhDqInOY67rD38Tit
6sc4F7gUklmR3eYVEeM3wvN4eE9RIz+zVTG1qZMeNB9huPreybU5loGuvpJZm9yKoJx3yDSGfdSv
DhyAU8yXxgAzFTMQ/5Qq4EnbmVk4yd46zH8MDaltDNPUEVSFOEq3F7fV0ANgqgb/HLS2fz/WkfUV
tsh4y/vS98p1/oOjM1tuHMeC6Bcxgvvyql2yLe9Vdr0w3C4XQRJcQIAL+PVzNC8TMT3TtcgiiJs3
86RzmsQa3VVd6yfHVnhkzmLrRD/tLSS6kZOxp9HG/RECTvFT6jR8r9Xaiod26RbaNmab/67Ihz4X
rVOdclZuDNcA/C70pOX1tiBsCLYTgGGzgUuHr751SgSFQPospIdFpN+BxJqrakefA+RZfMQJl+3S
lhWuPUuFhQrX1t8CWTHVgcRE98dHjOcxwuz+POSkyi5Iml14KTEmwX6EU78ANCk98o2krU+4Zj21
y1JLMbkvsjU4GB9Tx1GG2NzQAYgJ7AgAh7z8OxhjG+WFIrsDrxL/bgEahbfc4Yz051fOPZ1rKvlB
aARbny9phjvZp4/k0NQj0jOpxVsedc6OM4HWh8BZ+muhJKt15NhiPigbw32qnGBldRDGtFJZcKb3
8RgXz1MFtLngDJnm/br2GJRqXA/I7akvnzo7jh+59Yu3Ugn8vyIULCIiOD7E2z3rj0+hGAG2Tlz6
FnJWYYO6JkVZPk3enDxHgvcF4LsGysZAst39x7mXf6zRGHcUmFbpw1QpH7bbzI8gaJwT5cAhNFWs
XGLT5aF/iaCV9p8Ju+yvMUrkQy67ZB/VtfrI+r5m/56l3FBXZ0pPXtDAlhu4eDaHab7JlvBC5vbE
QePc21o3IL9kDulLG1E/EoCRz3IRtr04KgXAVMZ9+sWm2/f2RPZz3jLULOzKPq8PUYjqz6IJn0xP
/2qyncrWA1ZlVLyAiSGgxpcr7NJtZ2ddb+A2psurSYr62PhpdLFK6q91tTy84a3hlFASZNpMOMEp
ymBl79LYKe9oyO4a6Cyj/nPDsHaAbidriwPOfoqjWFtXZ2z/t2Yb4gmHPg2cnzGwyClTy0EKRhZR
hjF7pHeigYmz4b5v/0u55NyXrnbQep1+efQmGX4XkGdPq3LGF84V4DuhbOBDTE5+H/kOvXUJyxtx
1JWiMY3kB3U3UT/SJSBtX72QKa8S8Hmz9g+gT5AJVrlU2yV1JXbiHJSNDrJ/bmXcl6KLut+yIBNS
VaTLf5fGI/XRNU5T792liZ4h9OL7QKR0/w1hbB+QzoPuEoDunPg+EgDiNJRhd1JZUYNEim/NzJlF
eXtGGoFIQ71q8ZT0otZ3kkzWcidoQxJn7jLmEeiCn761fhCop8jrTc57P3PiJwyu2RG5A1uYLYHc
vpgumu8MXPFpUxCeKo4p5T7bKqQ3ggZWskc3F0BEzNHQqXk0KQ8Lh3DOuiuu6YRypzENPkW2KHzz
fuOV4O78CV+Ed4tnUVSEjR3F04wUNvP6A+rgNivtNBnVRthi4EdtQttHZEG5I3/na6rKqxymuaND
EHf1jnk4pdUbam/OkVeL31moNAsYZxpfg76ayCmSidsxUDJ14fijxZKXSbglOF29ilrMlI45NTkB
pyLeFQfDtGcmNGBmIjS5dZc2XYQm7QQVtj89yhyeyRJbXBSRA9KEZi6JuruNhZqPM0//64rXmsZz
fv9pY6d2GLaJcQq+ybX/XxaUNGoMQiUf/LsjRcJBf14wtR7ZLY1fq29gYWbavqXVbU0V5srHNRIU
BmdRH6whN6RloTo7Vqv8RYB3du7TpBXqOQoLtp4Uj/oxi7q4e3PqPn4GGzK1YM5C+ATrqpN70JAh
g3+Sd/1zm6VOcupzn95SQp9TjsetT8bPXOd+9ycsiNX9rDRCWQ6ihPE/9MqqPZCxr+VzkM0p/hiR
ecBdRG3mv0Ob3SxW+Rime8q7q3i7sMFjm0mJpbO19CV+o1Mhl3Fhmb96E2TJicCbBNWZzHi3aiOu
do6d7cyrBlVqFCNveOIo3j6lZlZ+xlrFX76xDGfZ4lFu6+TDf7Q4G4gm1Qixh7btmlqYAZm8ODOH
BxfSNmO5jWKfJUfr03ey1CZ5kDGxk1vCN9JM0xN4bZiwlK/1qCJvvGiSAZUnpq2NP2TJFQVVY3zH
eZBDZpy65hhR9xdfiZdkrCkrP4I2G6ymnx58v4zBwaAwahxJ+qato3u8lzUB12olV/hvobfFv+ip
7Yh6FSa8Y9mAH1KRCxx3ZNdWKvVk1HhvpIu65TJ3ithRiy/zM2czj076f8H99ifF5hP7VKQTwR3n
VwDX/h7Phv3oG2iAd7bER3ORnBYTGNVy9s4ZXoRzrBwbs61DpwjSZq7/Q1zHI5T1/rLL6CkPjzGg
5Yc1CsqF4QgqZz0a+orIs34SAu/zO7Bo3ouFyrFNa8FTnSbRRN+lgpQNaviModBicVwYEfJeJfoN
ZK9N96OkGvthoHVenr3YWbbRMnl7HOTuHRvZ/rc1dcLTu0w2szuos96DNw/eSx1S9ASgPKtu2Uwb
xTviXqQUh3Ammkm2/N0s7g2vyIY2Ah5BSoqXTVR8kAlTcCjQBjcLiBEqztI+lu9+atcvdxQrzw+O
hV+894BjZWwomvJ+oad59cj4lKBKN3jJx/qjgOBZHohGqvhxZbpisk90Zw8VUevylUkVIkafcPU7
5QWaTrMBVjmtf7Reg8juWBf15X0xLs245x5RZfEexAhTHOlpSATVPhz6ycH/C74hzo5VF2f5Z5JM
MEkiyjtN+B+UZSfYcGFBgzGondOzK3hPrAAEdVNAb+xwN6JWmn69hIMXak7/IozGO0G8L+2wlXmh
354FT+b8UUdl4T913ZSUH3GZ02K6XTUjaLPlyaDzrFt917n6wARo0o7VZI62iwqImWTA3OPqEe0j
E4cl+tPXYwbUAqMDIy8Gbref986YaRwstIZTqAgoDshsOGIF7Kpl0K+KBUzNfrdmB/TmBaCNIEfU
9AGul070Tr0A7otCY2mKnjuCmdMqS0fs/IH7njpmiNIkOLuIniaal7nhXUGcJ91/Ld8abvl2gX9a
ckUwXIoTHy2Jr0sYzfcSNsXIgollGSMCGrZ6giYrlqepFlWD8VFJMNJixpaTYAl38bqT3ZZg6jZL
j8x2cphdO4yQrhzrY1FKj0vygjjvbdPGmvEkkKwpxQynuryr/U6JR04Ow32a1S7rwAbIiYdfutHd
HG35GGEUFI4HoxZmwyw1CLUbfba+5HLpO9ITpZmSny5MhuTdS8Eo3DPIqmY/t7Ty7uoqSeDsImGv
dyofJa9HlzgcBZkSffkXrKXG7FMdyHbPsp/DjVRwkpx7VXj1FSEtgDRtBtglwJfMDWiSZ9nPgGmH
xCoOpgj0OpGkLtiBwbVZtBVLdLMDEetmrN+zvJqTS7zUDXmEfHbQBFkTE0R8DAR9VZZRTlYkvukt
F/oOA5mB1REzFHN1xj9S/h0qdmO3y3qrqfddU0qY6E9ZiEfPLxpkh7e+Zu4QREesNOziuSmZ0D0K
1BgKIEkFA7spMhWQfE5W3C5b2BsVcOk0NOOtPEtUe5Fj30rObC9Md0qw/9ujiTs32A+1nChKG0jQ
v7L6kxZu0FCSzT9yNswQrQaXh2inHcU6mPYaZ/5hBSOHAsjG6BQH/n7RcKaewdXPM0Zw91+V5g7a
Nk9F/58qHBYr/6JSEXCXYduGLLG4LK/ZtsDs28HlTWhN4E3kRrxBne2CvuH8DIvS5ALngF40ib9k
ODj0Zs9IwkjBLOXQ9cAZWDleAxnxJxb+AJ9oSm3sXCtN5e92WalbeMqCrOU1SgO3E/Vb3c9V96oI
vGe0rcZ0R4qhd7t7WTbcUKPcrAsb41L4X1VM9Xq5i1GzPNgCmsIwEOtD8k83ia03nINts/cRlwHA
1avvg0yQSz0+TF3YvrmwyG90Bi+T/1WLa7qDpekoom8S3V2iJW2w2eDYPq8LToQ3otpNbmBkOlF1
rRHr/QOM6kDsx6Qp3aPTdX22xxs2Fh+d5BJ0Dukxcv7cdgTxWfPCTj45HntAOrPs61+Eae1w1QoG
z4307hXgIiVG1ruMVgBq12lN6HqQRJx1vC3Gapluw0TqH1Ic0H13A8GI9ZDpwoVpMkgLEr1exfKV
xrrwPw1iaHSPEMXleZO5vAJeZRg78tgyPDgU+3m9XimAWHW1Sk6shEUyW8EsY4vq4veRdGKPbh8j
5jcNnn2nJSTT0hbiFVLtR6692QUtpzPnlfvx+tGHzLUXBSXFcfFSDSrb9ZPtlzM+HV89TGMYpf/4
T8ug5YYUlV3ThC0UlcJty3C2dB4R3sa3fCMZffKU5tuqaZ1DiRYG8R+Ds3xxOxfm+dgyJXAmOiBN
GKmWiakikHPKEJPz0Vxb1lfZ77jtlM22YzxZfZmTImgugNGIyPoeZ/XTEvNfTonrwq7B6a1tRVRI
dSl3rEzgIHgCp4GpfA2HAsQPNSdDfo4JZTUHMA90glIX2QYvnB+YKo7s2dfmBTC5kDs7lYbjnBRz
Y+8LJ51c7t5UEkC5aZJ2/BVK43Q/UwOo9CfuqXp44UTu2ET1oYbYylnj3w+OUeEBobI2vxjBoIms
BQrTVzLkXFUOtY829ciXfFbv69Jn8kDMABLRCxknQz2zNxuz54rJ/oxYSukRvPUS23xYkkagJ7rK
FutlHfsyOoTGr71/YbL0xJldk0I6If3Ss2N5TIrJp0bSryL+kI+VbfKQzuDFU0t7bpJpXA6xMe7Q
7pED1fQFP9lgMeMOM+Z8n0aPQNIGoIOAnQexAl7LAk0we7QrDut8s+I0KYGKpOU6TY+E4xf5Tfst
QyEyVNkZyGcT9/7gHt99tHB7QbXa4mMfSa/UbgW5ZExiZ19PxcguyqdO0NlL6tnNSyjk2vtHGP19
/upjTO9PYuRNihdnkdIXG1p/2uoznsAzQ9cvZ9yaG3wa07ocapc9z7Ll41XBQxF5Y3hliqKaAa8M
xo2nDl+fh+0D61Z9wn5CDWXDO7z4yH3gJvW+Nw24YP5UOuayOk1JShttOPKbZhjqnitSaPEmKX2X
HUuMs25RqnmnngraL8H34C+o5OFzKnX4DJ0cWkQgHOIzqo/DHcVyENZaYN3Z1QlEgGG3CTnYcUXQ
8nfMUzjp+yFtwFeBcplHs4/dwaXaaKwn8UIxyQAkOjd182MmZL9HvFz+/OmPsw/n3uD8h4usAdhR
MQj2sTlimRz50q61R9SttW5o771lCK9L05WY2hXEpso4mDrLGsOcC0aCufIWJIMEGw5PLe2wJwBh
7NAHAyB7bdfhuuALazatZ8wW+bDbmbmm+FJW8/oSVkX4KGhagQGFKeRzqGnDJdcRX6IAwhJ65hCc
vchxPuM45F/PHRQeqkmKXz394bsyFu4X103CZ3Xk3Xn8NMCe9JHdLryJDmPH0i9uo/Ay4OOHF0s3
CTTnMnhqp2Z6FMJxoMGuo5uRugPDGHB5uBbLQPNRsAYPmS1cFsdo0OcunZpXSkjBrC5t8uL74Gam
NetIh2r4gQzdFoMfJ8SvlskYRNU6fiTYiGkfLtsjrc3FrldpuZ3zWV/AuEX0ehdD/8rQRN09wwWw
Yj9rc8pYlZNte79PtgiO8oMyadbKSbv8c5Mito+sdkCHroMMTwKw4V9NWYXZRnzHb6el8L8l8R9w
CKlHVW9szXDg/4+5sxAJTwUMkJRs4p+mGHG2UPIavWOYxZcR2pjbwTQG5yFuibrmIr/34wCJ0Skw
pvjU0/ETHkJvy/naY7bsRiw01JUOmCapoxF91ezHSPqn6v/eXGT1DOF/kXBn+fJeg4WxczPXefIk
/JI1WlfPw5trIny7/IHFQ1AvMyT1ki9iMcjmAVo7RaYebpJtSmNwwFI0+T/2FUALTQDDCmzL2isZ
cJwSCZWFfuGKvUd1EjNHh3xTooMSbs0hV2H0ScNTO6v4SC9UwbYtwc6dafREtsJI3ZVkL78VQV0y
qS/Y4SMxhfhuEU2OQyzCT6Ss+hDoajkG6Zoe2JIhFo6hh04wV+V5wZPxaJO2vdhMcFuvppi4H7iU
1dz7K48pw13zKh2W9igG6RrtEhXJOxpomXYVZVJCMDJu51sSk690g8cLFN3IVFOznBXDumAkSJ12
heiKbrSNCl/v2RRGLUTROrib/ZAtRW1VunP8PnV2DPNyh5vwhjOjGndya2jdVBPk55yz5zwa6oIJ
a5mzUKiSsm3Gu5J/+IF5tn0tSXa9A9YJdpNBFWZmSMWpbIL5Uc01reupyB7cNZ+xfdE3c/WmGQ3a
jePkRTQZlrIgcsJTN3XOJU+W8D8XhQf0Po2XfXgmtVO5hwCDw3uXO/LNrU337rc2g6VNMktqj8Wo
Z9fixK2VrUY+iUjc07zwK5Ezl8y12oQFheD3PdLJ/ThXumN943n3wCB7GHfd8kHyNfH3Q0O4u4XG
6G1vAYf0FJoMtomQUX0hPsBTSLtU8whnGkNRyktGhHzdQZ57YHWxs5QHA3V8t0zpOF5CHC9bLn4l
scxhMdeajd5HG2DmX5KoOzEYt4fBrh0L1MwHHjaZ9pPvc31X5rqAjshtYz84Wf3Qy5xsHeuD+Gp4
OeHtZM/JW4Kd1IkqUB63mJr6N6ToFVJczi7bDeWFrTYpK8ykIOw71MHCx00scjk9ZbQZ7SQZV6rU
F3ojgiq5hlxR7ylTM7twlSv0Wo+L85OeDXmofFXVa5ek81PCz2HLW9svDkR11Y/Fywrna2W2Uljl
vrh/ZfbU+q1LaVDhvLQEO4ARJwy3mybW1XZVS/m74j37WUoLDmUkg8m9yWXbliXZzFAt4wUO6Gwm
Vvlx9N1Te/Qq+iFEK+HigtKiVeafArYeEgCungCVsxRodwm7rScGp5l5IGreNV7hu6APsrcx9U10
1mhZxzGhZf1xxebibeYsXN6LvHWvBTEXFhR99uyhIZ3dZZjPHYuEHsqTTqHd5QQLC/TmHwyYEaG5
RZtXFEjtUB6ixmw3cnedeUYL5MsVLjz4GC2n3aCa9ify1uks4lv1Rw945W2omiCDc+qq7lxpjLr7
PunTtwQfJrUrEuAXiGgh+F3JP/q3dV58lX5I4r7zPf3fFGbe+80RkRKMWcW5ywVA+qJum6OrMmGP
hZ+760dj+qRCk1z490988DLYoZ+F499iET5rNVmyB2Szj9vHXQDMO1Xilmdj8UrvnTCTembf0YVc
BglwVy3wmGqaESizqn7OXXYPtwnfy4EdRaNljMzdIgvueN0B9s/KpMFokNtx5nLk4FfRmLtluXPD
HoT8pllL6EDbLsP+zo1xMWhmgY3KexB3AisCe0Jornzm/W+M5A23lXpU4x03MDCDPUi/p2ihs+HZ
yWToHpwkHdJzh8QVMkByFl54Cy7bJRpxgOQJMYKdKsBkM4HOlHTggEHZdgqKBn+Bvs/pf0mxzx8M
hw7MKzOOJd0AkcaLmGX6k1Qeg2LaBaAPqrI3fyeGQqqFWmUunF3Ol8tVQ+2A5PC3dzouPxrjJw+X
4hDZ1GqqR0ychU0OYRUm4pQv83pB7C+fC/D5zXYlNhp+9kYp9TsVJY6GdXayhpoax0cchV0N+Acb
Ocg0RNryjkwqmFJigzfn4eLnSt2V1EYkbyLkYzhSiZWpf800UfShWj5/7qqKY/+UGa2SP2i18wEx
A9NrkyQZVEHby/qXthLDLSRxSN+moFWmwOOrvsnU9Ia3tY29l35AJLxn+TK2qAwLlLdds3RJd7ZG
EGraE/QE6bGN7BBFZ1TI4Y2h1BeEPmoqiLK4FnjTXY9g+dKaDC5TDidqEyve/79M1STBricsuX5H
cIy+XMjr/EBWNugWBa0IoUUNPt0y3EGcnhuU5oTauXNXohQnfk7e0gFrlbfkK3Lybj0h/mDOH9mO
OofIDPU3xagSu7rrNl+UsDCzriUaCuww6F/kqNqXZGqh5ZpKgrKv2xsawSu7wzgC/7t3EF9z9hfU
xu0Jm+n5O4siALBQups7IFBV8pxjv/nBgEzjVGwatbCx4wV9i8cRvuiK4rvRoeYvt9bIeAutUMBF
qp/KgcPNci2OT4aiuHvcvz+uTlIOqiqh0uJzXQYydMhfUTMfaM7lfVOEKwjkbcLWi4NPOcK9YrHq
KNXgAyy+FW0N+jg6iQ6o8qjYzOIitBCXAytgs21VFzn4zxnpMvc0Ql0CN0i2wT00TQjDly3ktDAH
E6HCmlWnmSyf2pl987HJVtN8OKYHQhWrISOyPS1Jaf+U5HXhcnFtJxPb+BNpLTpu+N4lnflZk4y+
FL9pw4XU34whB+18xbBDjyfHTzCixSyRhmyfD0P73bueWO7wRSfkO7LCRM47WY/Mb7jMzFP2t2f5
SFy7Jke7GeYSD4vFAlY/iFaUwGYnIshIlqvR3ZFmocXfu/zPMXdRIIDsoXHeL6dyaLLMbK2O2v/U
ahDzLvOCJzPfzbHf6EvkNFm+bnXldgnI02Ctw4aIcGFHa++AroHqOXDtGld/p+j7w12PqtkuV0E/
m+y2LAhDRQzbmpCY/U0Hb+H7gNMiRVDSYBODpvkda93rV8gastrHUQrZYcPtJS579h7TIM91bcLv
lU9K8lsB9Vz20Mic4bMdsB1sopUVPdhNtph2MySpxbgkkqAfDnruW7MXk9PMPBJNaCn868KZ35YI
d+U9mLFfnGe3E1UcviNWAUR204FWJ3oeNcgxZqUBd7SNOhp+UkGg7B5GaWzynSRB2vwztfD8b2LO
7DH3tByS8Zki9ir42Z+VbIrgwuAL38SnA3R89nWPH7XzA3e+W0o+ntcBMXzZhzhfx01O0vkc1Vig
gNnf9Ck1L+7BGxBIcccvDQtL2Xdnh8zVHWdSsU0ndlMXfPq4CPti+q7ZKu5qvEjBDgiHJtM0V5dE
5LN7GAA4HwKVePcdtvbpa+gNZ9BeB1U+HCIxzl52WMJQ8xIllRbdhA8LMq7vRQSSlz8fPVuVE/9d
4S/W+zUaqj+JYwzlCasFaRk0YCDHGCGDL6llty4HEd+Sqo7nEeBPJ1im83joQXsvqD38APYRqKSH
QRJ75FDo2mcssPnF76Pu1WKNhT3IPHWl/lx90KLGLaLzAelOY0GSl0Ut1TWBM+CStUNMQVeKA3Y8
47dY7+ogIFSCF1eCkRx5TSIRoxBMm6nJuuqo6A3lH9WroYFMVI/1DZUWmMUvn1D34+4uhDXLN5/S
6OcoykS/iRLXPvgKTwpDNGtT6s0ByyH+aRDwI4vU2+oTx3rNFPzSe1NK2FUO9JbhyfM3hUyrlgcb
MuI5EJ2fAktBDzm0Mfv5bZKLftcnfvk7oIB0OwO99ZhhajZpErO5c41XqY80NHG0hWXeuTvwjJwZ
CsV1W6ZoLRud6qI/tKEnxodVgwPZEnXTK3aFmlUUQSL6kRBW++xzEU7/lghoM9uRdA7noMo1EOcg
mrwjL5P5y3ZkDcjg4NLp5STe/cyC1HWNA9cDw0kz3E04uAiCrtlO1VM57QCSh2fE3kDQnGEhwTqC
dVvFGvwXtZcUzFTeaH9ERGL3TlE8/NKIOdLnBKb5mzfHCSKLM1bHqKd85uBmzJOHJjEAGcvKXxif
vSZ81CgpT21dqosK6Qa4qsQMlwrqM41O3KpNMyxnd5XZeTY6PgOCib4hrlFWqmmL2oZ0QD4xHfPj
2pb52Az7mGTHdzIW1akhjXniURF7phU6czqN6HYpLbPd2SMWQlCzHtbsoR8wCZ4UNVDi4Abw6DGd
OexJ6YCiB5Y9yA38n4nomCgxwGrinspLc1I/plgYbZnhY5S/dV53nir7uwpdnqe5N85nJljbvHoN
XqddPtFmn4BHfyC/IVgb8572GRogkvYmoexlnjSrXhjE3JqmmpZzn/avBLUAmm43ehFFdVwHXoes
QtUJFEAInsuR62Xf0P/Ahi577Gadc70maLmZyiB+tl5FjG9ZbAvXtnDtphud8QkuYnUAnNtc7ATT
cg4nfEejsc8N4cetQ90MIY9pMFcra3ItPHaKiVMm886bKAyLFBcP9sWJOtjIbx6htqfbAIFzl/pu
WV8G6d+6ZnTh4PN38G7GiOa0hS4meB85mDRKagLjPnWwN5WUGNzW7yCdt14gcRUh9HTuGSxy5exi
R1EBno/AplbWXxcHaw5375EA8AE3DAbnNal4fEtalbYNkUSiS3Bn3Y2gZJLymzGO7KnEIE7eeh7p
Zkn8MNt5bBBOhgIcSmtrdDLh5c5fguLimMlY/IkGPLmbFcjm2R81hphWJ9TD+aiJaCxB/ickV/Qr
rBuKCQdcUxcSZt1BRKPa0/OTVZ8GWutr5Ef0k6Q1W4pfChDMWavQCw4t2yImQ9ibhnJP9g/7qBTy
L9CY+EnlqyNPDRFgd0vdJGbgvp6/G0VuMCT0+Nzavt41uJnbrdDATVQPd2pL3ZJ7Vixzn6jBHp6M
oSn+pWQr+tiP7F+wM8TMUjWGI4R8wDgbn7q1aN8y/nWb0sM+q92OAXBum+A7nlubf7Vtl9+zTeAp
a9sgCRhCipgwNhLXyVS41ijlwXb6ODadqQi9Y4Vw7MLKkNMAurly2+o05i7MeHZCXH5G6jqzbkEu
wxxduUn+GkYeA7AhmoURrFnKf/OgjbtxBFr/RtJvAhGiBJSdjoQMhQqse/DxDbxa2hkhiOXGPQ56
SOFoll3DkEPQ4jt1VuJgLv1SylP60a28EkhLx7GxVZXTooJw5XggYdwPOxTM/Lpwd/k1K5e/YGwi
wQeUzwa7NAqXT8VxMBhJE1lcTy8MvSJ9SCBJ0f46BPepD0jtkpGlyA4K4im/wNSTTnLpbFa/WZNU
XFDZ0g3nJRiW9kBwqMHGy3o1rXbYVjErkAhwH3K+H+qE82D8wkcggUnb6JYHmUay3VlEE0g+ddMh
VmWCTlCFV7wesLAFBKPyXCydPs2mar+6oKlpCHAb+mdoyr0GHVxtfpnO8S8JArT30BNXu86ZJy5O
oJuTY5L+g9m1NfeWtnp7nvspQuHueYuSJknCmbQWJFlUcvgOF3MbVptOkfXqtDtVZ73MBuWZ5sBS
t0wX/RIN/1YcqlCUIBMTes2oq4VJLCf/kntcK95mEPNcFMKs6OJ90+fU9PEAt5dmUnghsE5WJ5kO
9ZMTUvpwbJpb2nL2ZmJUHsk69a6FXSnMsqaJcZc11ov6v4Sm1B2EDzoSiGFimdSaGvuNxLIq93i4
uY24PmyuIwk2cNsgB2oug82oT+zvMjI1wEJ2vLXnRy6vw/BBZoTkOQa1oDun3J3S0xpOxWW1zvIn
1sjFtncbXEJZ/iEtiZ/nm4g8f6gktqTR2PLSgZH79Wdl0S82jK/ru4ejhm80O17ciznz2NUXjefu
auIMmOTioDwN1E6kh5BG1jv+itAXmBCGfykM83d/9QDmOQrHHwXCfsiix4NJgAmzpieh9k1yTNiJ
5BK0QF+Q08A6UxBDxF805Te7mpjXTw7Hkh0OU3lQsJogPcvCnY3nqVhITB+zKJ/FLmgnzHfp6kKb
0DIMdLhTI0GI4+qXw39+PPbPBk/CurEyRHTkq8DmX2IyfaaMPX6hVjvfEhQcd4aWjL3TT/2e86Xa
WT/Fq2twki1v0YQdI1orc8RLl6mXtHULcQcqX/RH2iRshepa2/U8RyA89oUl87tjveTf64YtFT25
zrkLhEvgLaG9oVtpWxsz5N9A8xeDLjE+5ljtLgXC+LcDQuZjoNDC8NKacoLKKS6bhqzRwZ3c27Ep
YDkwcIQdG5/SOVAtoePTUoUT/TFkmKDE+UND9ROsdyo4B/Ix2i1HfL8jn11HXMLy6/LcR/ylO9YL
OyiyaSM3ebpA41540aTAx8jxUZytA/uV5Ho+DWoCKsB1Fr5NeMtBdZgefngQaT9hR2+ujJV+sBnT
EIwevsi/s7dEfJ8QWjdDK6fj2k3mAUcLy1095yuF0VX/uKLBnCPrT0e10LTExbhD4Ct8lpd7Phfn
1ZiIzLRYcatWKRt/pB3T7ScT87lKJoG9Szrhwy14Nv9Zt9fuH8dimaQiB6O3Z0tu5eSSm92UTOqR
0FF61p6LiFRPhpqhuHABcZUFnRa1XBc0G/DuBi/368BMc9L00zDNiLY6lijCmPkjiykUkJnjnGTi
ca9QEXn9g0MMjo4BhSZOvDrmJxvpNOL6VK98y/jHpFv0zMcns+Y6TK1+yPmB3+MbImAmcy/iezcQ
KBa2IZymwPZtktQ0F8bNcE8kJP2rIVTj19VhsMWFM+T7WbtsSQFuZKQA9YyBk6TBW9REQf+r6qFb
obYl86ZGWZGnKOkJ4tZCS84FCJjwrro2HmhJDcri0HshAAHGmhliJgsA+eYNJgLs2PLTYxXPluE0
BYlOKcZoPbkFJSuyU4OU3O0leBasLwlbdbKwdJsoDzv3LMgH+ZBUWDYDmz/2jnK9J3Km4/Qwkid5
bETN3JvOiPxPbqJx8GOSDHE1sFc7ek5xK3vmJ+9sUuKrCv6HWbYVHNDHYpk1v0RMkIdA9e+FZdkb
90zMjPQUxA2Fdiyf7t3R1hj05tGvjk1v0vTQpRGNZqXXZ979sEI+Y1vpY7qnT1mdIsSb35hVqz9L
Vk893sIUcyzvov59cJijXN7dgAdXfHn6OLeOgHzgRUcysoiPERtSsq/9gjHRhwo+5vVnOcvkb5CG
8bMsssh/WL1mLu+YBzAy8nZfmp1AS0B4RXu+trBmvtNAlo+aH+czFnaYidDLqpSdmL/YaRuPoZef
/0fSmSw3j6NL9IkYAU4AudUs2bIty/OGYfsvc55JgOTT36O+247qKlkigW/IPAn6xXEvCi2yu3Wd
oYPPwEx8gDKDiWEtDZoXlhcFayFS0Op2pSm9SeJj3UCIKggUcZw6YpaZzkxEm9nRfwWsc5KdkbDH
WxWnI71AZ2NlzJIhDHZzSsWH6wWJyZuakKvvgwjBy1aJMDzOYxbsXS9pHuuRaCC+GuAiGz7NgKUI
cd6xJ+AaxO68jO8mX5o/GUD23xSzxMpcSSq0lcrH+TGuERWsJ7GAS6hvQHm40r5+mOLF8O24RIZs
VN2xUYajyiA7ipCwn5cgLi6Wagp1thYXJYvPQ6v2lkn6k7NY87aebXkq3CD6FRNiB05h2as7H/xx
fIZ5VS6bWYhWbZDvFvUpAX5HAlPVbVhZRpe6nvqXHElxv/IjJF93NfVFADFp8VjR5Uj95NLhl1qH
pUWy4ZKXzM1iZtrmaxz5gmA85jpC4u63ojywhTePcRZFI04gIlzmOG8OkBWzcz054gB1aXY+WNYH
6KpzKockQ5dMUTe0w7NFR++t6fqD4Dhn/nJgqzXjgmu1d529MQofEUfQ0TU1Nt9ziP9iuYUouWS9
4UfoJ6Lo146Nsu5kLOHtMstBVLW2osCRn4U9udlLBwl1Yi9aASDCjhU61Mc1fy/bcttzMXK1if2C
m4eDAYmD49zZhBs/5JGeNn3ajyUzeskWBFuevCLxD8cL6nxFk24nHAMBUzw2FfDP2kvo+Ut7h180
JzAnEZgD+FW6/E9Q2nmvbtlYIXo86ZtwNWgR3BlDmOC6TmoUFVjyh56TNohoEVMADP9gffY7FRTC
P1vtgEoFL1Tv4xEYy4U11ooZEQjzFSQpktKd0BXpqlXjfOZFabe+38MoKqZwUzgh8vdUjON+sZgo
AnD0oAhVbphHO9Qa/imbqced0JH3JcYOTBWzG1/w7TboC2yKBEnfeS4iR36bIGvJIhtCfCpPDjFR
wQFgFI4B0AcYgWtyISAUYKYs60KTNBdWDnk+k+42mjk7yAd7Nun9SAeR7Et3YOSdacZfpCO6qd67
tYUfOBtadZ93JKB+YZPx3dcW/9V36/NBk668ZfeNHIKYoHsIa62xbxeOklvU7qPaMccVy9FjXrSa
7aEYTjaIRzCsMOkAuZIDB03F9thzVNPsf42TkfYhHhQNN1onNhxJL7k3RFaN8785yJtrx4JrBh9l
esSE66rIGdzPVZ6rv2Ko6uydBYSIDygbsvJ/i2+0Iq2cPIT6ftbtgsal2839xvM2fTGWAet11R49
Kgo20k7Tl8uuQ9DFq+/hbAmEKcM7muBF87cGy7eklb2vx7R7j9hKpU/K+OqB4RDRBp3ugg4eD9uv
Zo0fw/qvNF1no89R3YklJicZu0HrvlDLtEXiWWAYVSic7Ww4dH0uN8CEatgfCNgzVKS157xaY4n2
S3ul+gZQcGvcDGlQ2Wcf2hNLyRlt2zhNFNSSVyOOyGk6wJfhCHEcfMxvaGpRfoHp4mjewX1CJdoy
vlXbUJhlJIvJgSNVMFh+dwm5YpPD88OAyDcREqdyuc+Z/ID1alFRbfjja3y4UchcZsxYfncdLx+W
i+c8zNJ9r+MSqCV3Hw5S21j1Uff8nSu/jXUIBwdL6uNYzc5wsWwVIZKUMkU12vOPyNS+CV+G/sKr
PF1gMdmnTJfFk2+MWla1iPxfJvzBGa34QAhzsMy4UKgsQbch776hvHr54bTjbSKS3vagyYJl7cRc
OP10m5AsHiz17kNDppTL6GQqc59kjR6RVMRujQgdL390y1phWnG86QsKSXiOc/ST2wW7icClKeb9
RFwV6csQkz0gLU3rb4s5E289enoGip4HsS9GBzwceNEUcLgmSUE1V4gmytPim/6+zQr90gXIh3GU
xKbYw8AxOWmv5B+tIDdVzwv98to3SfHQsfieVqEd3NLKgwVcBNo0hWhwPyDW2Vq0+v/x+uOKsnqH
6svGDQqwagyiYzONU3AgrogtO8av5bVZtJn2svQs7znvMnZ3MeLVYi1DGC4r1FyScXwARuETe/nC
C9vHMrz0GVMsopVl8x7wwSdgF4ITrqSkOEmZRHhjCZXp7rypt/VaB/3yiah++KZJAHHcDjN0uGiC
IKV8RogxcjWI3u5wtZN8YV7AYkHsBgxm2bZkjXojGyEnj3Yw/hHHZTaiUhYrCZpxLk5/RyqW21ya
WKUoz4TMdlVQtefJ5vq7YGHSzjm0C+/klV4p6MbZlR2RunfunWVLeEuhGzhfGZSKgMRMyissCZYP
IDdRbZA8FOiks4/QreWx9RF+QrAaewWBIbXNsx7s8jWoqfmKMB637HXy5i6v6iXbKAnHZgYu5Yl3
k9TTT1TW1mHqawKbFjPPz4Xlq4Flc1//+TfZ7doUXec8YSxwix1FqYUmsFAQnrwkTWbI6FZzX1DL
nCEnsDMIXa9vmRMikTwG5RhtVcTAqtjRg1JyDYEpm3030EwiyF88prVWKC6FvdzcubNbNOiozEQI
EVbPU4nKfgO/rElpPqblqCMp3R0odpbZ0FCQDwm4ffUxrkjTceswfQI4zuMRwMh9qZFk/4ZuFKwd
tE/3adN3/xG/4tpobTWMjViIMxepZn3Zhu8CqyWM6hY5Ek+XZ84a4fqpZmK5BjnSY+CsmTg/savB
IWgbdnLkxTKffJlJJUbd5MA9Kb/mxSJmesIRSYkeCf7TAqTSNnEa1hv0Qwg6Kdrr5n6KBdzS1ODv
aZlxONtAkhVd5GNJwLyxThCVWXC0reejMOsoSUMrnglRtUx4TVlO3Dd1k7+mekRAzJcP5cznhdAy
Et2mhMWkXrLeYgnaGOniV/SRMt78FwgHhkEdK7bR7aVFLY9OVnXFP9gI2CUSb2IY6gp1OyhntmPQ
6pqfBbL3ZUnn5SfRynu1QstS97AaK+vM2CTlZWEb6DL2qFyz9QUam1eTegGXE7OVGxZNT3cs7hXR
ajmX4rFMlT7GTADlbs7axdoUODL2XKxJzAmfjY9cxS2b7Dgsd0FR2uTbNna2V2NBfnLWZuLe1zn3
g0UdBNKRJ4rQ5imsfhgRQxwNMV4ghOhvM7Bk6A/LEjJKFBp6BH7L4siLSZgoGMJjh9oTens4R842
qhAkga7quArhm2GViYuhlpse0kbCXsbNfoUwyRbJvbpz0QFQR3sh2l4C9NDDdYPc1GWLOY6HQbEs
i0JM3QGg1BORAwqcDbCjCsMtphoKN3ZprIlsnFI73CLTuvICppdmSvU1q9oEF1uDO+dSJAOleTTP
GTnUuNzlKEifAsOwOHu7K3tyNW3MGXC0ZPLSMI0GjWN3bXKm1ojPOsHUAo6UIoLjfhErrwnD6omV
8dI9wldEeQURrw/up06x36vmsnVPNVt1nl3Qi0i4rLidtx5Zje3dMs9lih6HSMANllcM8xG7rnkd
Sxcn9dACvsVPhbJwg3b4lgqHojRDcB871V+7BNWD5Pr6crM+eJ4sTx88y3Au5QlCZls4U8Xyt2ZN
7yHsfyDfjzhixDLB4+Db1dviZ7nZNro1V+aJKnkO8bKQZVpWqdCf8WKHhCiKIGT3IO2WycYwYlnX
HnOHvyCNS+/Lo9X4M8WMLbXLJvWpaiddxwhIAizpnWK9VIzuxa38zuevNtPyQp3s3m4sJjYF8PN+
UYeCBqt5lcQwdP8KHcTpDx1Gir2hX+KcjNYO0zmLIW5exb5vQShbBN6uCGKA2a0qg78GCvybT04k
PT9TD3CTtNKIsYqu1y8MA3kztwMuiAff0nb0iOQQIeKqFDNL4zkN/HcZFN5lsuy8Pui2mI+uVyGA
cOb66qUaYZXwQuyLvYEe1YZRM6xE2s2nrPGDr6YFQPVL9vn0Q75wJFlmyqr7NX4ZNg8ROgtCzMbU
r1CWBfQCPWZQphwVGvPmi7aunf9hoarJrJOB819rO375pG6UD8EuwEUPWUVDte9QC2ERD2goV66K
glPGyXv2SQOVcECU860dLQ9u6CIyUU0VbN1I8pT3I+x/oZSxUW643RbAAA1YPYWYZoBgLMcMVdT0
0Y6ebD/hbTgZdc4c66/eaY3hVk7lO1oD0z/zpNjdGxDBFnbEFA5DsJ6YAmLgJlWMMwIATGcSpB89
I/tWdvG2V2F411KHDwDQbIBY2N2IwCvzqUyOSebEf0jaVbXhpHaeKFzHU1gv6jb3DoefvC2bjyab
MF1kcdwecHgMzz2ggH0TdM23Bvr0cEuI6K+BiFPUK5YTnuXgTCRQJKlg2YweElgVVU/2wyze2NFu
zBCqYKR1g4p/DSllW7ajfgS2Fckfv5pb+uZftKQu0OIameC4CTPw2p+c3PwnFwqmiNlP5D20CZ3T
TOXknDqPpQrip0WwdTHCTsXGhzf9lsP4yBm+ZaArMJsoteZrtD8p9hQklqQgtXGnsBTzRE/WmGwU
SGGzy2J0Kh+YGDJEgJb29IW4E55+kio82dyPmACbTdXPMGn8Ien3YaY0A7MazdAG+2GaQuvqMWJ5
AUF2T36qCwrygYlg3fm0DUtaBBYe277zAbf2DdmVgjRzH+1rM/0ji6Ca77MkYACsuyy+n/BBfKch
u/Z4G7O6Q6MmHHaoLjjTCfhEBDitL5bkQp+OEqrvcrZh/TRdIhd4NrkENnhRBqhsUCqsAN8Q/IHo
p5VXwn1F17F3W1ZP7PA4eCC5RWJjnHZuDwmXLsJlnuhy+KrySp4zrCgVS0NCXv8jHaEUXKhRTtuG
qJRn5gaFbKMLJqy6eC1TKI7bjiot281OHm8LBz7xLo4akiqrLgsrEBR5VP4KzHv2uysXGwmDB6Hw
dcS3kL8HaBBYi6KZjZITzErnytIvY9qSwm/MhQpvWR3wJD3yGHmamqTeVy6HbUNPX94rM2GxTlG6
Xkq7V/1aGct/YvodpdvchmH7OzjJyAMCSVQOe0qbW1rKVND0aucYUdg4G9ZOKPaCqUusDWn22BRQ
G2G89FO1Erg891VRNUeqSms5LE5gWS/VAMZ7H4xJnN529nZ8vxCAaN+5BCa2d71hvn8eeHrafd73
IXWgx3h2E8fpcM/zu7wB2uoL7qAGMXI7oDippbBZiZAt+ZNM3UhmoVtlOTaOJOO1CDxX74UPvGo7
j7aBgZbNmCtcOnXIRdV8rCcCc+CUOcU2RPjN8AxTx5H8DIjpKhjZpZQOFspVYUf1tnPr+J6lSHYt
/QZFSOZ65VtYADGhw6mTb7ZZ8Q9UTwGFxGik2Wg4+W1hkaxRRbpApiw/Jk90Py5+0X/lzSz1IZvo
9nPJ7HOrwO3sYnYWeGALBd0g9MH7vd0wZxm1M2/ztqPWCVeuyy6UZ6p2ui2yUL3B8wWFDJ8F3CUG
TLdlPMRIIF91taxsLYPqkUE8Bv+0qBhHByi/0AX5ImWK4uDOqpgV+Bg/YWuu3Hxp8Tj0molKJGfR
bxeHuSXPFQGL0SbIFhN8NhxIYFsbZhlXiIJW+ixThhdXFolUBKENnv1A1TEnrwvnYLx14gRjFE3T
sWSfCH0m0ns/qdml5958QooP+A3K6GHG89usWi9jqVHYWmGcub3JQkCr33MZpr5YxegPWgbvHUwW
hCOT+Qn4Dud7hrALyDbbxtGG2r7q2bIOPA3Xhcc2Pw7oEXDBkVzLjWDJ4DUoUvMNH8Vt3i0MFZgZ
Kj5GzFDnVEml7jMmNH90lhEqxa4v2McPlfuWRU7kHphuZ/cJrTL9ae528RPiFAelxGxYTscmPjMv
Yl+WxSx2fXxgK8bXHgM+7XmXobJARfr2hNvIYy6+5cTyP1DMWM917qAM9XoP0i7YkfM0Qj5JwLmy
IzdN/V2D6Lrrq67f0XbhVvJE6Rw0+oaXJAGNfw7wN29AR1gCOpmXems0LsVjQjL0ggcb//A6tw2r
f3Zf7pYt71xv+QP1daa5fUEIL8VeYnnkazJ5w1h8ykH/+yo/9X6rrF3dROpR6kGx1JxjNIjIC5zh
jfDd+tfYTKDxGHc18jxBKmuqZnAqrB+cV5dFenWcysWQdeKIPj1APIjOcc/lhxvuNj9bDSEuotvb
1tsfhM54zjdVqBc+DkhGu+sUj7m6C+BVLi9B2KX9ZwcydFc1IVDa0K5zb+Ms1FWPCxNfEuC7+cNx
8Hbell9/MA4RJokWMG0lkVhFY9d8eeVMndFUY++v0ybL76Eky/HiTi4Tk5riBuSVL9BUCr87YKyN
nWPXUWqMgc/evK35B1eFNXdfjbVMHxaxVBgeTYsbadBEyyOC5Wloq6O2nIpxns9HZAs3B+2DCjR6
m6UtsrMdQKF5hoThRCjBpHPgzljKGMErGpYtAwf5KUBaXPBr5sBO6pBR0tI79ItIrDcl9QLcHCsd
9+AK6OvBPef/JaE1sVLWefxghqqcvtssQGQ3SUlMlkLmsvfssdA7XYAEXo+I8t019W752UoHxmpT
4xg3hR+4K2Z13iM3hLoWdK8IT1xCJL0qyH8A1LZngN5Tj3u7d5+gGBN8lXJOb6kklqunwnwzd8qq
9i5u/m3lRZhKI3vO8ZhAYuFgEntBsf2aGOzqq1hq73OY8X/TCPMzTfT1G9ui36N3tNI3QTLBFWdD
84Qb5htNqvmBZk8mO7QZhvd5cSqQyhxcYIKM4L0mY3hs/KNSCtBPerMwrwIxiG4Nb93c2X0autvB
yhWjHnKjL54XyO++5bBG+ZN0h6KsFPCL0Xl3GCYwJBpbh+NhiORBOuQk+d4N44NMgU/JqDj5W1Iv
f8GlOv+AmbSgW/iRy44P84ojkFOjmUzDx8mI6trzsT9h13ZPVKiUYh64IFxpIr0U2vjfWeY0GASU
Ds+h0HK+i91Eqj1GW2wrkzXJvUnp/VAowclSuHIePLui+aJS2HoJWvq1aMHvwlxFOarn5ewguafS
hPjMKh2JmQ6TkrWViJeNJ1wtN2iK0vc6aZO3gq6fQ74PH5Km6K9Nk4LNop7J30c1fKRd4fN15Qga
+t6tznYUeZ81IJfXxJ1wQKohSw9yYqe/ePO/hijJfRYv/qVouiw/BLx4W1KperKIfEc9tlWH7EZi
ursfBY341gxyxLkl2+Pcunyrqhk+qD/mbYczZueQkDz9+F0p5M6CubKrYQZkq7hNWY8i+0YlayGS
6/m1CDIJdXSwpip0NtYgrkHomQdxa7LQjfD8JgYMJQLj8M4ps+hZMElYcUmRzsvWi90GCSanvnHT
I1P67ezlZkdIHXUWFvMuY9XXBCet2xGkiXfRE1mKhTfXJ2tM47dZyytWK2vnwOc7C1TPh4oY6SeF
mXy/FPWsj3YNJICzqKFfQCpdbWzXdU4pvw8EI7YH5KC5xmMTM9qUGV5Rvc0cwydwd/y2bJoSdjxd
GrzX7DGXg4dM4+JxWR1InhfvyB+IrkD0zFJVgf2Q3TLmG+N6gUf3OHwjzexfwqxGClTI7B0hpnOs
fBjExehoFxU+aEgk3skvm6Jkm1ZDt0rBZK5kz+eqJlhW2Wijm6ap2tSuCwUrV0YC4DWMgx1f5I8Y
G8aNToLwOWHZREuv0xhZmCXZ2GfEs5PTA70LQUUpDmiyzD89NdO3m9kl5ezwhd5w2jqFmdCqllH4
ZgURarXYuiy3vxQRZD0ThcE7ciPAYLso/5eLB4IbUC8d7IgeYOj0ISdiZw2uzrlDTkEjGqhpvO08
Cacrpjo9KYw2fNQFWm6ZIuMQDqUO2NN1r5loe4CpVzYJGk8sqIBFM/fJCIBmzJO7HIdxRyJC3xxB
H/TkvIxD/0TG2YHvOtw27YIcUFms/7DUfjtIAzadra3TlJoTlmqmlY0csr/ATvqVNThcfj3f6gJd
Ob8ucxgEm1Eack8gHvRYmdo17WfBhQaQ6yOm370VbGPX3VZClIeopJ7I0Qg+rd4/J36r78AFxM4p
jG0OVRuE9YMYkfEPUJ/WuOMhmKKqOVMsFWd/upnPJVKLH+La+b79AgdSmAdyR1JIZ0Pf4Im2bOu/
jDTAtZPOgBbxGeyYu2hWjkjBitZV1RqAKBdxoMprXqsczmVeOMeAafNnoNr6blIjFnTK4R8q9+q3
LOvH4uaw5NWNFP9nwo5WwrbsL9MUj3Xfxh8BHPPVwEb0MQpkuYOMbiekxoF1XWd+qAUGm5pLPfV+
KssuLlxY08mn0mpWBizPauzI9jm0LvUzxS0kOVeBCyF253aFFtxYb25MFBuTPQIKlnA4MKUQDCD5
mEvL7KKd0/mEsge1dZLhXkAU0m6SQjE9oLZdUdKH7+0UYyUYa3VABgSAIyNYb8qK9qUveppNAoF6
xEf+DZm6mHRbSz/lkPn/N6LUxT+WU2G19ebYfmj1EjsYGpgZkfEJbb51YXOZtPqBuDK4Kx6/m+C1
HZLXPIqcB3JcsmePtfmm6AnRW2EZ19O6RR2itm6/JNmGLNGEljVuWM/CbFix4e9ulUXyO0XOcKXX
/2wiN9r3GdhjHPVUCKxIiSAo2y8W8YSSLqJp73SfBd46YYsNG4AB3dcMZSdZS7+p9J0gwVK0Y/eP
6XC06QOXpEhvGpvnVIoA6lSY3oTnJQogld3QoiPId9zhzovvGkJ2/K4pvkgPTPYL6vt11nkMtmGb
1fsZktlT3OnmmS6Fs0TqRv8j0UOvmnFBSqCrklFL4/vJmnNBEbcD4GfbLzIZdje5wpqu0qy1BSyo
nslStEoLfccUY0V0cnoftKwV2wwpTk7EbLfDrLVBTNxva522GBpKrKoi091aTiOJEFkdtMM2XRpK
2Rp1FYlczWYEWMlxMr8Bm0P/6BprWPcmxNpq3hsi8djj30AdqJ1g38Qf2uArhaIXYvJFqZxMk4Zn
zp5dcpzhqbCtF2dmbeO6Or8XynU+mNEkn1qJ5hgOodR7u8j3ECJv8qOc3wd7uJM8RRXDsJ1y4C92
Lc6dNWljSGOijhwegwE7S9sjWDfrmLJ4rPfWwHjQ00peC1zZV+X6ySbE/0YuVwgDTfXOe9H24sMC
12bti1RkP6P2kNxwa5W/ud+bc4oaKwTuTkzX2mHef/OLU+yTwEGyazimD9UgizvPBN261YRE5nAf
MHQA34kGSbtcYxdK0cZ7Nx07pNJ0bA5pFmAUSFl1lSr2UPpN/8UTwijckqdMYCyvqY5RVGUfDF74
j43hpRzYnIZ5ecIkEK6awPTvGTR6PCrTzGh9yeP+VefzSxzdaoSMN21v0HIjBPb8zQxTaCuHoDhi
PIufWlYOn1lETCPydsVY+7ZrcKaE4xOPEyUX0PU9SwamGoEoydcRzUMXQP7M5rx9MfAp1nmu3W6N
MMG+6RSTl5vW7w3Lw1yeIoYeVFNxUhMIBOL1fgGjviUIpf/BgB1qlllxxQEXpijBfOXO9G6O5W6b
YZp+6zZjdznyV/z6JuXJSstoTbAioH8br85Xo3NzVzKdcfeUQAF4bjbheNF4wBHcpqXFRBddCVzu
X+gT0zvzE7EPitBvCbrq3csY1F1yzG3W2bt+8TyMPBjh9MrGpvXn2B5X0YSYdDMmYvjH42tX+5KN
/auTpab6ElpXj0u3NE8K5sOTQXZCb9eGNs7+wOQ3TD8ImyNqNo9UqVAA681gcZpND40dK490Olk+
0zh6HdOOhhsckWvmHJRb3Sh6UWnu9ERC5tdIn6cQSvW4N1AtWdcF2e38r015BRalIM0ybUImMi4J
YMNFZ9VdOgfcvPyAWVZelBk1EI6lyU+poxKYeXX6MzuJza2KttrfAaTxiyc8AI7ZGnBi76TRUWtp
DHC7RFbVge4QjXQ2VurRNqD3goEkWXZDS3BN4twHKKcR+10Fo9+UYwOeDdXE6Opxi+yh2kaDbYX3
KGAcuR6K0t+mmS+2hgxQ7AYz/MI8JfJvR+PKaonM+WeHlw+R2VIcRU9AKnRHm96RaFsikxSebX3X
iKlPLnYNUfdgETuwg1PS/6YINB+Z25DeU4bkUTN6dFFjwnBg5RhgJdIb3WlmPgI6AYMcjP3r0WOM
vvMDtXyisvH1SnmLfNV9MVebWFSyfTQDdlFi6Tr0t8OqGHwAgX6XZjcWnENvl2wwt7bkE/IBh7ML
Cq96YXVlzehxbn7fL0HbWn8kHnoCRAUN6xOcFHT6/OONg9HUn6ySIovMpn7t9MyhWrS7cT8f6Q74
mNihsiv8EiZQa7YbNp+ODSi+rsTLJeQo4KprHD5VdHHjPImzDXKqZGopZhk5pwcOAyu2mYkSsvwc
oqLAJIwiMnmFnJhFb1E56vDTYIsfTtog4MexUlsaabaGP1eTLQv+WTl79ACDOSS8nVnJVifRFjiO
OhLp2YkiV4CjhuQEvy0g9SE/5nGqJjKslkUMpCq13VQSkjWkBUUb/1OGzlzaGNgpMGKC1nsaD53+
sX8U8j9TQD4xoBXSzGtQcBTStM9JEbURigo64twHgAftpdsxTAb8zVWzPCMECW+OFbIvn8NMWP2h
jYAFEZvCBbKi7bIx2TUi3JSyJQcpRtmwwhrLJCyZYkbGyKL7zzyebpuowtFnetoIiDqsC2ouPCXe
auj8Nj+MpVmGnQ698pP4DFEerZxsAhsH0LhxMpFnB/pn0hLlbJbsAbJdpvZzq9zgOEFWixBxVlSZ
IGSck3ZHuhK4PKyafPrVKzAeWI8ry2uG4Y7YdWY2qPHrCqpWkE7POJnQClda0jQ73OXjQz5Myj+U
XRWaXWClS4ulrtafjjNC5F1RIk3ePf2KOfT4IRHgF53qrt2Nz1Hbt3BGVK42rfJN+0vUYkSeNTB5
Eo5xdsTDzobe9VWnI3IQD6A1t0vpO08q8ecbJWtA0NRLslKOyMGC+dg1rkx2tmOK8p7/pGwJEW2R
4HIASEJMreGts2Z1QfKkzQupRP2jVNrjjyJ4BjSJ67YkOJcuGLuQGYztkMfu+AjKKGELYTjNk/qV
8qAaf0coP79E0uF/cliHBxjIsOyfESV0702RNMBsGa9fKmsc/kIPR8gBlysi1gIR6QOTQzd79FqH
UscNpi2PXfKNn0L1R4t56koSF/2YcRwUe22KJN9VhN39SEkyzibFdUiwBcPK+JBDckswfqZ8TojD
5R2IMEk4leWk3mbJG2f+YwI/PndxW4/7cO6CHxhxAhc1mYkMFt2BqlmC0xCbJJb1sfay+l8PToRJ
krBIo+sXI+4Ee7UvHKTT8zw11huvLXlP6IPINAvGbFTH3o/sB0Of4u0qW+d3yQDtl3qs4XDnl8+8
ndfm7IQ7RgSYNDD6s7Jos/BcwF6zNjFGDJpDTiD7zhRL/YYnRzLmpzVCR207KR6WSdl0ao50aYvI
ZOseyD7IFKFN5EqvCum03xGxG/e+L6PT6GMe54o2OaQbu8ZAKHs2lRtVWfJliTFy8O/A90E4aFwD
VBptdU+CAu4o8rITRgyNTjRDu0KWG/Rsfv5WQkI3h3Icyx+rmJCjjUxjeWbTycYwBJLox8twpeKc
tyP1ArU8v/KLVmwBuqI/EfShPmyfru3A2M9BddRr5MZpFYy7rmp8axfQ9db7xWWsvsGLQr/pCs+b
dh2iN42zVWDp63F5f6aLiZq7wocHfEL2msT/ui4ps61FRHy8tUzbFscIHGMKG5bYNcwVk30FbQ5t
W7LduyV4UpqN2P4uqhtbRiB2ZOfroqAIXBm+TOCgDWDxU04ncclQbN0JGJvp3vbpTwhNpEtmYyuf
qUNAmOri9omHUTChqKyKABw/K/DBmzFkXxEIagW3yCbUxKXNua2XxlF7nC2wmjkp8RP3nLwXvAPl
h137pNzy9GIhiDVUpA3ZYLDXuBIJhGg5iI46TtP4pZsZNm9HgFnjmoGB+5SCCqs3LX/DS6zhcW0m
14vXwGLtszWkAjdKvOT39UA0OwNcuy4/O9/qulcGqNW9NSwmxrFlmvREo+dtW7wZw55ZGs8eC7Bq
AvoJGdJDgH/PDE6c7JhTwyYK/NsugwLrTLEw7bRxzbH/mSFe3p65uDq2bAjRyxBoZiOaxM+bbSrj
dK8gwuT8z4lKIkBWpc3Q7jtzNcIEik1XHigBtVz1nbBRSUNfTp6HvOLbyGfbkHfkySmEvxMyO5qm
Ouy3s8HDv7LhnJp1YZV63gtjRdlep0Hg7geLAZjT8uysGtMOP4HNRnsni8bc28hwmu+GCXKOhCHu
hiPzcCu+b4gQlXtXZ1JSMxVgYwzjhGdS6AP0TB1FNmbSDA6fxCdElAl7NugmTGFtvmqpYyMOLAKG
9Iud7tiePYnD/OA4Xu0/Z4yXxUp0Y7McironVcytTeUfZtFlwZHbwjACT28Y0yGmA4Y+47AhdQUQ
9bVoGvVSYYQkYQoMVPw96LFqTjG3/x/RLGxm+LG7q9Wh19z0cEGWBy+uxB9a5OlxjA0Y6SaF5YLV
wRZPcwu/YDMZODGnrnbUH8oF9nLSE6laK4SOwYl8kUV9tfBCN2OA6GmAW0j1UBbpg+o8Lbaam9ii
E8L+ZiPkXc9Fok5LEJJ+TGnFzC3rEjB+UN43JYGSHAaEItu7TLDhvLog1o4FEBzKB1P9TgoZ9Ep3
A6oR7UNw3tpxxTBg8EaQiFXRDo8dpBAqylJTBKdt6r/wN0XXyReA4LizQwFYLiK+KQuCerykiAOP
2cJe/4ZNEw8Y3pP/4+i8mlvnsSX6i1hFMIDkqwKVbVnOfmHZ/nyYSTCB4dfP0rxN3aqZ62NLwEbv
7tXnuhEfZsNyd9NDbHxcxgnSCu13zcoF27JtanMhgG/YRx+sYMxBLfG2V34k3kmg9tnTPJguSCqU
77XFucviw7AePXhCJlnnUiJ91cZV4Do/Zyio+bpE2guVkVFBeG96aCtsWtsCYfyAQSKBLTKVwQ6j
GJt8O8jKj6XUJFpLm5Ko3agnIz+3s401SQsYYX0T8LvQUbSILXy0RrHZipYixwu7EECqM+svb0hB
JeXEjVTX1X2a8j/vdJgHfobmASgb21Ob3arC3FTk1ioda+hlVTl/SbtsQe0uZFNM4ihHx7JfYsTt
bVT6d06VFke8UnAa6jL4gBjzH3QjB/CqHq84DPn+Z8PClwCl1n2ceDbdAAVPHHhoqCE2x/itN3pn
l/t8DPNxTmi2KFMBNT/hGeAqu7jALcDdNAf9n3L7/FgpU7JozTFnboM0L8+BFeX7rsjkW+0X3IGs
rkkatbCBV2NDRhx/oJ9kK+4Eb5u6GJFBDUXBqukDC0wakaFdMtBBjfebpFy/tBR/52PtXVJBqhmI
BnY1TTyG3QlcEttZtm7kcJOCL3hI80Q+Jljdzr6gXAg9Gl6Rh0iKu1I1PwPTxrBhbptf9GIDPmIS
D5zvGkHVZuTlH7aebAsxquayQBpTu4KPgBniVY9qfnsNd8fcNTB3KpVP7ba3hnQ6sMA1o40uyh7U
LJMFyRe+G898rSlYREzOVai9ZDA3ntOo/DufNZsD15g4cjNQWyAESkoJX1K8UDhslIZGhhtaJuA6
qHgDOoBf7ACW10WWnkxQDKEQfP02PD7K+aMzVVKtxdL57eNkxP14Rl0hyiHJ6Dl89gO8DKs4IoS6
i4072ZKTAE6VQjqx14U14gFA5gkwTppOsHOULu7UWnp9uF5i9wEexX1x1id/QUyGDFqAmu+VP5wg
9B5ikwf0YUX0j4QszKm2xSFRgiYLaD7jlT1wJNuVqenHQyajv64rccXoWXr84wWvz7tyjEFpnSZl
M3MblWJAsIJxhqcci/SmsmLvGX4WuzP+32fvTVVznM1+oL7siMXeGtJRwA1CalfdOpK1/Hknyji3
E25dEl4EkAmikpAFFuJ73RBisHSe4Y8FLOPwasQ4+zKV7pKckWfLmc1SMuuTwIeRG+Gl97iP+JrT
wAzHM9Ej9MUEWNDGqSxn3pMGGvW6rabe3pFKtYKdDdToUAcgXbByJFojljRNdiYP0TS7PmershWd
on8ikJ0CjOIb3aMz3BsxfPrm30pD4d3rCYrcGieHJgtEECNwpv105iRRprmjOAbtkE8SLbMpHcT2
qaVN0SK8VbXJL3AOwMuVP0dfJuAyDCZ9kzabLCgK9k121L6Y1BD+LnMHMpsmJ+57LLo1D3zPEfef
Tfve2xL3pH2YOgsydC3c22Mzdym9gVTu2WE9LzQE8RRxeDFZTG58XWmgC0FL9ssGDyxPRAzJjIH0
+eplA6nbgshnZ+O0V6As/ln8Yb8qhF7/Us2ZMZ04NAlE0wPnELHjgfXE15sEqze1PluqgIIXJoIg
NaimkXciAF6FpwB3M7y5aLzDLHCyHcYGANZad3PwaUSWYa297J4SwrtaudBM59ZiudCpTwyloNmY
EMxw4ElB9Y2F/4Ay6zboQwdXExZP259rPBdD56Mw8Z7Z9rUDockqgEOtBr+AmqEbK8lPHeKIi9Rd
u+meHZthHlxL4tnTkSrBGGrt+9tJ9XyEIJDIYc1Sq7bZ1JTdzc0wxd/zoqMJHo/DjzPFxkZcZRXP
W8GM729YYHHiFEJQmxOTbJQQp2nA3fJ7qHNYNJFyDthV7PjZ8THTPbJc76jUcGt3+nSFXTcheE9r
2OWFbwVr7CLSZROLAYu6Lb/7TrhI6KLJR+8uslKtt05wGj9PaUEVJKm93t3F0hjdLUN4a7+mAPnN
F8GTy4AJ7aUBcQU+nxusJ0V+HjD+AUBiED7m0mh/J7u/w8vLqdoxCMbPg0dEZKtqQZIcFs3kn00p
Ur+EQq0LyAyuruatnGoIsx4OQNbx/d2XykQq/0EZZn3H5OD6x7m0on+TO2S0UBV2+jsnQp1L6qqR
UuC68HdfnCKiMRQDJSagAPdPyx6VtQpksU+Md3WHcGtBOSLcikEtiQ0DNoaXfqMZaI02q3AmRY08
ljFmLCIUan7m/+Y9BVht1Xax8c6FCdKztSZG3/2wep2MDaNK424GI+mGR4TaPGF33ldgV8Xo8prs
8CFdrNgv3Q8jIrZzmPMMgcdpNZXu8B+HfD1F2XDWI5n+zYzRpNoiMalmHZPtu+GC4PWbtTD5jMR1
3orZnU8trvwOcKzyrrCZKaOhbaPpDzOzKQdty3oFeBZGQjiTQ7Knn6D7Zw519mN0KbPw2GGcPFhE
isXe5bZ+mYFV/gNMFDXXyiIau1JWuTwMDDGPbZe5D1WsWEBEHKbga8baeIpnVRvnsmuK74Qu+D+n
j6n8ahR2WIQBRREDjZ/OBmK/xISnOyokg9aAo6ZN++duF+TraqTZg2SF+B8kI/GLK726+vGMHS0j
3rfD3wSn1oxtOsNYUcF+a2kXIe2X3lFagScHFmd2zrzmCMEwS+7Tfqeqpc/WjM7OU9GANN/mlcSj
pgyHZWargHo9Q8u01KbFXvijTN7lVE+Y6k1QM+atqcNIu7D1O9Y3WYsKdHeZBTeS1/RzuSKLCYeT
UIU7kuKmIx6sTW/jzUnCIpX8Qa/K4Dtq0hYNBZLSYs+MdA0/YcNyJkyVlA/S6JxXqJi3vJ5fQC9e
izSbrsY0U9fQTuKMmwy6T5vEjyRk54eWj1QKzHrKDwXW24O0NCYL/MnJodOdDLll8j326+aZTp/5
xv5+2fLCo5hy8owvLIvmiVpezmd4N1vV0dKVgZoKhd/N77HsX8bKGXEqZNnaTmzvNBEWusiqw+mc
+8ax8idzY3bu58IHZRu5/XMDomZTgdrDjUCXHd6dinUsyiMb2IbYTOAl+oNowjsrev+3INz0ZPSw
CZjv032Cd5Km5yL4UhI4Uiw0qzKFeLuK6qLgVB26cA4c+eWCUXo3kurOqxqs8loJz7zYYxKtMXB9
RT51NAAiPYVJVcF8QAppzgScXhZu/FVPHgCeltFuiGdk9BhO6W9twpOb58E45kEMIjyDyWAW7XzF
LkgfRmvQIeT77QnndXnK8yH7USoG95GV2b6lBfDR0MPyLvlSbnjGemSC3OWLJ/t84P4kzJAAGn2f
UrKKKPnun6fM/gRF6Y63bKPfjEl+E/tLewoavzlb5I+IyHfVHtvW8DZgCmOV2zWPQePxum7hQxqm
17+0lMMBziBjAkxn5t9V/WSJF6z7trReTWySa9+V1gHqtr13dG+/RVks/wZSbbvWog8I04G4WqLL
X103az5s1+d9b9XkjS3W1qo1imeawZrd0phEGMhFbw0gKFI12U6U6o+6lWoLOAIRr0CSOGkNCTyq
8UK72nZQezFt7SJICQRenI5CHgqNdnOBHZZRBTeYjfFso/NcXIpGp29QgArs0QyOuEiGcBCy37uy
Gi9AXKH4DhIBgPYhhMQAdZE8H341ZJMDvIMZq0s2+ix1Jn/FuBxcuVlkubLq2XsYHf95IEtyyRPS
r5zK3XiwTKP4xoF7IzGiPu2B5E2QDBhj6+lAI1P0VudBaCCifbo8h05zV1q7GgsEkVLUWhJz3Z4P
0JV88EfacTmLwhj+EfwjpcqbsXCm7soZ9+lVS/qeu864AUeLFGVBfaooVYTL3KGuo3G9TSms+qQi
78P07+4sp+FcgClIPtXuPHsd0Zd0KwBHadAZ5VbUQbEHFtxcaRsj+1mO3mEhDRQWoj8QrzPxiagg
29DzzaOt79zXGRfIJ3+KkY4F41kRxvs0cp4M2CWqM1Vw9NI4uGjA9g3EhyrKnffKSpy9C3yNQm/Y
hKyVK2SbeFx+S5HMmP17HS6iITg1Du/CMPGJ0x8r2b/GsBCicUCn5CHA9Tam87OkDJzSWyN+l20T
rWdK+l5ynVABuriN9wP3ZHzMbfaOq6pdCCWQgkORxxlq/cRd524kBCexclWfwfePbfW1qPIpUS4g
gU6eG/CimGtKOjH438hJiTXmmkrW/j1LKv3M30SuuK+9nSDnjsDs6v9Mxww+vBHrYzLBt28at3S2
S4x9P4YbBukXm8ymWmLxYs8NsQ3XItZpVRSdUn19E1mN7zqDGrdg3fSyV94gaudb5bQplgIaHtZy
dZAxiPJC4U9wahRYiW+hAYf5WLgmC9CuXj7NieaPKcKCz3rQOrGQ7bfOSA+hsLBYePDVD00UfIwu
GP+e19Mtjf30H6InjgmV8v438zoLvVR6GzIFpDuYCSM0V9X/WB6iNRMvjTYo83T2NB5wv9rGXNQx
qBIHEERDaRTC9qAWiL1Nc/QTnDa5DHj7oXyv2yho9vFY/v9BSgqDN9F7Opj6g2AfszsLq/rIaZx8
FbG0Tm2r/0yNHwEi2lfqCPvUWJRhj1QBhBGYubXoLQ3To4ofWGER/rTZkm/wZ5HkL8w5NPu+eiCd
AnAib1mkdAkJ0TqTVUM4mtUcQL3mu88y55L5OnoU7pRhCjSStTm4b8Bf4zcEGJbOeNweDaNIP0ek
hadJtGQHS6jwDfTJC0UDj/QU2NdCe2LXzlN6tQ2h360C+22fi/4OIr3DXQ3lnxo/a3dBAKaXQdAm
4QVE4oEoCVlfOeg1Gk/9Ujsm/td8bLZ1EFlrSE46RG+T15TvBNNyQvEhJm3ycovX/csjsF8Ye0b7
xnYmIjquxb5BGNxYRR/dlsIHzhDTh4czMbpoj0JhntP0IWHtsr9JfRGkmaaOMdEZOK3IY57gqsC5
wZcxvQFPq+ONDHhxrlyTVVsf2855nlN1Ia/I9l7E1mZBdH8wYiXOcCW70zT5zZH0RPPutTwgpfCa
LUrw/NXGyRNYSLyzsX8FiPtlOq7CeYpYtyotQjkyqaxbBOgi7N25O9mW4vbhGgylHOyDmIvbPQ68
pboKJn1uGexO+nE3B/xCRq8YmrUaY15mvtsFK43n6zElQHnUOBqePbcXr33fSjjxJlDDbUS+s19V
kgfwSWau3PtdZR4Y3cV+mtuGZgye9wfeTCZjR219ysWODjnZ/mOz8PQJWDNs2kjq7YCFQ2BMbtun
uS77fZVO0zsZ/Wrv9xUYN36xHkxBFqLPU6OWS9CyRDcnIzm1QW2/ZJbPT+t3WYCsxB/4jtAYHo02
N9a5kbxMKXRDigJAgUoISc56NKmE0Bqq7EREC6OrH7PGd5AigbE6yXfTRfVGjFH0oc3+AWCY+2Sl
d3JZ6UXRye5k8ljUQ/lKTg3jawG+NBhonGVlO9RfVYZIw7bR/M0t6lSqvh42rdcUMKBrmi2MIbpR
4sFGEc7xD0XbzjcMl93Iw5XcDoSNsxDlvKsgk/BQxBRdoT0O9qabKW47Zh17qjtkf5NGqZ1s2B9R
1og5E8uiUc8YryPLSdlCl8vWLPp4F00IoXxysnWVCXvGacmtEjXMBfYi698k0f3OnXrvrZ90+osh
GEcFEK+NS3T831wJbACcGe2qpyB4l3r2ez8SZ10FszuOG/LlxQ2ZJIcQ7prGs0X25HOotMYT4RpR
KGs3ekhHmeDs5pmwpc74LembnpIM6VxxNMEa4wTPmfimil4Ah/RFRqkGQRw2NB8R1QkvPElxv9l9
vMGP6Idt6Rq7uBTiX5CNgD3uiHXY/wmzeeS+OBS6E/uxmmcMyy08wWgGYUEHd1pOPf2/tPKwNiwG
JtexvRGPWZ7Apxm87mcPZa8o9CGFNcREN3u0Nyh/Q5dghGczHr5duzTD2lbVrU5lkHKDmMkmFoLF
b+xTcFBHNeNBmyZwmAN5oNg6eGiyvv3uuYrOY+F5r4Suhs0c9ywFeHi7dDrZfBCadsmDFWJyvY5Q
r79zRV88q6jpLBCT9ymJkluW0Iq4sW2z+sxYq/6So0xCKi9Zs+Vmf+0U4AUrT9JfZdn4nozhXpcV
OScMetnDEkzUVM6G81bhdt3UfTmEcSC8u+FP+e8YOtpXVpPRwbbL6G1uhoe6Xvpjn4Htr6i5+Yl5
OG/JdnBszJ21SsBk3NEoAriOT++zyI3+iBmy+/M6PYT896IXwzd5DjcuRXMDNP0jVGU3tHjrk+fy
5rOMxHSoYu7tsWRtgwRp9Q8pc5GiLvbO39Llf+NcDQ8VzL6L65IXw94JR92cCBUWZfbLxp/TPU2M
OzlXN9/DRG0sgt5xAo+1AvIc/6Fk5Y88A9TnPGm6aBotqtdFW2/E51AvOtoG16pn2A6UNzwG8I3z
exa8Qhxy3Hdt4Kwjhu+NlCu48tguaJs64p6thjK+WUo3D1nTa5D0U1OuaFwbn4Am6pCvqEnVguEf
UdaDfuehNGFm+H+CrbGW7jb5sT72QEa6I72Iw55GmfLSQv5cyZFn1goUbg93rKgMzt00/szdgQpk
omdyVcRTEaZjzAsTSfjN7dqKyGzGnhYu6y0H1rmjZMyHBWXSOEoMZMJuCulIE7AgJbKygM39v22C
7Iatab7FzEqCjMmBRzn+oTKJoj2+wmC60XAyyDMWonxDj0T0DFdDMOnDSKoB79+byNp1AUY6bKXd
UgTh3ytY/IwGaGF1/4HdTB9pxnLTLz37fNwm3gl8/187K+VHau3+g3VIvin4ZRVrZ/HlNnO5FmNk
5ncflCmVoFNcr0ZDMur2GLmRlUZHoSkIez/JSu2mQHQ/CZf6/3cn/heuQIfKdHCRHCHDdiHWUh4W
o2lT1NqApRX7GQofmW9Uvm3ZNz5FZIt+oxb6ad5EEgpe6fyL3aFFkEESP3PqBMbK5ZtDRqVrDh6p
ehm2k/cFqBS2fD3b1AsBkdnbFOrxiUoY29g1EIdTs2kswFRhS0rwx3/gUpS4ZIq4xBrkT3taaMd5
HntAECTMklOQTs1f0rbdLQqqnBBu036mnEpH8rN6E1PN+kzhR3YIiPGeWaH2O0MyD6Wli/Vydoxq
61t9ui/Mti23gaPamzDk8maUsTzNueH6WPHwCmJuKPHjIaVI/iSdGUKGTzb95KZH2yrtrTFN/Q0f
qHkIUKI/8iaztsTncpTtqnMfiszosXIymcmrso3mI2VRyaGFhKIiZyZAsqh0P2G2/OzieP6RVrFc
G7/PH2e1uJwJNFn4jSkeRSdphtZl9e5QoLrpI+c/iFYdTRRATLuyM76Nkbqbydbp3oMedrfpV5/d
ZKHf31spojKRSFdu8pNj/GATUFknSYXjatR2SvqejBmEjtgDYgaw4holOKZWgCLlIdbSBuBTZU93
5NZKJxRJyZFPdiYUQA2CVR2zplX4VxLT/QsB5fZS8cajwTMP1Yhxd7D3gGDs3YLXAdHImS90Turv
pcsMaBELan8WaEIWOEyrqmOUQmSMiZZPfnUwucxI+AdRYl8GhSXKRPzHuFnIN82rKVgBUHsnBkF+
2iBf8hlFSj+QUB6fliTuDxVXW0X+lZoQR5Ijt6Fn4OkF5MDSZfS3NDIs4VDKYpcG0fgKNqU/UXNd
3sS9cQT4hoPJleUum0TQUWhqnQhuhou7A1IzvK6MXMDNLcknUyrDy5uAtc76kJJT94tBapzCauhp
B8SBLE4Sh7cILYN1O0QDRumWRd5uUHCRubOdD6TajMhzqkcgoP5MzYRj+ed5nDzQGVPqor536fAL
MkNYWMNkwu8dL962rVNcPMEkqby4p0ZCB5fUe3Xn2z8hOAu5BQhnHfGbsQNChi5div5c1wy2KSPS
C7tGlKe+9Nj+pRn1bD/EFMcnFPBYhEk9Nmo94j6ZTnbS4eKlpC7OrjhvLDqTeN/82lKY9rosWKRc
cPl3NajhJPtEicTzRP1osqwI+GBhFvnklutS8ctAcJPFVactIYs5K21iavkIARFhHNM932OcyJQK
4UwOeBz2y2RcdHEHyuCLxWDWcrPRvOTlz3ng3BuxRVqym8l1ltDCk+BjKIM2fhpxI92gJmGQSHKD
8DNEli2sQIZ+z7arvcLawYRSVH6HP0+0rPcCwEiH0hB3YqYXLH9EFUgK+Us/Hlu9iOUIvVK9gF4G
AdeyrAaXUN8nscwTkX8F68rml9wUt6WTQBcCS5Yb/LXdkcRkwOsK7asivXiyiLbyZUj7ktIiP+6L
vQYDBvB+AgNG5lMBeoPJbu5G2RFJyar8Y8SkylhITE6ucCHTAqdrFZyWtOWvkprWApYP0u8a9p6F
dMb2Hs8sT2CvDNh5aieB7dEY0Cy20+ybf3lnUH5COso8pUAAeGvWChwl/0iyNV06C4h4pesex3Hw
vAeyOYrvvRJUJ5uGZ5xmoctoa0lRlZsWGIo6lSLw9pSwmc1hzAu4d96Uiu87z5TpV7f1P9sdvbCU
lF+sMvYLL6xeu4XyGTgJYUNp2nhKhen8M/XA06VIfHUB++A80srivccc5jxh0UFfuohH0lZgNqbI
FzzZzi1r8DUBtyusTuMTvKl5gEirEVqtsvZDTJfC33olC9UNsheODJqNdmNTjM8Weuuv0eevFAMD
bIkDtFTS62QYHFgpev4GJnzEdIsLO8qtGVttMz3DVvFPPGkYPGKe5u/Y5alsoBAVVQ2wfJTrbQB+
c1VY9jsvRwQGXRo7Ju3gLW2nf7OdpSFtKTz25IC27pTBvsFYzyhBsAH1u0+e8F1QtooDIfmzB3wd
fBlAVcufmeP6HYzT0SU4upoo167t8UqHw7pyyYSDg7sSi7z594BiwBBJ0vZddi7exWlsaTGHhLst
8VltxCAJ6kE5pGAxtkIcVMRapcr2VtcVWEL8YWdRgwiIUjYPpFi8q+qR4NcRPVzACuYxJFnygcFx
vKBbm6csVt7BdH3x4fR9dISMR6eVbwT156Ka4JLru1cqcl6KASv7YAbpfzMP+51JqpokLXCRGoNN
EbCQdvTKyv2zP1nTRcAYXBe1KWGFklnD05C8NCzM3JXT4w+FenhDXhZvCIL+Bb2u/o0joa9+fR9S
ogugIZCVODj8k1cI9cgE4Lf3UWrZ93dvfs5UOlnCf0rgvQKGgpRQCg/rSqtKgvSLA5+iAG8FFvq9
9Nt/AXv1EJRN9DUDTvqLaN/mZaydqwvGMMwjNa1s39izDUP2Ln0ubJM4znmQgpCZ7Lh40qp+jQ33
aWDEPAhoKmFLM+QDGIecdSpHFHuufZyTI+mCyAgrK1GrDMG63Uxg5C+VdssTj1k0OP/GjjDFW9HI
E1zgiPhrYibMheOzWIrZWfktxOJipLq04sTZoiizc8Cpt8NgwnOR3RV6x4AjcXY/W3IQq36w33x2
S1vWOuWKwPqjp4LowZisS0ZMbjWQsg5BI/Gr6op+My+eDucpUBuU4Gq7GJBDB7dTP0D7+hA7ax92
jvOezAQgqWFfM8eDkgRYzATLYiEwPf+Mt1QeXY39uBWUZrURfjvdknO2dPBSxFDiKA6GASN/FgKP
YBx1ZZ88jNSHKknkOyvxk7tgFBdtmtKJ7KKpDuJznvV/VpNfOqgHXaMtGwnVbE52VGY725MH3KrO
RvpujaYTJXusycU2bhNUxNqdw7pvrSuSv39y0/kERg+tORpfQOg4zELLVifOfMJn+ZWIwSNo04LD
xq0c4nn6BvvIgi2mQRIbJ4AIar3u9sKYKOhixeN1MNFSCkreOSXMI/0buHom5W3ayRGk6uzZaVZe
UjWfAs9xODY1POBmxDV8opjTk2vtcTfwzQDDKsRq8rHwsuBxd1CQrKfm7m1gfGWcnQtn22lQE+Od
jMfxhIu6reVDg/cTP7pINiYNuMhqNJMzrW4EuWfc8Fa/Jx6GNW0UepXo4q+0+fj0/mLcWqbAo2+2
3R58y7hu/bQ+R3b/GrB7fI5bG6kpw+KoaRrtInunPHv6EabLc8Lxzx4KGG8wIEFALdoQyhoYLeJ5
ezhH+UMHJ2aneuNHgyteUaTVYxIma+FL2dGNwVG099LW+6FQEJdIXow15fMEXU3N/qkIhH7AQHYh
okyzuGuyxfHnqt7azhwdCs/gtcvknB6TakDeAAmwGz1TsMIgxFCC/YcVmTU01tJN4JCspSw7ExQc
GvKTHHffY0wrXAganhh4jGPHXEHz6omMivShgTEUgpJqNk2g0tdEGD/g2Yfx6KcGsEzy0P+wG5sA
ZCBV7/D81/imU2q9jWpyw6WlrhbhdJwOzNXcg7U9nODXGPvMG9SV9pXskwc9/igg/vwu0dtSNddX
yh+8s2XrMJh/nTp10IhaErF3pBjoiYW0YU0wUUpLHnSAbpGZQ371C9tdBb5l3LhuMK6M3w3Gm2w3
IRB+OnYv/9ODj3dGxPO81lncWQfWvzzr08+hc6JHya10QlcMMRP4F1IOZ9f2aFfNKiceNuwM3iuN
EZ8bFiBVzzMhpeWnnAps2PVAaJTPPkuy/9LOw1EeNPmG/xAczWRR80ksVfyeGjRV+5HlrRHofJqA
5Pdsz3/NqPVTk1Bc7oAfQTIofkw/wveRLGefzoLHRuH1MuPy3JRNy1bUyjEv5+a2pKBnveD8KFau
66twHgf/lbUwaY5i4Ek50Fmyy6yWW6nxgrN/X7IPKeojfUpgOOLYFCc1tVyAyi1f2K/QMsvXenLM
GlJHkr/yvOJAYuNGeI3j36mRAzKXHROgUVl6j+zwH+P72AgQrrjky9Ac7aq3Qkz59TNl3BHV1hQx
bSyTunYZE6ksGde+8FPRTz70r62BKa6sfEmbXw0hSXnMUiZb5ia480XYPt8moY/mML37TRwGPRar
inDNMtkTpPVKsYW2yv9ie1aKNg8DxorHSIiKfenTzHvLF6papjl7NF3JldW07rEao7Bo85/OKIDa
wPUPgAfKmT8muTKCTfF/nbEMJxI9kJZGzmtILvrBCQIbmT5td3PS33+GLn6UVnK//KTtng0/7nax
SLsXrtJ5a4416A+n7IsPT0r5a04i+8VfBkMlSestrXT1v8iLrmlKGGY7DP1HZy+PWmaICxNbrHVP
FUCyyO4mLbUbekglXvsT40Ves6rKCExN5n50K31mOXavjL4jXHLWNWOity5WxjVXyA8T3BEI6XSo
Fw4ahyD2wWpnMiNTH6errqV2bdCq3CLBVjt3MP2t0Q33fYd6ZQv0LNs8IhESd6fcrPLXbmEPM3ia
yk5UUs3msM5fa5tz1TNiwq2wfveDH+wAsP+hdS/Aq7ttAWXslOb4K1Nw3ge+Js6lNpLdNJP+Gu0q
yjYdIvimrSwY1ukwGqyB2Wu46rXFi7Nibw5IRTD0TmYJltOlqSd37u3pxeI+kKkbTZ7NcKCj7jNQ
eg94o2S7UtbAZYJrnhHH8iIcGIR5aOLy5vRAV152YvyKdxOmibOuPrDyYMMeXgzKySQ8EUXqCIsC
KvoCzWQXe7XP4F11mm42mKIGjL3dMGI3rMZ8b3aNCBvPKZ80CcFtnd61wqyk86krGIZL+Rg72V5o
0j7kSLpv/PvNznaMOaTfj+Hb8qDzDYO66CW5+fBoGElgOJcQnNVdBreEW/+QSk5/u7x75gsk6Oks
ppfKwfDOltX95ZlOJ4NNkPqWq6K9WKQP6RVFOrb84at1XcIuKy3SWzJauKhlEN/VTYaoHMQmPG2E
Gpmqc9DrRzyET0pgep7pKVxBKfkJdFWfAM/U235OmBb1vWc8Z3F8ag3VHHqZBpspppDYq5jb0vhn
LlsuR2dyQowaL4moHpVquUqRRiewG7G3HxmHbgPbTHJCEy5k9lDFmPq7TnvGc0I0B/GWPbWFQff+
3Rdv9h1IlwWMOVg0i73hJk8L6x2cOHm9ifFOPxlRfy1yuLoMFeYWrcbcKr/J/jPxEXDM8MXt3SDf
TQhYW06QFkYTFqUtxZYunfPG8JQOg6bYh9TGCtNvFuMkutf0pTL9UC6ZFUq77jXezSmeWWUS/A81
P6dSjhcSKOGlFwPe5QEMbnvTpk61b7MEZlMEVUb6/6IuOTt4qWGdsp/J/W+eA/KwwBvZWaPtXjyO
9p2Rkfmd+FxUEZcjzBKxxbPLkxaxtB9DFfnji+/G9SZ1/eyFtoNjwzbnYnuN/UeuhlXdkEUfNuHc
O1wP6psa/C07tbfYNwdytTyKfLI384Rbp15Q1INxHll/4QbemPehY2NETK1E8SnPjoP4CHT4ITCc
EZUd+ktuU45wXEhCXwqI+UdvAZbIJ1d5X0HpdbfWsB8U/AJWXEjzBxz/+BOToE9PiQ+D32LgWOFp
zx6XnL3JMNAjkPHteI3aMl1PSnQfCys65A8qt+HQpMd0iGN5KF1cqjV6CLM8mhjAaNB80Hp4blpF
Yu9IVhUbvmv1DrRBS6IFkp9DuRxAZg+zMnMnHUlgR/mlTJPxCLWO34xbGB9MoeDviY6tsUk+3DmR
bGKt8qjwRJIumbkaT5Y3lc/OFPevunGbhzqPzbBLlvFFwP9Hv0MuOnYSncIt51OhqdCprZLZkEbg
f2CrA8bJ8Z6p8qhy2mALBHlVxulQhDQrqYdGdXY4dOI7D6qj6/fjr+YNdyIAKDh7Cb9MbLvs7l/C
L7rY5aUj8RU2DSSANFuifkefw8h2NYqu2LeHU6xjmd0KxBonHF3UoIMUHce+4slMwBMVYpWorhOs
ZmrvrSE9sXUoiL56KYK0sfQ4vTE8Vg53QN49eZ7/K4b/UXQmy3HjWhD9IkZwAkFuax5VUmm0Ngy3
LXMmAQ7g8PV9atP9Ivq17S4VQdybmSezlF1V6+1LCFrbKZjxJBduJCAxB9PWZ/TaLVwk9k3Ic1MN
EmbSRIgooe0H/7p+6HX2BP6G1C2Gdb9Y/po+07/nSv6d6y7Yl6YttujfaYGPsOJZZtt2WIDFvOSi
sr5D1cSURj0S69iHiZiGLg288I01g2k5rMDJ/oXWS77S5W3z4KmtCzo39wxO/Vr31Mfwh4d/kT7m
emb55tQ1iSJNT5TcT2hlw0Ldu+slyo+izjDL6dZgiZ31hSMT+gBucazY9jB/doPbgBQiRcVhSbFl
+TZ4SJUnOY45to225msKzwqzYp+iCbJgoBEm4xPZYdgJ5B5WQHcsayxC6wAD2R7nWousmVXtBz0w
RHuhyPjiVME6aMYniT0LzdcaTPq4j2GcMERemwwjnj1cFuzLoFYCKbZLFf/itr3cfXLU9opYuntg
RWWOA0CFN0LLEpwIpsAPLQ1kfqyI1d0247gv0gjLZc+/bttd8g/i5LCNKL88EYL/JrlRHxYM7A8z
HR2w1aOJ3Zrhh+5gpuh668nGv3N778/FBGsM8xULvMg4yS0O2mCbRXwvsbpj0FAju1o3/6IZpjul
BgGfAbcFVCqRw4jVDycbwihiOntIhH/kBZTyFBsiBXz0YyBh/0eGjKysl4buCrgUBVm0NYakWFiu
sTFZsXMo9ggPXr4tHYwbmPlT590tzEc+16wh5xmqDUF/D9Oe0P+6tALsCZaUrbu7HeV8K2jWXQ0p
NiOen81UD+ETXpvg2uLUBVsMllH7CL+zoEWJ98HfzBucXVzNKQrY+JG4HvBWyHKwY5jhjnpZBiwg
qojZyhk5nmijX1bZYsoH38dxzoOdymvHRfhANMSjjQcWKYB6ynM0yC/Ma+NpcjJyWohB25Iq9sVr
FrYIB1ujAtRRmh76UJO2zmB6+2UXbVr2MNhMOXm/uV1hZo97/z1O3U8+1ccGHG/uKrHyyxLL5bP2
IRY23YilrXUp0Fyy+tkpbLMNzYyfOtd3mkcR7WNAzo+OC+dfwv4D+t9DzmG/5xCMhz3Bb/IQGFia
86YC4wmFRXL68u2Z203YYuFRdsNNKaehjI63iD4+XZ/pHRmooYxDhKWu2OaPm2gMn5AyjClk04LN
fkMydtV4ObfIaKQnCjb4TeXy37yEPz1BfgI1sEh6i5YrHEolbsvexwS6UMi+7YV0mZ0E3k+IhNA3
s7zZuWH9cM4sNb/gIt7JoFHcHsgg+8WL5IWQJ40KDiF28ORc+KnxWtAx6JuO7zMUEBILcz898f7V
LxPJzPlI5NwjSsXfZjwGM6cGO8Cekhj/OXedU4/z9cBStTrkeU8piEstHwpetEEfaJA5Hay6bpKf
J+wZ9zCaNikk4b20PeTv0v5vSay90S29lSVcRT2W7LdSN3qZR5oU5ETNSDmrY6hon8IEZn0leeMB
eWztmKcpWGAFaue77oZU7egTBRQywgatA9HvuYS2p2rB6kUZprqF7ewe2mx8UByoh4tcQ4zAi9B4
8vyMOhU955F1Hz232fhwb/HHWuxwy9GdqPzR2NzbsQMY09OhGT4Aq/O3omkNyD6V9ee+gq/yiESE
341nxLyd8nmpzjaU81fJqrY5YRZgX2Ha7miqZgRf2obxk+l5bG8Iuk25nZoC0kM6V8O4E8FCLHaD
7ld3xG4q9zy1j8NbG/06FdM9d22xcbX5j1DRpNazwW3Jfoibn1pofgRzTii2TaDs4JFKMLIJ0AOb
icnwUGURP8DJFn+nPlKnmD0dtkZWf21YvlsWycNkZo9uYwdLgaWvWgLvCZHcCUV7mhJ2kyXmnsIu
sFvYJTSimDgw25rWKc/hQqOrmMvxUvglnDdHJnpdqrDibZuPtrvGrED99jy6HxzrzQ+3gOVTMVxO
23aR0yu7VvPqL/DGc2LYB4eN5Km07I8HE3tLoUS3TWw3esP+3BP1SUfM4V7fIVHa6hTYOjxymQB5
UUxyi92chZ1LLcszRIW5JJOsc/LQSXwRvJWKm+UZZzyjAc8nWCoB1q1Q9QdsFmOE1IGBKWdOPUgz
xlfHWeBI97L4mqsy+K2oD7r7S+l90OWKKqArE65cYNA8RYayoDViVUJGJKb5umIlEAE4AC+p/PY9
5xf+1GWjdoPxt2wr6EdcCOru+CO6XMuMIATNKR4vp0DG2T0Dv3YdQ7Bl7MRgZwGFzKddNk8EVqpR
FOtZmu5v2KDKd1KzfuKk2oUBQ3bDd9eqsjndgpsA9a7Jox2A1mm+g4x4NNXiaKZINs824KKwQmfh
vLGJiRyyKpJPzVL8gieebBfixETjpD6lQftUdctbA5zKNUhGYJgopLGW9qdP2B5GssGLHYzwvQNf
oi9WpbUKgkqDhEjF8Pi93uI6K/9UWEG2kR40PqwsWgixWsVuaGP/YEN0xrNZNp9LkO/9rHoO0uxf
EXAIEMAnjd3nhBOQIXh/qVE/ijCEpBQ8s/J1kkJJygdAuwkE0G3dsUAj4NdVH6YPCrQygNvsYTlg
W7xMO4ux/2gbr7guhrR9x/aZzQ1CkYqjQ4eF7FAwJUgSbvPrQL/7M0XJDV+amS3woM0ui3pxZn3D
6CyrYd+QZr4kIIV+MpgC4IPBPLFOjhg/Sre5yXmODqjSLg4sQujLpOWuk+GPpOL7TO0PVw6Y6nuO
HJisIudD4DHeyYk7Ao7WhRRY0HwplISQ4tGFwpneiLVoB+fQhO67E01lQ6al1L8m7Dnkd2FHpbsy
k+4LzvIXahu8U/fAJcRu+BQqSzzhEUTNRFimmdYpwNSn8UuKSrmhytKVG5z0Pd0fgxdtoT/O73ro
nf+SABOwG5KPGvLGuanB4X6j4Tjbhzpqg41om+pWRfm08Ug23UEYimg384/rVed5BjI2JqczIqf6
8ITU7c6YdHwtTOk+LXnM19XL8gPJyPLEXRCFJHAJiIOrfOjqXG6Rjmh0Hi08CYEue3MfpVC/+zbx
f3GP6U9FMlt7ZZz8HKV9H7DvsPw9WC3nD0v89MeeHQzvLMnLuauvciqvo29uDUISUfqIyPhYZuV9
qYdiR4PHo12F0NM6GgMP+q5FXTX1VMeKiZe/+DWgabqjURWo4mj0T5aBA3JbjnUWsbzwiMujEtas
c1ZLXYOFHZ17qyd+EZ5Z+trLLyfv9G5kWsnXtk27vfBlvBunmuIwOjtgc0R0GaJ8HlMN/ZPtVbPM
sIwQpA/15CQxkY7es44WpzkZsEaP987V1sQOxokvWtfucMh7fhavC+AiQJxFwGTsg5imooeaTANr
Y0PbKA6VWKK4+9Bk9gJc5N7pYmy7i+Bc0CPEMkENGVtxQzKUnuDA+ZOiWt4AJFDvrfgo/qVyKY9D
OUoLbYfjrrZpBNmOJOFuIS6yM3yqaMc3sHyeK/HXkPrbxg7041QALiRV0K5GnrZ8JDw9B4YOdfAT
5U8kCJORGUGG79kh/ctVwkK8d8px3wnr4IqqJL5Xv3jMFjjhiTSw0KGiIVEpnhfgYEgCDiKIE1ju
3lOaD4Xk1CtwdTK7tASxHVUT8CmEzR2WPUAaU43DOzDBdF3I67IL0iJmgcvKD1MiG1MvjGBj1UFz
SBrkA3zTXrS8ib5Lg23byu7bKLsqaWeo5mwTT5hg1yTieOgwRwzmA5gSZhu/GeyLpDf7FOWFFb3S
vxZspaMBsNbgU7Y0RLv/HMLAL4GfxGY1YV3aGIwFX2kHZW9VpL531fHc07WG6XuXR9kS73G41y07
oMo8WgZR6YupZ38yuV2fvTIATt4WECbr7FqH1aazpvxLpG6x85gigm/m8XE4WkaN+c63O8pH4Wnh
UAs4tc/unOmXpgVPBYIrlt8Q72X1nLLA9F874aMrAXlo0hfDy6DZRnGk6ht4bcHYR3P0oE6G8Oe0
MyK3xGOJll66jPJGNWa594quSbTFs5OwW0FCoXVwzRyS7LKYwDJrGqqjWYy5VEKrpbyQE/Wor66t
kDv+JGYzssyg0heligXGsfJlwcYDVyT23sZA0cpoYQ6Vb4hkl8xgK6mWqT3PgeuUrxPoFmvfZ3K0
45VjdMM+BJcWzVjL77aij+7sAy/6TUTV3ZW1SJYbvsu83bZxl8zvXNUI8LNnz+o/od+JFy59ldyX
fhgTbRxYIHWV6J6s0i4cut2LMfgi19yom6ccseyRA3C3rBaH3eB6TmGtqBXLpgHWYQHsM7ZiwmCZ
6/PGa+j9Umtr8suJx69nVc24ZXP3wrAb0WfeeEeiiuK37+cUmWNjExteETS9xrkzPGUIieUlAVCL
kwZj2HHJ28p/choAvFfaEeo7w18hDgxAI8duMZEbjh3Aoqs05c++KkK4VZBjBmiPI6+LmXUCb8so
qkqeVt+lWGCQjXI2nDrZF9dDjxJFW1Xvc1sM+hOkncz5CWKPB0tg9m2cI7xr6mbjE61htnOs0j6Z
Lgjts6Dhl3FrDU4//WyqtpGbMR6IsBg++EuVCX884TmrO9hxXnjAAta5H8R7aTH1KQvdB9yN/+R0
cnwghmjxJ5v87DKKnhuqQEPdAm8pTjBs+ls5OvXBfoRJGpv+qZWlWLGz0Age1n4gOR9s1AqqJ2uZ
xN8NN9bxJcB9zBlGn7RXWT7lLU1XP8bdaiDDFHRxNv6bCDw3m1qkUu8w4Ez9f6VlouS/nF7z8WS7
o1tcyl4ORxOwMaU7qC0fWfSxxZNsJfFJ4Tiy71izpzuBRPB/bWdoxA6qBYw91Tcp088T5iUX+1vG
cTF5GfavRfhDdqnJwOVPduXS2JjMbn7ysIwr6DSpj0rGrGxKFoi0NhxqO8fo6+ikwCXjJffERHQR
iLIlbz9UJb2QfT5fLEzcPYKzyD6tpWbT7tf0Id+0F1sYYD0gWgH93vKaT0v4OQx4h1fWRE18zAr+
QyslNvUU2/ewUfVRZEH/O3GjQMI3cYWDuZJc2Dla4MpmGURbqHezqQc6XNl4sC/Om2zPUoxCvtEk
drp3PQIOHOzEDThx6HLp2xjPNn7m5tsLksHjppAbQn8TWv1RJfb4h0qo4Wsp2GimRN7KYdrCCmcf
2iZwbx62CydWx7jTLpausltwhNvabk45WA6QqkUysGyj2qWakF2gSIMMIirvLe7ynzOIfvygbyLp
dvnU5A+bR5rR2qGnLMz37Wj715ZRfLl7Dja4AsKRrFfkbgS5f5p4KDMySj+nM+0L+Mio6Vs5g0XX
T12zBNoatFp2sOz2+3Nn9YPPQjOR4ZMNhz8GLJG5vxqGGdiK8OycfUqX1kmz057wmLrWO1A1WATU
cwwhhNcHQTldtw5yNWNc54KNPYUFJn3NCimnQrvME2wFdtw86qydGg6eByUYmwKv7qlv9Vuh4SuI
h8H3Qw2tF/0zhIOHG3nTBoK8MIRdLMRNrDBPztzZrDMbW5biFNLeumtiXJPrdoBedcnGwTW0KHh1
elQhN4TDgM6/xbHYv3ttBhhNJQ3D68Noc5Q+xAYcuwB+qK6Sf7j+d1va3jAVJeA0nyMX6fKsHKx7
9z54OAz7uXEhkbZIm3j76P55GpwyJHOdkQCnH4tyKVoDpsr1GtJ3JsK9XNb6aJyHMdB+OGl2uYrS
f3RiOOET68qgesJu6eMCjZxQEwZ22LyzisyFJMyVj7x6ZGr3zs5D85Q3L0pSlBXkio23QFfdcEkt
5svU84J9tpuWrRdGI32W1dh8kO+YuCrVVvdZ2q7eFlmlnC/ubdUx43aC8iySAOgLZu3uXREtTxFe
vGBjtyiSezeJoXAFaXjMqzb+K4Hzs0Mf1Bkwdnyipnm8yMypIOXwJ/DpMO68FntnT+wjR9+DDSqw
E3QMYohd/A0onpeW8AKkwR7P6JjuMNN308ZPBWBAPFQ+9jHPR4AlrZhuE4eg8LmuovTRcdEPS3gO
fBcG1ziQXen5LhB+a8RQ7jvoA4hEtbTfw/qBagaCxWrRXbJqW6BSVutIzwDySVwyx5WcKuvcaFnS
T9d665S780c2yOjGfya6Hs7d4WEzndObRNxyV+7g9emei3eHiZiaDXFr8ekerRBhlqD5hOcQyCle
t0QLG8nCmz88xw8+3NQ4L8VQIJuPjw6Ca9h6bX+1aTeprz0rmPhPhcLHyeFKzlN4dFRZHRgx2Tiy
a6KXKZFZaWWbiBhlUvKa4Pt7sMbM45WDKeUtmSp5kbIfrXxFXY1VXmebmQc6VQoKfuLcV6uusuQX
N1PHerFtZNIvG6LoHqtT+TEQqBv/YMqFfMb73Eu/ZM/1ZI+PXY33Op9TCl8miZcnmNW8aRX1H/Tc
Sp+MjmxePNC0M8lqZtdNQGcOP7aGeMV5qXKD/+tBaf0crDbfMhSrO9+J2FxI6rlvtI3QOW4zNBwz
1FWJpi2SL2JT/bzBIRfxaPEjj88xHEmSnEpvwYAMVCGNllx73VT7qEyuSIMnYRiQTmAYK7GswKnM
+KF0kj0AEh7Z/3cWGwl2bY99/BxHBGDttPobOCG/rIsJcoueNXp4vrhCH+LZjY7A7nskfh6TrT0P
Ojl7E/P0usBnX91yHcB+YJXF3bccdQDusHeR8Vy7gPPRyKCzcHgJIcnUhS4ZXNnhyYV+GQVbmhuC
6TsCT/pkOfz03A2b4/FjqHvLqzd0XXVf0LFpCdeKi4hHpqI7J72WJxYEab7GCfFYFgQ+Xzg/91sS
iQ7MyXDlhL6bHYUfONGxzjNZrF2LN8aKHSx2xFQG45Z413JhBbx8JZ1jt/th1gGrl3am/mdYKK8i
mzauMe/5lxpgHpw/kdb5pqApdCHAG3fWB27P+BjKVnIYgq3y7o1b6+klI+/Z5OsSOhE5sUInodg5
vaPalyqdR6QLSKiECAQWVL4E2oAh8cyRfay5YMhyKUmeYYtYQlwk/Jdog1VZQKjIm8751sDkg83Q
cmte57BJZuwqThaVIKhkPZ6c6KFRNakrlN400EUixmg5innY5CPfSdQvmqZLerd5HJi/doQCk00y
DeK/nNT9NeRbeqCKW/ZU+S3NdPctm32wHmPQ5z0JFBDCZe4Tr29ZyAdeNLUbMcOVK1uNpxZX9fgf
IlGa/gkVDcNXUtIlwVOXPsCdyyIzxoWZd0X/kvoDYrrXh3W5h/3jiDs7cnj1o/Tqfapji52Ajiui
cZTWKUNY/hDYpEu3eZM3ZwwE5dZoWx6SCdvppmrYPw2TgDkl61Q+mJMJH/PSXqke5i6diLHrthjr
vB2r9BHPFUqghouTD9VbP4VFcSnscGwwuC/23yjVzl8WNRB9G8uLHP514IPfmgdGbJYWkE0y9QDC
V1lQIS33pf9OktPfEJkYwInV1tkm8Myljt1gY21UGTo1TLiyhAQSg1zAx+PW8e9l6satgdIx+ODI
kgVyZ19b7kknvv3IKaJvD8TR3oPSUsFvu0vbK4bwBeiSavbYE+g7QUbKPXw/87CDMjYh9jcDexto
gX7K55G7wxbEYMtUo7p+JzQWdbaW4XjnBpc377DbcB3wljWS7GDPrUaJmbeANmEQrmsf7+bcTPjK
Yfwn64a+TDzMypqLF6qil3BvBq5qx673Y3EIm8RRb+UjWcTqHYTM78nME0zAGtJU/nBOK3VaQJQR
B5e2OzATLEn2giu89V8AaI3kwXwTMoxHqQWrhgprNY4nuIppSx9fzbXnDXYcc9TGDR4gzCayxFYE
2YDWuvB27BhrVJ4+hz21g6vB4CUssFgXDbk5GwmKchBKKLutkmP/45cPHTxnPXNqZQjnhpGUoiu3
1+9NlkT7TDie3iWuk4YYuYT/Vk1d9NoPRf/mtFH6MwFVsL8FcIYH3D10/mI7HHGZF8I8c2lPQZKk
E4aEQuiRF3kK3qflV+mihsWp1SfpmzXM1i+WRPM9SnI/ploihG8Ltg/y1yWGJ/cSM6z/aDtiWcRZ
ELyBw6b/qCzGYb6VoNCvKur5jwea4NGx6psq2fpK+y7tpxpq9xCkTbutHIKha98p57OVIy/SO+qY
tylt098RDixnh8c9rZ5DZRMoiSNSWVt2x5xq9sQ9IsF9/Aae0hKn2Q+HiXtPCZgbrpVoalDfBZUo
KB9odfYQRVeyLkpR5aqpCaoCVmXnCgtuSZkqxZqkTlLf2Q40dZxdhQANwI1WbbQ83ntb7IDx9Ewo
KPoiCVK+I0mPZtuiXh9lFUD1Bwh0X1yklxMjaVCdEpTP/1K7NR+hbcIriQZrZoURzrRfu0BCo8QZ
+296LPWozotmJ9RgouJd9ZQZlD/6gS1lflFrg0EFE8+CZAZmMCZyGdmYx8DcLizIONYhnIcYYvzG
0ueJvtxmjTCPFJQO3YguSDUVBb4iDFpow/jzpifjROZmdC+f3KypXgNYhvHNmgoaad3YTPQkK9lH
zqZ2VMe9L1ZRs3WhXqbA9XV2yAYlPlKfdrojIr3s3jpuL4TOSzd1NhGtMZJRWkHPXZGDHEHMWMD5
HcoED3HrZ/+J1NHvwm8B3OTG/lPmZXTCBqP/9ZndX/Is9M+qTJJy70aGSqSIcATrurHK/lZz98C2
ektiqNixgicZI249dWmcRsyGXInPs7Bb94LnudMHz/BfjGMLslGU1oS0minMNDRkN/C+fdNbR0L2
3fhBJi2yWbszkAJxb0kd/zQhL/9b5VfselEllib6K/zOz6/lOORsmFzwXlQH8ErBaBd7E+8Xh3f/
pqYw2FlFgMcOxiyZuTJ24KYmH8+IMOU5CEOqS9VCVfDCTfMYBDme2HFWEc3ms0nuLUGzYTvMTgFK
fEk974bZxRqwpHLlP02UZPB7zDlhmdgLxyfD6+HFlct8ozA4UM80DJW/6jphpTpGSQDxIVMZAbTH
zw5ALU6lmiTzpiP+Yt19F+BFfXASqkJAu89tpF4sPwKDbOUCcN7KcOa4zaMIOAc/L9IIpIeMRYMr
VY5MCSuE09GC3qHEBNuLP+8phnRKYYNQQ2U+LRTB1FuLXhEPYx2VTcmBXTO4aNdbHsqvT63pxdac
PlgYWcixRprTjwSonCJd3iztBl2dDDirlEm++5SgQQTHOpJf/KiTfQYvEOiMWvHKitqLQHL6DGLw
/989jIiSTUmTMORXM8WoOUwHsBGT35BxBgDPZClEQT9ITxzT+ayqtgfbMps0sa+MkT3WvZK0JiK6
1/gFGQmCI1jlQn+x2MaTjEW3Yjd05L478eF1TXConJqkRtJOFhV4oTh6gSw68CHcSqDBAj4JXh+x
Y/UDKrfaJ6NQe08zcv9I8fiSDFRyHGXkokwalVV/ptxzc4Z7Z9kYys3lhuZuvo3joFm0pgOFa/8t
IwnWQ9kwfjxlllTNzXWtQe9arGHJ2jG1Xx6tbrID4td+La5FUmCYpH+P4AktPYeJ7z9YTG8M7B8f
S365J8nGsZkz2p+DMYGimxWlvoGt5lUeF2q6NigGdrRq+0QHbyWBS/+V9EJVJivMT9YWaxs2QgXJ
CsNfNH6iBMJiyCIbmzwbowQvh7Lca8nV+93hDlK9LHmdvQZsbJnd2Bv/oZqDq13oJ+2L07V5s6Fb
ITzXPNe/iDsuMJPJ724ZyFgWoWU6U7ESjB4TJPWmCs5Zk/APoNzDFqR1IQTU2VmtekJey2Cfpoun
g4/AkfMBNIFPWramlpBlnrcaZA7hty70sfNUYd06ZiAsHI4nplvDeYoiiqRQLZupk0mA6yXy3jJQ
gDiisqguTxna+TrCmDyozVjlbnvFTZtVv+oU9+y3HwRmoLYQ0/s6iLt+XBeZbcXPqUVACGXd54ZA
HrZxg68GpIe0Vgn8MfeTEBAiGaauqDhiPlJXd/KB2qA1iN8RnXAxkSS6jqn14TQK9tbC8qJiymF5
f7WcuIh/ooa9FawyDmWwut+Kn2hw4LFqe5oLKtvRV6+j+/jDCBbgu3xwlUMI05ZyixxFci7px2VL
CoG2YYkOBe6l9xd5CWfIB+ApFnmtaVWRyEAzq49oW7LPQb8BbPnGvivFv4YOyiUkJJJPEspjiGoI
QchiOOUhlqEjB9oS3Cnw1glwFCvuuDMrdMSSoj7vVi5evVaxg6WRC2Nah+8dWyomdVXJ6S/rc2ys
TJ4zrgXWjapgDUkJ1mR+vIj/wrXjZ+woomno3ooyrf11xTboa+YsRg61grTiBjZPbx2X6+dyMRZP
Vqo/4ej4B62cYbloYRhLM3CvuwDsQvLuO/bEMmNxiuAvM4ZPeA15y30tUx1+LlREJMnOdRcgHhOn
P9gP6RRwsfw4f6ubJolvAxn9HZUZANO7YnkdHOh7j1Zmkwzv/lQ66TYyM+xUSsp03b/w2skxPFdV
3Xy6OuHxJAWT/uKICb+6eZQsXMqF8lmax/1nxxKRTRhBG8NGrVwwTFS+/zIzH9jHnmqM7yYcwuwT
gxEEs0m0BZ3RYezdTRO75IR0wUiUjv6XSzX9iRwymVruqyJ56+F1hS/UkTJt8eREv2czmX3kOYSU
J1WdW+dhuWdJWn5ygZ0PrH9JUYZe0G+pZwaVCNi/hwSGbWC+VmJuPwlKZNNrEZbj3K4a4/L/fGxI
WTpytf3To2U/nPsBPVcwaiAnDYpgXV21crswMRN4SZgF10sfedlPDHDyMs10M56cPGrQ6oo+UHt3
WLiAQuVT+zQbckSZVsN3cbm0EqNF9aK5dwr8dT124ROF0Fy5SYCg7BZNFf5CclYvg+8aCBuiMp3Z
8vFb9qWO5Nj+cuD7WO8jIXFrvZD4WisOaf/oSKeF/9VIy9DH4Jn0r+R+Wh5bAy/CpQ9DXlhmm/bg
EVA2GyBzFd6oqCvULYzCkTQck5Yl/rF/EgS7LUgL6l7imW62jpTkEcFiQsgmXjwirwqrTJ49C7qb
nU10PWytpdPhPclbIqXcYeI1EifgD9BdYKsyMnPWlj+fVFc12g3+45CTmT4F6IRNzFi/iRcR/lmQ
lChn5il4T8Bu4LMo4C6Tp7CoyuRW6JbrbqnGaMNM5Hr/RTUB3jXsZFRiuD/2zGUYbz5aEwQD4EIk
AVkXIJG9er1FTYVGBYX7GCBTjm61FWC6BjQlyRwAjAvPiZs+GLXS7omisNlNdqNHSNsAMPXWHmrc
Gx55u9jl3E4eCrk9h79rgLNgrVJX1ztE6ZgAK+Wvp2ls6veqb1sEj3yYE5yVD2wn0y2Ovl3KBZWE
7wBUBaReUn4PnGDTLSwitzg7+ZD13c6elbQ+Fdgt+UsNEVzGPuG9c4K6hTtPO/xvlnisT98gHJRc
jLk839xpsItl5XvYuH5sO8j53DhYIoDEcNkWmi91HwJi4Uf8pQBgL5+kBYIEkk5epcNrQ0/gK9rt
lFChECb/AGwPxYvWoQ/eG6fCvrT4DLkVS/xO1HeK6JuGJ4cOAi+bf889jcZpmaCyEgv1VuGc4MGW
dsIIgUDx4CYlSX5VQ9L8lHEYsQBwBH8lbhDsgtCwa3rI3/MJe7doP9tsin+Q8MLm98iLgppIfN1c
j6y4bd9q0AyQ49kB3mOhWQ0UAIJ4f7jh8ruwUkUojosdwT5ayOmsURw6YsCWeg0mezyUi63ObTrG
/Rtmn8m7PyAB7b53e5AFGzXomTaRIeYc8VMS86/UFVXpKxKTy+9pF2ROPYu2mj1lFcEPzUQMonnY
p0hL+bDTUShv2jfF0ZWF3mont/+TxPrI0uPMx45Gr42+BItLMxVrMQxaC4/kjpyCbWOiypa909QM
QQPPRjh5FusdP2alwsIJoIYtlpfWwma18SsxftVJNUX7gqrKGXZTHNGZ4OVsI9Yg2WvKBzk8wDNA
8Y/dafmqEcEwijr1ks/EIHi3r9Gkggf8khvGyrgiVG8IdOFyTAiAFgw9cwhyjXNRH1JhWqSjWV2R
I+uWSI6ovT9DGqj30BocH3DPPIoF443Fv9jXs3kO6na4YOKRBxpzLLI7hYvhoh5BEcyRjB4r/xrE
a1Sb5dPrVQbEyp7GT5s8tGDDRDzUNhVf4YzP1T9wWUqoIayjVwQmPuPKCnOLgywSxDtrys/J5Fa5
07wmkaqo2OOIwyo5NNyvY9goJxyobBcTCNnlluvWgg8j8pW3LnDh1vtmQAVN8CD78NHxFx6qYBIF
z71pxS/clU3es23INXuBZcE46R184gb8Dvlsp+ELDtjsunRV2QA2CI31bJZwpMJMR4F9m7TT2yfO
MkKETGHtd0v3zXNhWyr+kGqwxAM54bbHNHbdnSaIcaJUd37y/RlN1sqC68xo1X2ZAA12zSbO/cuW
pcneaWNY3rUlubUxC8p1E/KxvtCHmL13qDhrfLBK/EV7WNSJtszoXA306qxhnkboUDlFRESJaTY4
g9wvnnkvEE1iJPCsbSZ1hHqdV+Qad10lFyIsY8YjOp00yDwgwD6bX7ruaEGlO9oJKHcAhRqN+dop
uT24GF0MCcpD0duBzDcJzydX3UoM8jUfmSw33bCMTPfebD2rcLbIGVePhfZlwU6e7MecpA41SpEw
3w7YxeJt7qYiAUFnd6wlxBgRkyFoxTY5gTU17SxDu6a99qgzqKzV4Ct0GB3SBQLMXrnxbO6EAZJF
/5N2Oxhii0bNxCiJRfUTe8sG31o9b4xO695+hZeb0/gdW0j73Vvmgcr76MPGTFeMOpZK/kZctvN4
h37GA4bne8Iuvw8H/MY0rFVEep+Y9RZqOHxpR/9zdmY9ciNXFv4rhp+HGJLBdTAzD7knS1WSSiWp
pRdCltTc952/fr6QXyqZiSRq7IYNWN2OjOCNG3c595wghcgCIogTeiKMPpgT2ecTNX1n3nWFXnyP
aq3oj7GhVDSQtEoY3THmIesY1xsZEMq3dgaEU5xoF4Xht7A38FinCbXQqTxoOfg4s/37n//4z//9
75/jfwW/iw9FOiFl9A/orz4AAmmb//mnpv3zH7h1+T+ff/3PP0lDYKk0bRhdiNpckwoXf/7zx3OE
xht/93+IJMhapq/KH77VVtWOzGc4pmqqfbV08gmm/ZjTZnAeGe5GdSeyl9qhcz8m9LUi4En3f419
+WN0myI3WhEuM52WKzuolz+G7t1kDbz73xINuMdOM0r3L42Zlnav99mUHRFSYRy4SkJCijeuzFC+
aeqqLSwBa78wLlfWDXpASqgMX4kVk2OdTciyWIDjbNsK3jEc+VPzIbi6v6bmXm5XQDgnHM2gZg4H
nI2c++WiwKYoJdngvREAGZpHR3QWxJGtYWYb+rG0njYD1wbXXDam9sHUmTuFCN90U15nYVMWKumm
7tB5LdSTRZk2pohVdwQFSGpKfKKCwHUyxmX/adA63/GCjMTm3f1NLD6ZUF0BpbBjuoZugLRyncs9
6BzQbAa9+jzZWg88qRy/w57X7xtdhapLENT8Nel6cL6/qvx/fWW1QtNVDYEVqpgYiqkZ0qpfWW0x
N0lo+lbxCapHRCzK3Mne9QmThYwRz+2WcrBNfxmN2XPooM6xYqbmjdWFYRtYq85/qfrl6h1Y2bpp
1OKTXwztc5IJ81PQSJgu/IgrS0mLX25UOKYuAOZZrmFIE3q10UYXCg0Bo/jUtGSWOcCPLcNE9aFL
3PFQ26rz+f7BLj+nphsYJHhDx8QudXXxOU0Ie6qR8YdnVCeZWwhd2WahjgGxXJSfKPjTN7IIj++v
en2grGpSwDc0nSDcVC93SY2DjdJ8ey4SQvTNrFj/Chsq2HTNlPnnm9fCTKmMOaYG7+nSx2CblUqJ
zX+mdS4+EyjCW8I4WiSrUUzT3V/sxnEawtBsR9cMGq32wlIMhsAtStdSGEiO88Ne92OS0zhQAenM
r5GsIyuZRtq0v7+udm03Bgs7Fl8RP+oK+cNe2Y2pAB7V3dR/Bn3llYqo00Mt4OINqLUgqt1AUR8N
c/0js7SvhtTo2SZNi86AD2NFjbe1GHwYyOdc+F8+QFny4rq9sXKJb/xGi4STKrRF0VFVF7+xCstg
aCCveJ4MlEk2YWZRlmNe2njIG3Qfo7Sovt4/lqXDxbptHT+FnXEkuJDLUwnJlmcnVIxnnbsNMJD5
gZaiAPhoCwZnAYvUybAUuveMn7SHCEnc7f0fcMPQ8Zcav4PqlmaJhaEnvcaYSBfYz1Y36ufUaKgk
lakPGLfvVpZavuz4SENCgvCzANqgyxCXmw3i0e+crLSeIbRzdyVztQfg9+SEtPOPeVw+lER+G+Zf
xU7TfFg2igJwQD1np/t7vvbVpqu5Jj9GZeequXjlWsRcwPGP5rMyuDp8t6Ojncs0/YtpeiL9AirW
PlWnHTOy0crK15+bZ8lhUcfhSecYLk/AnYfaNUvDeAbyQQdUMUd7N1J/OjhzYr6jKfU+BWt08DtL
gkOc8uH+xq8/tsnzxNOoaYQUoC0ul+eFcpgZaLRnPSaS1eKhGCF9CuediJr+X/fXur5Llm2rCNUZ
OteeVtvlWkhMo7vROP6zCpzxoDauTOhC8whEut3m6hgf76+nyct58TDZYCuFjZNhIlmFSupywQzE
Re+oGV2+QNHKB8QNY3Hq6XhSGo58sz5Y7aCeM2RuIJGaAmTu7NkS5wlRu/lDA+XkvwrA9mIDsNX+
1gpdKbn6sQ+jehnGT25ouu/v/+LFCVkWeHbugm2p/KfQ3IUZ9s3UQRir5Q/6nM8n+MLqU6Fk2o5m
XPochOra/bteT6i6xSeBttelYrtYTwVyhAB6UtGddFGozQcG1yER9eH5p2EBu7hzuL/BP97r1Sdh
h+CVVMeGzcvh9rsLf9qDlygAMFUP9JHbz66hZEfD0POtFarjORKz+EsZjAQduBE4SJm1yXGmc71T
yV/2pq6PK4/60gH9+/fYRAwYJLyG7uL6aSl8Kp0OnRJ4mTwL0fSsxa8hLv3wb7+kBXeuw1Fy/Khp
fMwBzEAyDDPqJwOBIscTqJ1+XjmgRa7z5wcBQXKEwB3SVVlcSFp1GnDJlk8SZGm/hRAakIKBThPG
acbqe+QjARFTmIXMCKXGSRzMTlH/Tks9Cnd9ZtBpvP+LbtiIZruuazqq7khzubxErqoMBP1jCxjA
Sg9urE2f4JaajtQdxG9Vo2B0f72FK5YHwHuguZYF0llX9YVNJh3yNx1ljocKxmhog2FxGh71xKK5
XQkw+Senqq3xqaay/YK6Zl+vmKguvcLCRIljefU5f40YbBG3N12KYkwTNg/hmE7nFok6iEHV8Ysb
1U8E+wY0WuF7qVv7K5O9GtJfwbtUUS63EE49IZUEuTh9nXFjg4GCFFhz/g56CJYCa4g3fmhFnyZh
26dIpCBBMiqMQGZ/3D/E5UdzSJn5YJBBGjwvlFYvP1pjwGVI1p6eS346ajeWCXmNHb3n+bO3GnIF
z/fXWzwjluNYhmsyGq3qNMPdP574VSgX6nVowwWunB3H7VWGPCk+j/QZq4BZt02aTTzeK3a5cO4s
STbKky3Yp6Zq1uLmWswmUOt3Ws9o1fJkU/FG8mOCr6g1mq1lVuMersVixTgWrzWLOrZJHqBZuimZ
HBfGiVrelAH3RI/AsR06hxnTaeZ7K6VdcqrUsp4OEH4pynlstLKlYQ+uYRt3dH5WNi+uf4irQjmi
85aaDlHD4gPnKtCempkvD2UfdXhHny1snzPg5Bkvt9U1fxmdZjHW21Hw24kAkp4MnrV2nF7sPjKb
dy0NV/ULlV2TAgkswmr0bRBSLQcwL4ybTzEgv+S5gpHD36n01dyfjQHx5l4Dso/jCbtafS4hbQ3J
YCugchBaQGIPLLoNidDKKUIoOhpKTT03UAMh7JMZIz3TKS4UmYNGauQNXdb16DdGoOu3zEkpwYsY
IGb+HIOtTz8QWkNHOA7j2Okb9COg5b5vs1d3hNzcNYWAqoZ0TrfkEb+yWR24HnIIQJSsJqc5mviD
taG7CBuOPpe/qKk4Kx9NGsdrx4Lt01BTdY2/HL6cdDyvFkwaRreRIss8dRjbj3Dllp/QRA1WVrl6
0v69DGm1zqXgpV3sq4S9JQZvnnlgNZBxpmh4rg2BUIvRC9SeS/2sZHAsov8dMvaEXElaZs3WDqdk
JbZcenJ+CCmlCTxGo/riGou3fkwEfJeoA3iBawyfjSqNDjmy1F6OEF8PwbykgIyK0iPbrVYO4cb1
0KlKWVQKbPKK5VFrEPMVZaQhGcJk4dbK8+h9Bo3RfpBWODLTcQbuY6MTif5wSjXmw33TuvGlyWcE
dkVEb4g/T8yrLx1mjT5PGUDKINdAvAIHzX4pURa93YJ1MG0qzyQQXtVaxAr9UHQ2QuR86ZnJRJhN
R+tROP5kHoJ4CL6C5If8//7OblwavqgNTSIxE7wxC+OKm3AswywMvcZAEcfomweGB0HUdwDLTB05
jPvL3TJm6Jc1FQA4f2HOl3emVpOppRsWeoOV8oyOSY1/83Ee45gcYHlAJSUtodiY4vJd4NMdmJxW
e6/W1c/7P+QqKsCYqY5TcrItWQFehiW9MQIeqIPMg0FVR1p9tEfHY05nTP4y0CqdNxWSVeL72ADa
25I86dHOKigWb2bHVIJfiT2q5Xu/02Fbhamlni1lQ2fDFLtacwNdbApiydiLo3kon2YQSf37SrOZ
9HdVOI6abeZ3rjgVuVEDwAFRCzfn/Q1eveA8poIqO6EnobAwFlk/JJHoR+sUYhzA6r8lWeyx7XvY
XcENof13f7Fl6Yd3lNPkLxMIMUWVZeIBqCF3Ih4JSPNSkR9CaIV+MuIJS3biTNYJp2aTjaK/OR90
YAOVFObqX0rUeNJ3/KP5Jx0sjL+1nSZ6RDBbKw9o+Oo/Y2JYbcUEb1g8ORkld5sbZlEBXFjgVKjM
9DaRBxXmLMBpI1VrBHbz2Zx1p3hsaWr8ff90bvhNi1PhWEgBhb60+dGKdUrtSuINk9vvkBUyQcTa
kRfjxg6l0Jt3jQiQOSyD+PP9la+MAD1wAY0qbpsHiqbL5V6bVEOUqYqwQwuVWaZ49CAD+NlFDxko
78f7i91wkgT4JskXE36CyurlYsJkGEArK1T0hDOeW+Yrt9qU/D8eIfwUnSPb0C0Sq0U0PyDw0EcM
PHvNnFDNBOAMdlTVFDQ84VSCSKFDcGgCB+en2f7+Bm99R0Iz1VLxl7JYfbnBGVyO2xpF7CEmlFK+
04tjC+XwLnRYPmsYWmU8ytgG+jwc7698HRvTcpB+GoPlfdAWlxkMuxg6N0m81jEK+32oUP7ZI4oS
ftIDnabuiFIj0hbF6L/ddGUsJd97snzmdi63XJeGmGrFj70SeZd9MpTKZgLN/m4cY+v3iAQdShhB
wUwLtdZy5c2/Ml5ZKKc4r9IopKAm5Od49egCHQ8ip5t1z2KIblvwd32cdR8qwFjNVtKrq/Mlw6Eb
qdEGZJNc0culTDAdOfUh3UPOWWcCD00nG8j5JrCacT9BvUfLV83e6og4VLkqrxD4fuLWy0XrFLj+
pArbS+HueCDNgsUKTaBNPrfRsaX3sXKe128vTwKJjuVQP1MtnobLBXU7QzsnyUyePEYHmIxEPDyO
/64sZAhQL5k2eZSx+zKHvD1k0oNJR/1QjHDWvNGa5dOk2dQeaBJgVgujMqw4MfzAN7ymrdxj04Ls
hJYi3xm1LTYgddWXnPm0ld1fXV65KO+UvD8s6S5OO/KhxBxVX3hpE1sh4N1uBiwzEK9vXEJ3D4JD
2KhtM7NPNdDVt0Z2rE6rkkhDJ/zBF18evaFqNd49NmFcohH/tbYRD4D9oyiewGQlcGQEDbMGbz9m
+j8WPpImHvW5yzVnBQnHLOgJ5lANYyClive+UrjvHcROjoGkegMQm8UrVn3j1roykqTTZegaX3ex
qkaDYwhaw5vUTKiwUTUNxE6BTzFWC8HR3t+jNJWLFEyeK3SQXCEec56fy9Wy1O5iRckNzyjxDG1o
51ua9tohCqcfAjJD7/5ytzZHHkC4SODBg76w3I5JtgjyJwFhxJRtWz1CJ08Fz5LDTrCSctyyV1lb
FTrhMpHyIjCvtGqYDRosXtqhEqGKzj0psHUfcjsX5xbI++c20rQd5ctCXTEc7eY2HbwTORcJ57KH
UUN9AH9s6HoC4vXMAd08l8UWZpyx3lSMlfh7NwKGtkdqQ0VbF+1eA5WIwJ1c6l+tsODo95nY3/DP
xnBkQrM3qYc5h3PiM+gKX1+BA9wyAhseBbwbNVbc+KUR+K3vB3XEMPDsAELsAX/ClGFnpzwmpZnC
RFk5n6tAB6OTyAkMjrTJtRc5zAwIv6ymAHLxrG1/oedYHxlIzZ7ebmuOpWqOBUwRS1iYttE6Y6Wq
teG1RdV+QmApe2hb2J2iZjZWfOP196Z6oQmKlITwBDiLDaFMYCqwUtgEqL269cNW33eVAddz1IsV
RyjN9vLCykKJytSxo1nXmJckMJuaaUAb6L4D3CqABtnWo/YLAPH+4BOB70HS+7tJlMzHqJCy3D/U
64ee5W1648COQCX/sfxXMYWAbAnOidz1ptCZ36Wl8ZiUEN1SYvNRogd2qIcwCNxf8/omsybIIhsb
JTJ2FmEjZIzoAU6Sr4JS3bM6j9CY2YNAn9HOn8wCmeVm6BnALpSf9xe+tlMZO2E5shkpcUaX96Jx
hrKqQAN5VpxZxmNpNBCkQ5dcJV/uL3TLfmQ2L5MqyghLKEWvmH01CfxFCD+Eh3R3+S6yws+1ytHe
X+mW+XCMhqza8gGXeWYStmo06YHjlWGtgGCzWtQoozp+0IYByrgkr/qPSWpn34ZOjX+bvI0f7/+A
W2cqgwgKNJZOErB4AchdS0XJJsuDOWp+70MPiJAR+f7bfQz5GuGhw02hW7MEG/WxbSg2nAmeGcZx
D7NpWznHhPLim70M6/B+Asej6EyT5NJGKN/OzlzaCFsCM/1uG3P+wChRTQ6n/rp/cjeuAcGuY+kA
/+S/pBG9unq2ERrgp13TG8tJ2fuqlh2ocY/bvq8Q1wZ7RoyN6rJJq3Tlm91amdAPl2PZgo8n//zV
yvR5JDwcn8PIePYNyqR45+YtUx68p1DWxnZ2hNav24EpW2s+3bgZ1CZpf9GQBHyxvBlF1DNPGna2
F7o5Y1gK3a2pTZNdNzjR8f75Xr+ChFsuQ544G5WCyuK9CGOl/zN36TE7TBvLn6LhlBkUVagTw7Wi
oBR4f8EbvpRtOTSIeHf59/JYlXKwyzLGvWgBXMq9ee5MF26TSKCgOBT1zob24/6St/Zo42Q0TBUr
MsXllyRvGCp42YTn9nBsBwBoHwyd2QXVLgw4ZhJ3xd3c+nxAHChTWuSgwGcu14MRe1YnUQlPGDro
An4RJGQzgiSD83ZfTVeWZFdQkboua0TtNFal2gtvLkz3q9aH/c4xx2Lltt+6CVB9mBSFcCn2ssem
NxokgLCveGUFe3LlZsoXtADyXdAXgNvNRm+2MDF+j2z/jZBNHAt1CGE7Djg/A6TfIkaDvj5BoI9A
XQP3m28Yg7W+NIX7VdfAWBsjcxG1TMvebC464SB0mTJJEJZ05q8vftHaYdkn1EApWB3bIAl2hlv4
Lx2kJLuK2cxoJTK8YZ86bIhU7l0+JLijywVhJ2CAeyDJ7NvGQN866s96rvtnhIlotZvN5/v7u0Jf
yFOF6JWEEiJg0H6L+6DG9WRGbic8SH3arRnEUNwANdxFw8BYwkhssOkjAeFGb9ikCn39WMghn4He
L9QOYTOsHPiN51mnwECTiMeL67n4yiNCi1NhDcJD0raha+6g7b4Bk8KIqoUu5Kke3PLQMMdwqkBi
PTtWnB7uH8mNG0vOKZEo8OYAqJNf6NUnN/zZ8aOu1pHCGfxjRDfdG6u62YdVEaxs9ob/ExrAVVqO
DsAXffF0Qh8oICjtdC/OHPWBIRMYUbvO+lLEc/R7suPpsRW9uuLlb5wwoHEAAGQE0usunG7rmnZv
j6bh5SpEvjCKu92MLgQcLpu0QlF200Mp+BS00N5s4Wa3H2xjCLuVnct7swjieU/B8Zj0w7jLi88M
9WQMaR8J0ITa4reoGfyPcx/q89tvE7gZk3KrbNNDMnP5LYt0gIGv0ISn+TZ9lw4+06JsdCbzmcgT
OZ3et9uOi/cFqcLXxFVdrodC8YB4LN2vWtGyX6NiWB768cpTwejBytt5w0xlo1+X2T2h5BIUCntf
oNRGangqldstZK8jwpUt/MmBHsJdfn9fN7wSwQcQHJmCAJ6Xn/PVnXCTeO5FyauZAVR/cXuyug3z
f6gsCTQckHl1HX9lyRv7wzjJsbiEvGlLM2UiJuY5c3SP2S31XV2YJcW+BvY+C3rT+7u7cSMoZZpU
p//delhYSRMh6ubHPjJPmsTomDBvDJsAVfAdk3OMeIt+/KaIwToMcBqQYk7m8/0fcMMPMCPn0Gzj
NoC+XDjhKUrtPPJLRivDYVYYjxcS+gbpDbQb+qjBTwRyJ9kymOVUKzfkRkkXb8uIE6BrkiIy2stP
ywxz1VRFmBIGmfbEmKAP0Zxqob40o52NeJfiwM8XhcnToGvxtneQ8nbm0PlttLa1v38ON7wCrVRS
XFDOGPafyZNXZpaMikpWrSYPs5Jov7GMbFumsfn2YP71KstKag8TUQc7fvJgqrG/093RQPYDVujW
yYovtuk+z1FZe12Ur+G4b31mHhabm0SHizGQy6M2coCcLkPrDwMjYcbDVEPj8OIGpvaJpmX6vR1V
aABtLbXHlaDtxl2SzR/KJSTycG0t3pm4VXQLYsr4AQqI+uTkjX6MYw3NiiBae7//NJIWnt1x/kS6
js140DKAaQf+TKB08WDXqYGYCqhWVHuiLEPfoiu7tjyj3tf5hwCZSHR9xxyY96mqGDiekY5momjl
Ob92XeAm6f7Imr2Om1w85wQ9yexPWfYQE/dXSITWU7RVifk+TqU5vO/afG3K5/q0JWobZ8mghoSy
L9wJU1GBqSoxkrThmB3zVI32lZk1O1s31mKVa4sSpkt5Rs5hAaF2Fx8WidYWlSHG2mKran6EWpTD
5MkVhdEnb5k5D/Vsp04urIn3L+qNLUogIS84eB4mZxZOo7fKLkZH1vdGCOlqXtI6e+yiMC+2ZZLQ
sr+/2nXOQaWGdjC2qzFYu1xNMLOK7AjoWohtnacUKrS9X3ZoxSDyDXvu1HXtVi8lTp1yt//z/uLX
9kM7Tw4jsF+b6sLCNxdMdtgD+pOeGWVU+NJu2tRm2TNjb7mbNIiqlRDi2gfK7IZOPyVGXoOryUaR
QV+HKI/X+hVFVDPVjwMolv39XV1/QJ5Wi8KwjAMZXlrcisHWofBFw9ybCKo/FI0zPynMkHtpm7tr
Kc2ttXjWVMo2lLqJ7C/dnh3ZaQneafLgGJLAjgwaati/mVNO1oqzN5YicZKQeS4TWK9F/BWjZN8O
8Il7U2dHP9DaSj/ksZLulHmOV4zy9lKw6dEJBHe69HMocpQqZFc9IxjF+AFGkfykF0a+h1Z8Df98
wwQZkZCQE4JY2fS8PECn6dHqc7PB62H7Ojo17NlZNID5KCAInIe2W9nanymISx9u0jaXgBybpj2s
j5cLMkmshoPl9x56ghlim44Znadw9D8VRmV+Q35CPdaFA1dfnVE6sQLesV2Z6cNJTxGbwZWXSNEi
unvfZq+dnYnDIXMBjEQNblkJy2q04fQYxSu4DmDV0Kdgb3d+4oVwyUDEMR7hBn3jsBdFB2YHQS9T
KJbufBnQd5kx5CnEnJ6AwPcvBUTzl7EKYc6EDeKgNYjV3d/jDauSoQEAAsa8LNzO4uTdEWqdLOq8
Bp5oL4cP+UyNfz7ZdqMd/x9LMQsDcIFcmy7d5VKR1o19mGqtB09XSrod+GehBMYhJDFbaa/d2hVu
xpBlFFlbXNgTCtwdxFdx64191HxwFM09EvBqLxQ6nJUDvGEkNoVoCifkRLa5bHpGkGyUamW3nlqN
MM4rtXsabBRV7TAeHutqgqtqLt6eUlNw42sRQ4NyIeO8PMrAbWrHztTaK4YZuMkOuhMfKFqKbGOG
PHUI2TICaGN4pHUPF1bhitT/BTFL2ay0fG94CmIv3mUNUCKViUU80HUpMsd1AQYcgt/pY4vcQXjO
6woyOpIcBQ7UzvDT7ZsNyRE4JglqYt3l82w3E4WG2Wg8W2TjcUJ26xBBAnMyFIiT7i91a3/yiElD
XaJLd/Fsoco1JuhGEZ1Lwh1fdX/lc+Tvwd1NUBgo/eH+cteBh0nXi9eRphQd9CWaVu960sbQrD2X
mw8bPxPuE3oZpzIvPqIvFJ0aKdUFvU+zcjdv7pMwgASYIsIV8AKywnxSEOf1xsaMXmD2SP8aLDPY
wb4gaRXLen9/ozeyQCrU8tYQ+QIJWD4xMWFGWbVl75lMYQFAixOEylPUxLbT0EIz09QolART5EAt
mc0jCVMW/CupleT7qCXN+f6vuXYX3CVGi2S9FaTa0l2EE4Tm0NHM1N2qIdghwjY/uX1STUe10Yo1
m7r+yPLmQuAgJ2ulbV1e3j6s48lIK9XTqgIpsziBB36HUp34PMEh/uJaUG6jOhUnu7pLyhXE47W7
oi3wp5uNX+S9XVxYoEbaBLWS6tEjqbZ2E5fftaGOfhe5AquMK6WCzTZ2frz5gIGiE1BTWmGeaomz
jOFqNcwBVd5Ag1TOiFvnfZ7pzc4JmmzFkm98SwqcAJcoVREBLiFETmNWoWFSnBqKRHzP7XE6Q5oC
+aAK+d79XcmzuoxaGFWXM1oG9XOVj3n5IQPeSMmpP3kBiOkDbVUT6ubcPKWg/05o3gIMaBQwMHE5
wjJR5it36MZObeDvfE7eArKFxSPgQMebyaFSj5CpODakIpsBXZINrHJrAdqNpUAP0Q0BIMUY3rKp
1KiKIPZMKq8EDL/X3Cn9lCGPhAJqHa24wBsGSlGIviDFKVKGZb+spvyDMvTIrmBGBd4/Ko0H5j1D
vR6W6K9ZyUV+qLkuxZufMvqtsCpo5JfMtTvyDF7VgsDHRlMYIv4okAcBvhTYk01wbc/zroUr72fp
1kP6xmFbsM7gZSxhENLLQarFmi2ahCqK2LmXuUOZHedKdbNDFSawOmZWhwhKQdV3xdndOmDwWbLp
KqkdlhhO6oJlzzx35s0Jcql+Zf6IoIveOB3zgLpV/soVFO7uX5Tr14VtQiQB/EG+pMtOmjZK9SHX
z7y6Es2jNTfloR31jCGsKjsOSrNGH7BcD7ixrOrJqSqKes4yKtE66HSt0THOk5YWAez0AhVL9G3D
oHuKWzXt8o1sUakrFrT0B3JZWguybS65gpY5rloUeci8tDijc9X0p3KCqHabidqCDLuDNjYPNAbh
MtPZhTTw94MzDvv7B331rGL88DxSgAJrgktYooLrChXeOQv0M9pBLcXcasyHl9oEv3Rw56hSP4wo
dloHX3F9/1BCG4J0VlomweNQUmPfh5DTRyux+FWBjt9EwUZI+CyzUIxLXl6sMLACQKzldE7LytwU
QVA/jHRWtyZjM0ApQoRumHDdOkhKUcNLgmOJxNpbU1r5I3hqZQjHpBIYlcsfofHCKxHTJOcBmM7e
dlgQMfHRs+32p4qY8UqIunzj5XIU1kk95Dw9YerlcqExoW+U6f05tIax/pBkbsp0UjihBH5oMJPY
3kBemyDcjOpbNNHyRBVhxRzlll4/T/wGYGOUJrjkKsi/xfMEY32EiIbRn5HI0/+25in9ktZh+lQ3
Yb+yXfkJF0tRgMTyQDlQ4FzOpM4o/anNYHaQ5OU2YhNVs7dIwFaehutrTamF/qGMI3Bgy5jRzcyc
TvzQn/u+nB7rlLFeqCpQpUlHdePAbre5f5tufERJu8IjK1Nx6p6XH9GNmc/Mtbk7C77e8NInBfF4
l4lpzFA7zKzUY8RN91FIRLh4E6Stoa50Dpa+mpY80RKhDIPNgOHUhRlZZWLDOh40Z4wsRqMgNvIp
PTBexzBJUtkwX+VK1CFBmQk0vNdIla4GzuTybJ0nivIMgY48oFdPYpe7vY0o+3xGiCvQ3VNfk9gn
Gwf9p/QAnXbtPDj0/tTPuQFVHuV0py3dYVvPau9861Ba0Z6G2XHEMbX0SPmmQLBXHkQP/fleUaEv
ODYMmAX1NhgpF/wM/TpOP2hdbKPNUchBqO+OixLzc4N0OTyaUQgL51u/MKgSngmN/gzXZBlCGZEb
gfcN6H1F1UsedkhBt4jaNErKNEXf5w+drbcHoUXKSpR6fWEEeFwJx8NDyCz+8mQTgWj1aE3+WVVB
ksbkXtvQmrIvb94eq9AZNkjqsJ7F96tRDS50o/PPaNbp8SZoOskVZfQDVcPOLJ2jYwEO39tjohtg
SbPg01vXB1DC/AZhBrhZ5E8udxnaRT4yYuWeZ9tnNhRPVW+6np7THCb+D+QBg10SpJ0LV5fVrs2n
X3sLGG1IZyjdMUpIOHm5OIx8Jcw2s3seew19INXM3sWVk33oNQgfK4dV72/2xnoUYuDjk3M/TC/I
P391WVxIbvswHu1zk1RoGhdC9Iid1gyXNaVCAtAE1Ur0eONlhS+HgIM0RGIalo+aZfkE4FVun4O5
laMgqJ3PBemHOtEjtytfwF5ZhQWNDMA0UUTwPEVMqw5amD0mjZvmK9fp1hGALadAze2UtEqXR1Cn
8AHQpOcIkKDwlGB8gS282vu9mjxmpRKtRDs3lqNDYjE4BrBVjhxcLjfksd2i/mSegzHONmHLYEgR
TNZeC7RxM6l0F+5/4ev4DqAbRQvSd11WFxfvwWhwlqjSBF5XIGWwmUsdOVIYRLQfVuHn76retND4
moz+MwzwqBK5yJXkp/u/4fpF4DVgfQYWYbm4chyZRSPZFw34rFErTl2DWnsShSkiDRRJ8gCGwxR3
98Z2LjVU2rkQP/LfMt2U3uyVaWc0uSgSDIEHm567y+iZHt3Czg8M9q+xW1wHLSwl0xOZn9ADW3xT
oVJ3RjMm8BATV/QDJJRBsTdV5jT3fdq4bwW7sjPqljKBh3FE9nEud6aVSYmWkY42s600Z7QulU2e
Wck3ZI3XChO3biugIMpL1LuwWHNxO0pfoB+qdUi2meZ8EAkCnrmFVFmpQR9eD4OxjUeYUaGTQ8+c
SSQUeN3wcN98bhwvLw5pNQmChMEu9uunSqCWveue264rDsNgfnSmOX7ng0B5uy8gYiB4wfFzusuS
T5S65mxCY3PuOY+jk+VquakF2gjbvE/rbRpk0Rv5JvE68PbwqFL9JYkn27z8mNFswM0/KNCmjZr+
COLBZDJfq05MlLUrvBI3PqYs4FFmogcuL+PCTvVgyLQAHYXzXDbUCaqqUX/7ZaX9ZfUJ0igVc9Oe
MbUjGs9Tpz7OhhJ/RQnQWHFJ1y7wzwgZRgw0i/RGuqxXN7Ms5lYwtlydx1JxKNS28GbVSfLoFHV9
1sjwj/ft5w/B62Wkz8gaIQuJFK1isuzLBYsWkUMkTMqzi3INlCVWmimFBye5bb3MyFGwYeFnEJRL
bppj6xqV8jwiiFK9Mwc1qf72K2UyPSuaFOt5QBwV7Zq6ycQPO+6sAGWeQYTR1vC7KDuP+lR2B1cb
cgiaoxodo02s6+h4IjyIsO9mpJ2rRpspCFzxNXRtxHuOWl014cE0kh68PrMU+jcVxbifcGwhsehA
E27v0yEOkg9OXmTdJvLrXNnfP6JrDw2DMVbBU8HABeHl5QnlotA5CH5/1JT+0R3nZzqm44nGSHZo
JvC86uiPK7HH9bUmVJf0fdQ8ZRdqsaaiGAhdWwk0rgg57qIa+WY1Ny3krShCvnV7wKUIqxi8INOj
+b3YXjxleahk6XmsJv2LgXpFsGsTpxm3vq1347HsRzDKc40/XVn5Oh2jp8/ADp1K7jb41cuVMzfI
arrA3dmCAWhkZj1QQZ8oAQIuFEOSg2NE6EZWPdqtMz5uxXNef1YyQEYVKOxQOKMKerk6U19VzbM1
ns0+EzBzM0tIJWHc91R2HvPUmT/mchD7/mHf+K4uLQk6axRfmRhdPBkdUGl67uhQ2/oYVqc+Z2zw
pOpFCDl28/a3EIo1W0C8Kbve9LsudxgFqD9MWtOf1Uo191aDXjgBjruZY7FWp7o6zD+gMB1uAJu0
gGbX5VI2pM3TWITtuQRriZJmWu3R+RuexkDVvDxOE9RUkzVM6dVhSuwJtR+6W6DEaOsvFiWvNIYi
as6tH0B7TznMfLKryS3hTyuDz/e/nDSHCz8JwxIROWglAKV8vsUOoylGchNhlnPXDO5+pL/1lA2l
uwmgKNtPTC7upoTo0elyKdJdGSuv7/X7JBMviaSQJXuEAxbvUxIBi0LuqDoXgoF1GPHdo5EPKYTT
cx2+h9A43U70nQx+AYLiO7SIKx1ZkTeD2wnOwf9Rzad/gCUvOWsSt0BB2dHqczYLWCjazkT5ACHw
TQqb7cv9M796DOVakj1E0Bmm5rbwgp2pQ68JCe/ZnARI1hzRzHiTt5CYHvAo5sEIK19buaG31gRT
TqRDUw3e6aVbMGDYqC2/OleNWYanMtPC8bNVKwhaF5SFnm3G5t/a+JFnatCqxBPJVvGSMNW301FJ
OrOisNcVvy1mqLbWHFifpw6Oj/tHel1QZi2CCwyZ2IrIe3GmZRz5lpl19VnhC8cd3dkyT4NtWrcN
JVvFn7QTAYGb7Z2ydD8TqJfmPkwivXlWEDD1400jqqJd8cU3Dp3AEsgVqHdZZV38KFhF2hZV6+wc
o+v2FUhi/538PlQ2wPb6I3WpoHn7Z6aITaIpeYnkvb70HWU+m7ZSiOzcpVnV0J0etWgXIs42f/eN
xPgiWlQjV2JMXd7RSx/CtAvlR4YmBCa9TE7UZBCRSZnsPAPsyOzNzMWJyq2JYOEEiYksk+lhWk6h
JwRSRR8tK4+HQ4VAm/k0VTpkNq05DcVPDZEdsS1NrQ3+CC3GiPt0FlUQNwpUt9sPoevCOYcE2GBu
whLFshfVHsf6VM1W2R7vW9SNbye5cIkhHAvQ0bJDERaisfOxSkHlFtEpV0z9lCj1+H+cnddu3Ni2
rp+IAHO4LVYuSZbl1PYN4W63mdNk5tPvb6o3znaxhCJ0GljuBTTgUSRnGOEPO72yvlRulKxMH2Rp
uniHtIspWaXMNwXl4hys8rzUqjhpTirzvXM6ts2lcKa1PuKrJOoiDPQ+wBNcadzUy167iDwUtuZ6
OOG60jsnKtwCKRYVd5F97ToMuQMFLL+9HRVMEj7X6KVq55BcDSVpIyvS7+mM08gzJtFD8JX2jBd9
SEzs36at5RWGvsNLMMTqLyVTlpatY4UnG76Z9skaRs50+KAuovBTnRk7K06D9gDKPlaOUEbpuBWi
qGECAjnQj3Fl9ho+0JVjbdI5m5yPyNqqKOQEmTf/aEtMajHBxNXr70LR1GiXB7pZPUWeFse7DMGO
wY8bTIG2mVvP49fMNJF8iXW9/439RD49zYXWdpdsihQDmVojmjXy86golLPwauSGNpqOrEa6Addh
eU9IHgYu/cgJF6L7i+z2qmfwQa4oZZchTC8BHWBZ+A0UAacWMd3x2FT6iEl3GMWZD2Wm+fd+tJvE
FJAwkANyYdThWAaLxAIGeTh5DK1Po505dbRFTtysn7Gqd5xDMY1x+m9bh0mnbV08y5xdPOKt8nL/
J7zxwMCyIXzCVKazsDyflEFkwJGnmt7CWHwzoFR8E3jO4HqKs8r/Ryi5k5j4wORY3nhekTuTHRfi
1CILrX2bIUwM35WUDPX3iE6X+fF+uNtUkVcLN5GW4qu+4KKHPXR1UgEEsE+4wTWPucAMDobrKdNE
94jnarYBPWitnLxvxJSNY8p6zl3IXItDw0zAqGJKhSusmIpuq3etLnxbMfMvfdgoPuI03afIw/Xm
/qPefERJHQP7ICk5uMYsi3nSGpvBsWMDZCvMRwe/63PMtBo/y3btXr85hV9DoSMIsVZy8xZLViRR
0CCgYR+bSKl/mo03ix02m+mzjhjKKTfmfmVHvhmQQ19qvNOMX8IkjTJq6NMr9tE2578D1K4fB9y6
tpo7/8p1Nf5y/03epr9ICHLgwwjhGwIFkNfCH30RjGlm7CUd81iqSvpR6yz1u9mRTOyStLAj5JOL
Ep/kZGiDk644rbZRA0SjtljP6rv7P+WmEDAY79BqAx4KCYer/PqXqG7QhG7j6Mehx2j3X2WKpsbZ
5a47JO1DNVpJKPXIMvVpTgC5+HYN6G+fpEY+fLv/Q25Xl0fRjKqGnHU58H6uf4jXNQwwY+xWh7kJ
N6ERqQfdaopDD5bm9O5QlI/StIflrIKOvQ6F9S029hVOoBjeuiVtmygz7E+6CO3xG2ma632+H+/m
AEZFSUr/gNBk/sIau46XMDOeRlXpDnZiD7smt6O/pxYzKVo/4hCZFXRttw0vplnF2/uRb0ekbCGs
BIBaoCSi3Yw8smJ2BRI37SFyGnzbEBV5iXH7vShGUO14RdUWjisKP5rTAnTWHCQTy/mhadT4ZHcl
RnIm+qEAE/It+nSIeeVVecpQdqYw82rcTvvO+mhVQ3hSB0wOs0DoT6aWOCsH3s3ulE+BsxUEcNju
jEKvX2AMXCU08Ts88J7sS1TX9Skr1cRPcIDY42i2php7A/gnAQITgqgqtTjQhOVRRzJgF0OVAOoy
zajao+YeMUI3gi5DbnKeaz38NKI02p2FE6Thhw6kfUamAJznwcWhQ/3sjZGrHPDVpNW2URBTMtcq
u9dM9Cqn4zdyfCClQJkF1HhxRipoBFvt2IlDgz3DWWsmfSNEJDZNHZd+NCjx33auGzt1HozHsQwo
MtF52LZ1grVtlSQHrVPdrWaGmFFFUfIRB25z31hWvW3mMj2h5p8+YD+ICyhayV+8ttL3nogtP+Nw
PFVRY28sfFX3QEaUI37B08rKvTmX5NNxfbtglhBcW8qQIfSHgFCpiEMeOsUWelX28GoYXlZC3wZp
1z6OaEZt1bZrHxiGRe89ImR42k2I78gB/PICSoWGLPEYNYe8nICc1rF7iEQ9+71trNVRt6cD4FKm
AgYpC6XAknCqwfEbK9tITnWueqLfamniBPvBEmOyN+YyKJ9c3U6MH0EYFfPPWdD+U1de9k1CAQuJ
3WUw+yGRAaO12F9WOqiZKPgJaTZeorBsfIxDm0dryOtzY7PRlXaej/fPpjeD8sCQuuSBvxQXHxBw
Fa4dpidP6G0f+6JFaRxlcbt0jir2IvM/qa7nSeoXqSmaNaXxm+sGISBWlxyPgPolV7x+5GkQlV5q
anBUBrTAOssB39076Y4+U7rydm9D0UlkhkcTx+ZAWUqERBQzdpxP3rFs7OxIC1H/iIKG48848a7c
5jcHJZcMjW8KPdnfpxd9/VThhAGy6gTecUzjcK/miMS5vW5f4AN8Famevne8Qzh6zczQSI7kPPQ6
XDqW+CxhwXvMIMrvVNTU/QwxtaMS4ZKlVAgU318yxuJVMkMHUUDG+zq+oD5ZZNv0MdXANAblwQQm
koMOLevhIY9FnO6jrndr2oe5gyAv7bRQbISjVsVf2P0O6iHFINK+uIOpoi6LPwlCszAW1T15dDd/
ryhKf1NS4tKazBaY5ZnyNdmZdmpPBwtowNxs8ZxKH8YhVe29NlZptPFQ/q/9oB3HCcOrORiVJw/2
8jOqJGZ3TCb4ij5C3Ew8zABkw9FJKmvczlUdhIe4DZycEjzXZmMN6bE4UGDYgu+QlgcSuSPL/euv
0lu4ztP5CR/UzAgOQoivfWvZn41gdHzH7Oxt0jvgeaZ+re+12NEEpsAkf4OWSqZhmovAGlXsa18Z
qbIQIQ1V+wnHRtnVaauftMgcjlLMY39/SbwRE0FOzmhDLnzEW64fFq/kuLJmt34YQ9c+hjF6BUVX
uReRmBMi42G6BX63RjN+zYr/uHuRAEdolZASsIl45bKAD3uud0tY84UGjqnu+t6ddWx52qxkhqZN
0a9SBMNfdaoY+CmXTWb6LnrkLyHuxgg4JPDs/bq2m2YzoRf6ZNZ1IfZBHjnOY1iF7ldrFnr4rUxy
JWs5iQHzIe+dRQYO5Xk01Ti58SqqjRfirPyETlabbPupddzPaq25xbZWy7b6aLjVrH0VQ9nnDw6O
YSktlWBKS7/IwFDniOJ6HStRCsaHyAMKXCswdhhAnb7Q2UOvw1druwKi41TeWG+1sCnEtsNv6NI0
cNf23CPpt75Cpm7D3Hw4IUM/q7uYa/PDCJXuV4qv3b8eBEV30+CG/b6Tji/AbOZVxo2RG0fd4soq
vWjwZiStL7mnCXTGtJ/TFMRPJuyc4xQnxkoGerPMCEdSSDKAEhEl6SKcAAcXjEAaEYy0kksT9CbD
WSzBA9pW+7mzfhVe+E6upXxE4BhsJTDvgAaWynwe86BmhGt7qToxvVjVXP7V6p242AbzWk+K9d3f
SjeHKxqA0igBnDj+LVRj11vJQng0DkkNn+rImg4IqyUP8xyVB0DP8+GdobjvOSjwNcQUR7JhrkPN
aVAXkIODh5p6+5MqxmmDfVH7PRvHNcLGqz7Rn3sVOAtfDTWRV4EfwHbXsdLcrTVKy+bCWVlSgxlm
m58tfVB+GEpi4leWuuLfRojuJ/CqofMVtHi8g8id4Yub6WEKeQ8blGPr0siGAIXmRz112rd2arU1
WPbi+pbHihRZ4uyWcEhyk+ufOoclfe26Ny51aU7fC5g5/5BXGC+TXvxUElGttMrkk//5ZmgfwSQh
z7XguNEaXpydRdrY+VCY8wU0Tn8ZcCh+HFq7fu8JDcKGKSNAEForEIHk1vqj11F2FQ6VaTVctKSs
vybpgPVvleVHrbLa57CL4705jM5K0Ns3SVByE+bE9I+4kq6DJlMPQGTW+4s5zBMiIpXm+Xxo64Bm
brgvRGmvSfzenhC8TXhz1GKcEqBdriOOUzGXSkH67ES1qvqVgdh5HBhx7o95O31QQ3yH+slLVx70
ZtNicixzaM4lOaleHkyKhlo9LDXt0lhzv1VS295QVf1uZ29NGPqNSExE5G5lCg9PbrGPWpiXaZF1
7cUKUD/aTD08HMukTNxodiRWDohXtMRibcoDkIklH5Gp+OJ1qnCs7DYL20uQKMG207nifUUAUPur
M5xWbHQcLtuNO0zR9741+3LTep3pocuqB8ZGJgva55BZWH+su7avt2Znpfh26Mo3rkKv3OWt1Z1n
r8W5zNbiEE01ITTzwcE4nakVM4Fk5+R997dZ2Grqo8JTfkQDVU/3qjlNFWLInWBo4jTj2p68fcsQ
+SlLcGUE0w/J53oZQeMbLQ1BgYuFfdshR0t00ztB/8T4YljJpm/3CAcaTXIkfJBtQBPmOpRoes2a
GABcSqf/XdTU+8HAJSb59cnGqtTyn3ce+tTzgESQMZLSMxxv1/ECkH2DHQ3ISma6+XvEfmjXt3o9
7icnnNbUXhf9A7l2uMOkaSgYTA66xanjTEYQi9IzLxZiz9uqMBEOYNtfrDJ0kOHvp2SPs6cAbqxn
88GoojXdktu3S9eCofOr8Ab3nPzQfxx7OYPpcsKy92KG7ngWXWdWvpfq8y/XFtYHsxBxsPI9b5cO
dwezFfCiiBdCibiO6KV5kmHubl+Cupt3EX44p7Ab3F04xvPKqXN72GFZhcKtTurtqIj3XocKrd41
Q42CyghSbaciG3rszJGbsUL5QsUP54erYEh7f/0szUrJ99B/kWwB8j2VDEK+8j9eaSLKIHS9oLqQ
NGcJIEZnyP0eqed5Jwxlrh4QfXP+giQWqACAg3o+VGqomz5q33m5jSezSjdiLl3jKYkGZ1+pEPI3
dPQcfZ/URaweskAX/e7+r16uA/mjYZfhWAocQiJAr3+0niNCYE+QymJSxORj0aWutm1gkP1dRVFV
PQ/hYL1zfCINXekJQvGjLpcQ9MUhMruj1ff2VF/itM/+Ju1x860i2urRS5Ku2XtBP/1471NyB0kM
Bu10CB1LPJEDDTabxqC5iL4uH/VmVo/0wcW3JFQ7NByNNQWNZY3LE4L84MxCLRcw/1I0mu/Z62WO
5WYI1D2kCNfidhu6Rh6cSoEZ1sZGJPSLPVeKP+jd/O3dTwvGECEChBrpeiz1YFyroEE1aPUlG0bb
3PVmZbm+11Ve9DgOpbpLMosf8u6YkuQE8o1pDe2UxYEmLa/zwLFwE5uy8ms86jWy3K2rbiytyT/G
rtK83A+4PE64I+UYRnZhyYlvKuvGtLkWdWW6SFbsMWMAvxceaMoua9bKgds9Qi0AIoqThLbBDbSv
Cjy9QS5kvAyVZuxq0yz9cvLUQ1iE/8w0JleKubeejBSGaODsJPP3ektKiMdgQE+/FOheRr6AFd9t
h8hsf1hV/F7NTTzRZbohsdhyyIYZ53W03pti0wV7fcjGedg5ev5tgFy27VHVe0j7zlyZZL5utT8z
J+JBayLBYXQqmTeLzMklXRhAndaHUhsimMSJ4eVPbed67QYAVgaTSo+rw1hhKrkJi8Jg/qWg6HPM
4QJ9wlHTi1B8rIp0U1e5C1Gl0YePrpa632pFNPomQP30k9p4SuEXuTIyeIbe6PpYRme7MEHnE8C0
0u3CAuI4nSZRRP4UIq7nR06Vf7m/RJeX/Oujypa5RFFAA1yccyR2mLf2tTgMnSKewiaJwDGr9Z5J
WMFwCP+d0abFqxVmdnC8YFq5cK/DIysjBSKRzqbHxiSG4/36yxZa1uoug6j9NNrpMdBz/TwpQ7Iz
aLq020HBDFuZ4gKQhVV9D1N1TS58gX777weAHoG1wYEPD3KxkB2r9sIU4N/eaPBVLXRYy4k2qy8R
0N8tfsjz46i71odWz/uT0JpwVwP33Ca2Uq1czdfH8X8/BBceGmKSS8evuX4TeR11ije7KnbhAWAA
OldoSIYo6HZ1050DGNPPdeeEe+gd5uH+GpB/9f8tdw4M2eUkCZGEWymmtngHMzbcIC4i/ZA6dvg5
DebgoSGLX/nU10fGaxQmglxxNPDpAi3bjFlczmpnzsbBNSnPcazUXrRJF1svCdYaFteH4f+GYhJP
as7AmILr+l0GIKpKJzKNQ+x0+odYabnChDZ+D8LR3c9zsJZW3TwarXvKDWSvmLIhtrV4ga7St56g
E3WIix4mjArvBSNSZT/QPPDvf6tXccmrj4XcJ1cmSQJfC6r9YsdYIXc5ToH6QVht+zx3XbDVFNfd
QDXVDmqb/ErzqDpRJY9fMECcN6EVuY+qG6ef7QLHJXK85sA6BCFhlO52Iuk6Tza+57qTxE9xlCsv
s50CYRqQcxbQDA996ObQoKXJJHoGu8Lu6o/3n2kxK+Z7yWeSEhkcRLI0XjyTZjUTzeZOP9QIpn7i
jk7QCnDmo5EagjY0KGrVLPqj3gvFj7LZOWaFLRjGKmLnGhOiBi7qqvd/080S4idJFCOjLVkJLF+z
WkWa0TNnOrhGan1AgfljOzXTURRIu5bl/Pt+tOXmly+ALIGrjdYoL2Gx+Ut7HhmhGsYBWo73OfUQ
MmMN0LFWG/VQzaa2qWGPfU8qjsZ3R2YARRqIIh3N4GWxnEZkaRBLjEPF1jxHGqCZxIiCjeNU0yfV
iJVL1Mz6KVCatUnU7TNDeqAdAteR846xx/UmNaxA0CydwmNGv3irtV2/NxKs/Eozo7x0RbnLshzf
3s5YE2e+/bZk2DyulNO2KC0Wb7uvrEKAcEuPswe/qSqdcldaRvSYumRpiHOt8YUW8RipSf8Emb1Q
THD6LeJlo4nqTFjBEDIq+PP7IVXIzHLKO9dD+HickTulxdof73/a27C0tWCwca+zqGADXr9g4cSo
K9tCO+aBoeACiWMX5um/zHoY9/EcruG/Flc5Tylb3i4f1YK4Ss/wOhxkhy40kZY+Ykcmto3ndLu0
7I1vRhFHPyzFa4/p6Npb3rS6yfnaK8n9Yjm9hkczzv3PsJz/cx3exiSqmxBrOGbc5+cOtOKmjZXh
UFfJhzhv1V0Wp9+hMRr7+2/5uo6n50OrAJAL+Sk3ACfZIm5YqLHXhKZ2zOog/uZiD+mb6RA+o32m
H2aD7I7xb76Sob4ZlAYp4Ctp97M8nfQYRTzXy/XjKCxjr+S2iyQDB6bZRLDwKee2dautOY2+8YGR
nmG7UKXChrgRwwLza8+5qR8j4GUH7AmDTaJp9cFI0KWwKa58L+iaY1CW1haGjv77/ou+Xc602DWD
AhluGFJVi0tiQPNVj2fHOiICPe6yzsp93RmSgxtZyWZWo/d5BsoPy4+EP0j6Tw/xBsY+xbqRDnVq
HxN3dH27dN2nCDAHdM8a4cmVa/2th0PFiFsd00BZjl+vXvQvCmXuO/uYsoaP+DqLJ32Q6MnBHL7m
bJyVlG/BPPjv6aD4QbLg5KXtvditdTmPaKLEznGGXbCpE2N+qIYh/6SXgewMa8ZBRHZx0DMThzdA
k4eJO3CTULke+rydH5JA71+aBHd1aoTy2aiK/Ll14IpUmhb5YIJy4CgqKdEQhEP+vlRSfhrqMwoz
/g1IYwl0pMXaG2WQYOGsDfmz1eWWb2gI89aiW9O9uT1WOLali4mK6AFZun79YeY+0IrG6e1jXbrJ
0dNhxmjAUZ6HxgaCADXWL7PY3cc1qo331/siqXx9SMhsXFEUjNKq9jqy3XBDRi5IHhxUrL9mjx+w
qY0a8Z1C0z7fj/XG8jP/jLXYWxWqrdiOt87RCTUswx3o6pPT2WcbLoEvzN453o+38Ihh+UmKOpgw
IGLsLxoW1w8Xz1VnB4zgj1xN3YtS9c+F1qVbvYnaz4Pwol+1l1z0rrJOPeohGyTaxj2JiiSiKvX2
/o+5edEAzwGDk7dzWyJNsNh7To8ztAq5+jg6iu2j8Gyd4Ws+Rl5jfHpvJJJcKSELHhtjuqUULxA0
01HIbknP0TlQklnZDZWjn+JUt995oDA+IwQcC14uA6DlQ3VuO5d14Wkn3a7zS9FGPxW3+hVnY/6i
5eq0e9+DyWEdKaxkI9IzvRFZwOindsLMMCEf2aYvGi958ApcG7M+X3MUW159hKJI4MqTaDBmhYv7
theT6J2RhRGrzbSpptaWa2L28zbQdtFk/C1y01kpUJbb4zUmlZB0EYQZpi5WiDUlzCXNxjpFCPHv
9abUtpiLFn5si3jXzvTa7r/O5aEj40lKEz0RkEAclte7o8nQ+i+oSk7gyuttp1WGr46ACLcTzdJ/
egVZenXMvRmSXs9WvR9c/uV/FJiIHsjgxAb0zBWwHDarQeF0/WhZgClr9btRVeq2CwT2WPfDvPUd
6TpQdMDy45/FkVPmldV57mCdcGxT9vY0fTEUKDyJgz414irhYx069cqt99Z3ZPpBswc5qFsOjY0E
btWmsX1KDDe8oCLff0xsL+UIn0pfzwf17/vPuDxZ5Kv8I96yD2EWlW6ndJJO5Vh+UcXQPyBXOP3b
x467hnt4KxRlBg8nTzCWzfWSoacE404MEFpqOlVZW+ZPDhfVVrIyVk6xt94inHUAY8AWpZTLdahE
HYrABQhwcoM+TTaBHbp+HWcpeQMqV5veLoqVdPeth+Ouh3VHo0qqpF1HzMPGNDI1sk+4QogDB43y
2OmBdUoBqL47FMJOcvrickhrVMXXoabJ6KxERM5Ji/NfWWZMT2qCh1YVVOPKa7x9KCYDMq9gHEe5
9Epw+WMU1/WD25RO55yYIUQf4MsbeJYMUqGxfh+wghoXBi0THsCFstNJxX39UGmXlFMQGs7J0Luz
nUnbZHdoQaq5oNYc+PlGZM9f7q/921XCdAeuJHwYieZYGu9M3Yw7oTsHpzYU+saG13pWhSZVABrz
AIrzfXprr88o1WhowMFywPlscS/kQT+ODRnCmbvU3k6FCJ8dMzVW2kKv8jnXp6MnJ0ikzsxQadks
whhamFmTOYZYBnr5wcmyxm/mrH+JlWnaDEneP1U1gwMnCaKX2owTnxR1iHxkzONdwh+bpun1I4yc
jgmm3jsrp+oraO/m95E7MrWUoKElntjsRyS6Mk05JXYfbhpgAr/wgeofRDd8zUoUkJTMNvawq42t
0VaOb+WFd7CsotlOQaSf+2Fsj8WYmkc9aQypL/NcjzPQ0DoLUdl3DZ8JpfjLwrbQx02PgztDTU9R
7HBnW4n9K00G+xHVrHRXmebwqJiDcyrGfDz2VeNtLQGaekiccOW+fGMrMbIHkSw7SmzbxaYt7bwh
Ue+UE5DR8ZxFqCZOSWGdW6rElRf8digJd2cowABscTWXqWhMq5yUk8UF/QQRHd1pED3nsC/ESqib
G9KW2AdGlUwEQIh7i6WWofiWIoYSn52+ibZxougnL2rUjRM1yslw4fOZJkJS97ftzfMRFGgSIzcC
Ss+h66MCgiDHiDEmZyTImkPcWc3BcOP+UJjJ2m38VihanlI0mNEeLe3rUI4C8SWyg+SstCWONKM9
Pg762PpjkxcrHPGbw4in+jPU4nbsst6arNFNkDdzu42ItGI3RUa05f3/HYaMMe+/xAVgksNIxnMl
7oprhHxxsSC9Cd6sUyMM2Hel5RdKWW7DNKp2+jjj9eMU4cNggfWwCsfZT4rRgf5XZgDE6CjoiVZ8
8BDd+TyFfYUgDIVJWWXhe1NafqGDBx7gE1YXH+H65QdOUWmJgQwLx3/+Iemsb6Ouhd8zYu49Myvf
J2T43xthWgFQktEqC8y4jofTSzigiZ/itNIX+6SYxVNSdIiVFI6yQcigVjaDHtX+TOpWbEazSS42
lnArCeCCNfr6M2DpANWCswLqb4n1091aLYpGTc+eMaPgqKgI5Y7VOJtPs57GuC9lwvtpN33c0vHJ
538aPWDA4kHCr997Zkmw4asiON1vuCaLJQmuHsHXyk3PnQrqcA7RuYLFn+8tdvdKqGXjjtWI7wFp
BNwOqs8l1kK0ZZ+U+PGdqzTTn8I8czYW+PNdpDnD4xjUtu9ii/Ac2ZF6CUIMv+7vhjc23ysrywKM
9+p1ff3pR5QFyxYtsXOh9ePebdToXCZqs6umcvpkMdRciffmR6ZBxJUA5FzK2S8CDnMwV3mfnXt7
NFjg6QCCZW7rzeDZUcafkeXPkAFCf8463S9H9HPYlGs+iG+9dgDRcsZBCmQtU/KgEl6PKGF2dkZn
/DQCBduH2Kedzaz7yn8ZvhmKl/n21MS+3eLQs3J9vHG8yqwSBAMFM/WO/Cx/5JftXIdTUM3Z2eyy
gKZR4z41dhWfgVCsOfTdfmGWMJU/nVKwtPRRrkNVPQz+fvTys1JH06YcnIH2sKf8RLTzs97F6Zps
8037SALRgVuDTiQZg7y5OL1gnYGd1bzmPJaO66sJaosNasJwl6JyoxQFSio5dEC187JdbxjdoTFq
9yPjR+ub05trM9mbBUfqQT+SJccm4yZbvuq6aO1sUsbxmDpZ621qgCLHjKG6z1KrEAmZ86eY93Ca
qt78zpi/PsSx8s/7dhmtUNmnRByC1wFxSb/+BlhnWeVQwhzrDG980nAA2FhOGV3Q5Bgvo1OvtceX
2QmtcS4POgRcHpRly0QBR2OSrcLSzp5ZWFsTHPzW0EW3waBIR5RDz/w0LOyV81umPH9kt0BUpPYj
UFCyLy6SpS6SWQdtOVmp8uBOpXEuRid6Vlq1R+u/Yyzb9tZxLHHryItirUH/ZmQpiCEJw0j+LY7r
cQxpD03Q5rTUUs9l6LkHrAKbU1+iIS3QS9y0qhZR2GDhd//DLvoxPDPKTDTw6OLJE3TZ7E4QFol6
pjmPDeiobdprwT4ZxDtnlDIKmwo0IOUoZeJS391qnKb1ijl/HEetO0Zqa2zCdoweRaPOfqrNyun+
Uy1Op9d49CsMykMJg10mtzl4nyG0pvwxc51ka1siPIqxxQ981tfGvW+EQpaMngikPuB4S4wRRPS4
zzM3f6TK5TtVZeA4m3xAuNSrE3etQJRZ6/US9a6iLfYhMOlZaXLMKxmEGI4fC8iw3WBnjPHLTyTy
xjM3dP25MoX3iLKYscHSWVvJPxfnsXy5sq/A5cLBBK5pcTwOOLekWeTkj6Uw83Cbo1zlQ9g0PgnD
vJhKji7m/a+5PJD/iyiBHPRmZTtjUatMLY/sTLxjK5ynS2pNjxhOeb+LTqnPHUZ6wN/IcqvE+9Z6
TqD6oUWnA0Xcgh9XrZEoFyhnTib5/JTo1IMIn3BFXJ+FXdQ0Dd7HxWM6WwqTX5HZfl83JkTsFEBb
m/A1cj086IOT+0qQteFGg2v6CLC42VmRicq0QZcwrFz7a1eiNumgEmBsg3zSdisv7q3lotFnYtex
Gfho1z+1HTTG5opaPPY9TpYpjFosAELbdwJTfYgVMpUWfNyP2m3ML02ZGLvQ7d1+5fMtzvLX9yVL
TOTZZctLXSRMmcyW3cQuHlXVmkFEDFbP8NyuDlbdp5sgaZWNo6fvnCf/FxU6tyM1tSiVFqs0UHKn
d3O+UpgazhPw1b+KUS8BuUzzrgdP6pdm9G9Zq+6XWfTzyj5961Dgqvx/wRfZ0RDUIzITTfFYMch7
alHy28LRs8+xXn2//4nf2oykXzqbA6oY2iXXX9itlCAqq6l4nOqg+AEsOd05aTfQA+Ki3uRUQvv7
AW+vKtQAQNox00Lr42ZaIeyk6mj8FI8irqsPIsLvLIjt7jBM7TOC5TGqpu74uedLr5zpby0jsC7M
9FSKKyY010+qGsPUqIlXPCp4zBxitY631gBbVsud6KI6SObPIaiQ+0/7ZlBgyA4KjcyylyxWpJCZ
gUxh+RjF3fwpsZ3qwQgxJHREbu0DMxQf48peE0lewkZf1y71hdRLBBzGvXn9qGWmBmE6ViyfKDN/
TgjyH7m5pl1TJ81Lo1m/sVe1n9xG+VbDZX/EwUPQRLaNNRr1W0+PwAc0BRIjOYO7/h3BqCXoudTF
Y5552t6c7O6XGnlMpocs/jF6VvAwdd2w8p1fP+TijpMtKaCcNImQJF58aEAJbjpNtPl1gY47xurK
p7qzIPi7yfjFmFS19cNanX/mZmbtAR5FByf2Jj5JWZ6CoKz2DHujBz7cWp/njdeBaDXtXy56KpFl
Il7ZDFY7O48emeWgtNS509axhLFzBPKIk+YGh2nKhsM7V6C8ZEhH2W4gRW6Gn4FShXmKFc9j00ch
jldAqjdqV+LWQDKQP/VDh46MJeyVr3DzrIQl7eYPkEfk/IuPUIWmYsEMjx6zVtN+Z1hJn4CrpOes
GP6K5aFmjNNaLrqICQwBFjDdExYboxU0K66XWzU2qTFkdfGhwuMlPojAHdxsA6q2tEqfcZ7TPqtB
22V7T28n+30tK4LL3i5SI+Ce4OwubdeTOcppWDndh7Keywt13Fc6XHCYxkbbIHIyrlyKi3MbKCTF
JUMgcB+SEWYs2pNd1dtWaVrtC/87iA6W5GCl6L7jdHMEu2g8319FHq/ujz1FOKD4ADElG4dE31vc
hqJ0zMIzBvNFxTfNH3UqmDxBDcBGqo1EcRp3gyqwXo+y4iEtB+XT/fCLS+N/w7OkqOTlNbVYTWAI
IHUbsfnSGHOy8/qxPym5UIFDTt42GfXP1uDa/kjXeXs/sPyLb5/7/wIvnttoQqONwsp8cZO03DZo
YH1MdN39fD/KcuH+93ZhxrBRUHFcth9D3B7MumrMl8RLlb9ED6FRodLcT64THss68y65MPqVR7td
QXxSBJDoUKCCBMr2ercIr0lDNZzNl7kthz2+cfbWbkE044VmbXIvWMN8LG+l14/4KvCNoAY7dTn8
yWInLuzZNl/qvur8QrNrHxs09OiNctpCGgr3diKSfYa6x+cSaVtfj1TxsUbAZaUFt8iu5A95tWgw
yCilf4L86H/0ntLGnbQ0TqyXyA6LndXV8VlvYHPPZbkm1fLGS8ZBC/4K3Ceg40uVKzvMatBgg/Uy
9t1z7fTa2Qgt60fWpyClnLFeo/y+sZIY/NBGpWoF8brELRR64wWz6KyXCW71scg77zcXgLIdUOjY
Bebk4QdornEn3tidBlo0kCCl2Rtn3/X7xL3OSFK9s1/w0QNQ6iXtyRs7BLDL1nycA/gUaVm+mOo4
rRk7Lu96+Snp1pNGyqaSRNtdhw4GPMC6QrNeqgkibGbXjHBNxNUDEJP7KVBxsEzDeGc5+A4xKu/2
JRigTYRG7YegTexdVFTqsQnFGnD9+juAG+GiJ/WSkHUqPAqT69+lJWkU0auxf0mihHeh2ZnplyBW
Re1tA8MA8NsXbdJ/zbsytN6n2v8anLBwo8E9QTNZwteiwaC7io3Zr7Fy4n2KHcOZlxhtU9tZI0Ff
3wv/hWJOAQUVc0UHzNz1c5oJGYtrjO6vCZjaIXM0sR/0bDp6docAg+LA7/dSVf3iYgW2STAwfdet
S0uU4MDVZLMNbAkMqev4VqaNHe3t5N9yhDBy9JBZVJ+bOurtb2kdaUOwUdAOmFeOzkVDQYaluYhE
HV1bbn3UpK/D6nFdTK1Z6//OTa7AkPMiO92hSPU/1J3ZctzGtqZfxeF7+GAeOo73BYaq4kyKpCzp
BkGJVCbmITE/fX+Qvc+2KIfZ7uibvlFYoosoTJlr/esf3O7MK/t2UjEEIn28txAd+rfQQPX8elWV
VKFtplDesZFIkyGlg36j7Pp+veEb7QHH2HUDdzPhwyjq+y9GxQVlz830F1iSyGvsojAOeVoPU+yo
qvvg1+30lhD/+9UUHBsFPBJS0Pydd/0DWdLXsPGbPEd+Be5QRGYv8yOxhEtoVJV8/if75B+H2guR
PfuGYvbVwi2HkReOSPuviPUy6zIPRrhuyJv88sEwc+92nSRZhLxrnvPGHX99XXnSIdEjkgCgw4rj
tdsA2DahU8GSi7CYvPEi82vruGLvb4WZ52onjAfqtyzff7iu0HoxBQL3IAOSlfXVrZxSYqGqQJIf
q3mM2TUxOFErWNVHvRHHv7+w36/gXFhsafalG6yDqR8v1fePjcYa5mlD14swd9z01NQVc/2ymcO1
NbKbefPsG7zTilB6W3X6+0P/cGWh2O6wHA/t7ofx+tD9NoETYhBJ5Ljtr9cNTWNEylcL0IQVktkx
Cfz7A/5wXXeOfoCaCwkVdJzX02+VaSPMljrlXMc0/4T5YeuGUMbGy2pTgXqjTv/xaO6u00cdBebH
n68WyMLIQc63YpZMjeEaQjUqqlDlZRCEMzvVG0f74T7SAjHgIYOK9Qm/yVdH0zdbbMIsXRnqwtZn
joZ3aNg7MrUZgpROsTN6kSYEztpcWavtf/j7a/tq1sSDxJX93cQByJDB7qs3dAa+La3JSmXIKMTU
sRa28jVu58ovz5slIOWrb0ROhLfe+8/Sx/I/LIZA/zAMavhnCWB8lz31d3f6Z8645yK/+i6Sknnz
gtmT4ehZ2XE0y+FiaNqJW+7V5BNtb7ky/HD1GTECaRHjhnqLReLVW2ROo1hAJ1Es1POg3jFOHQ94
TWmhXZbpmSya8U641hw7VCJvvEWv6w3cjveYHl5hThuQdN+n/1TSEnLi9X41cejFyquPa9W+I4rZ
emxqnRGyZ65nBebzb6wa3xyB/tMdMW6i8KLkw1QUjBTy3qttcEozdqLG0mVoU8ire72b1RL3S7XW
EX+3HyxXLs1pKRfzoztU2Z1VmWP95JbGdKlwZ5xDpynWR0evMyNcvGptL7O8tj/A3HOuDMx3bvtR
ol/PhDNrR4XqcvnEkjhfDjq642iggutvPSy8xt87hP/6svwv8dLc/n4O6l//zd+/gG72mZDDq7/+
6yr70jeq+Tr89/6x//nfvv/Qv26ml34Y+5efrp5a9dNhrJ+fhqypX3/mu1/Bkf74JvHT8PTdX5J6
yIb1bnzB8O1FjeXw7XB85/3//D/94U8v337Lw9q+/Przl2ash/23Cb7Wz3/86Oz515+x1/jTy73/
/j9+eP1U8bmzLy/lU/38wydentTw68+aYf0Cnknejc7D/m3s+fNP88u3H5n2L7tPCPURnsUekm3e
k7rpB/nrz673Cyap8HLpdGE/UK78/JNqxm8/sn7Zs/Nw/KOeIFiSEfG/z/27+/Wf+/dTPVa3TVYP
6tefv38f9lk3dRD8lb3F3bfQVy3J2q+Ono7NlDBkvgHYE8mad8ux8xcVB+tWRqXevrXUf7+TfZuv
75q3ff3bvUO+zX3+9A6OLstsKluV9J7KnuAq1gdjNu5q359up1n/Z1y/3w+3m6WyY5P5wW34/pUf
9IEcAIuk65q14ajsFosrcytpc1r3jern+03sj0Oxs1BP7mX+a4YzrtitPhoF1R32s0voQVEJ7XEl
m0tv7CL502P2x6388637vqX498EwdaKWxQ/29WVkVMe4w2gUCbZ9cS2tfjxmRWl9wr+quh+02SVU
0Wzn0HTH/gourP3G8f/qNu4siR26xNXntZ/PpOupu5SIt4XrV1gzqi30i76/hBSbx3OnWW/s2X95
PBwuQUQQcfDSfH8fg3RusUG2+mRL0+6dv3XdFcSg6UKfff8iKN8q1//6cLQw8Bppnl6DpB2QwOwI
u09aT/PiQCu7eGgbM1I8aqc58Ms3dqa/Oh6jex1np13E9Frqo1ZsKrJ57ZPVX9zDIFzjVp/L4IoJ
Z3czm1b7xuV8/azusxaKEGD2ndgNXvn95SwdH253sfRJnW/2baFkfiANWMY4nmQf//5JfYVoOTs9
/rtjvdr/AnN2UcJ0fTJC2zsr3LGORKn6SC+yOtSEGK+FMG8ZBU93dhPoF0Ez27BwlGX+X5w0Dyzq
bby94eu9Wgtm7BBLQuy4yEFVQ5rXZrIAZHYxjd38+e9PmhX6T4jot3OmQcBOgkWfuvx19hWap1Y4
m+yYRAdrmGVBHxIItdwPa1MGkRrmL4IPVokUXXr4+0O/XhmooFFv0+zvdltU8K+q29Yogm7tRJVU
77NEu7bNaPygHcc13u7//kA/nCMrHZsb50KjyQryqnK0eq3vRQdi5tntkJhZ5ty0uORLfAc0KyEI
0jvzC2kl5qxnbyF4f3FsLvI+vsI/leLq1XIwZS62BsgdE7ucsgtIIfppc8bl0peQ2jthPO8+RgRu
194b694PVxfiEAR19ufdaQYR6/cvzljatUF4KZS0su5PHIQI7wBS8tqtepz5qo6mRpuO3VS7MTPM
7o114seXCaLvPhU22c/YQb39+/1p++yCIjDyVElochDmTGFt5DF0dmS1g2skNDXkvVmr04TuMKDM
VLW6zFdhhAYt8hv73Y/3gOHcbvoBdrb7wby6B6rEK04OXZssqu0i5efPmd1YUefK+mgAz8ddUAcH
yBH/bDjOfTf2AxOBAXa7ewW8ugfpPKo8NVqo2KWaTrjz+0mhlfVx0636mggn+3FZp3fuNv+zANff
D8wBrd2VlrbpNaClY89iZKvfJF7uq1hb1vag+8TBDFmvv8F2/4uLSy/G+wtIzYbnv16rXC0f0Ek2
CTliMM1l4MCONKeztgo82PWm8Q7pkX9fB85bee0/HpnaEz8C9tkdQ/ohA2ievUXpc5VYlbOSMaE1
H4VevG9X2zpZBLme2wNPuUzr4B+hlPvV3cMIuJ24R+DC+/qdns1OQ90iROJ0Pbj/7GOpuDnWhb9a
d4YI3mKvvSL4fzseiBH2uOwGAJSvRZJZo5mQx5QWW7hFPTELNWLPlEMbetmsn/wl7S9TsFm4NFMu
LwVGI1eeplmfMRHrk10sF072ap+1c6seNLufTpkZvBXByoq6r9f/aR/5mjSqyBC+1T5Ue6+bVs9P
u0GUhhun3lLjRu5MxBkaGLeVX+1iqLprL2jq5RJdkqZfiAHT7yTHmhbTH0daO2VtNvPjMi9Lea/w
b+qdcAP1sGN9TM3s05hiFXa9K5CN+1SOVRDZvWqXiDxIxyKJr5a4Qdhd7XyazLWpT7ooNlJRMfvR
cExrdKEnlVem27kvraqEuGroc7SarRrQRmP+cm3Nlv+kuq1yf0sHJcVVa0/4vqWNtWbQSzM4rrk2
DJ/1xV3Nc02K6f2G2RrWwVrfNljM2lYW6Wa3vRPWMhaRXCxuCR60hZ0sVmljxaaa9LazJLL+qqFI
OyCZXvWH0Z/tl6JtllPt1OuHVSw1Y5e1r51onALxCBFYzyKvIlCqmdoZ9w3ozvXtJq15PNNkF+gx
/szunsXaajh0aznGXWQBPgXMqtoDrqnzkTY7WM9gdwKf1NukxuPmyfXDiBv+Xd95HajS5qSf1nnu
pnPRawsJCUvvXS/+ool4piepwtVPnfZYYOjZs6RgDxfieqU1pCXURhAWoumqZMnM4tgTXGNFKjPV
U91XvZEgRB/e+yN2dFGfV6sVaWRqLme5ypenxa+n67Ehkecwa0M63UzT0hVRNrbALVlWGRpcinac
Q+p3Da1p5lwaWzeEkt/XRSZZhdc1ROyvzBUGLCR6xuxnq6sNY8R5E2+5zXITp9TPzDMv7bf6EhG0
XONR6m13LoWuJTqECu3YO+jMDnBPV0JezQxDNAdWgR33qXCvvTLgH9x+gGXUuobB0NqfyH6Rs+nV
USelbx5md/GK84z0HSOS2qoObMBWmsAk6MTRqqoFgw18iYsEKfl8sdhilInW5WI4A9Wrp2g0kPCF
5WI041lgNG52ILA8fQkCbb521U5zYZzczwmxZyKICm+bHqy2X9Mwa1sK4mpXtIC+kT4Qp+7U/FYW
tpkldo/teSxZWOqDraziwapFxm3oSS2OVpUOZNZkQ/POHHOtxBjJxPNUny2ymp1iqS70dcuqY0V+
gH8zNJs/nVn0ctfznFriooMncr+4lqaFsgkaEkVWPfXv26HuL9tt6awkkB4qI6ufVz9mPjYa0LNW
UYe1zKz+2K/GDHCHYPQ4OnZ6a5dkt5/Yw/MmLNucjBm9Ux0FadVCu67ZgireqnxgsS/1/NFgOPqe
vQUUf5MEo4VWkAa345IijnMH0kvDCk2tFbmtOephLtbmMzkX7BdUiuS9ezNOj4daz7vpVhpprt+R
flp1CWBDeWebwtWOVqO3B2CzusLQB70UlwOW/+3aul1wSwMSdFGrMqu9mj1EF01rGmh9Kn28zHpD
9om5FvUXkl2QhEDpnNLY8Zv0rM4WY4NzYROIhfeWxz8TnCPCqdSNPCzQqBAJmFpLE9dBNa5J1ZTO
bsw3M+qpJ1c854Opb4nYfPNKK2lE4mwL5GnCgDMIB0z9boY+j9JcZbeSDCSLTBNHxqwmNDESu4Ih
0svaCaKxyjF8xQoYeHloVT0dJtixMvQ7b5A3I5OCLDF62crzgqjp4axp5trkRjOzIWBrInMIaHqe
Dw5DBT0uq8C5HjHCWh8L0nImygHBfc0HJluQWjpniu0Sx7hoXR3/pdJRUIaZS6uaZG6HBbjbL3q4
5GqqosFqt3tsFvwCV1hjOWyF0lBpzd5oHrp+1v2QQDOjDlUdbGnYerLVz8w8z28Q3NdljPOpsG5G
3R7fe3rv6ST4jPMdSS/yIfVX90NF1O8aTjWhaSHdSXoqjNIcQ3dKNRnKpSBVW1GaZfEMpbxLXI8M
mXBd6s2Np0ozCKafsnZj38HBBkFNVj8WInXWJEvr/Nbt8zoIG5QpY+hXg0df3uEytwsFWEBX17j3
akxSVTC1bUSJBn7l9gB/xUopeda4qgHa5T3H814Ea3HccENXZ3ZQ+Ie5kd4cuyob2Y78TLxUouj6
qMEBUOBlZ3iPwZLJITZno7BYGNcUYzWUyrhVODj3hW25Hhc11OfumNYbUE863LdLk6MSltp8scH4
b1GypqViGVjEdlxTs6yiuvHgsKht+1pXSDUTI8f/6zRuRK0qNZpOlNWyFWG19gvaOkYD2YFHimVJ
mFt+tQX9rEJzTrUXQzrDXdWCCp+tE2l2jKFttlSj1StMT3OjCaWmI1jaLHuKs0KlZWxZqd8dUmro
PJyxqFkiIAl2orFu1imaF8NDVTn3EIiZztcpsPWkjaEAxm54P1bz8yxLdalLFXzGaa3oDnKpAz9M
J0JA1pbArnhpKiIl8MDbPgtj0tqoafViiYU7b01caJ5705nduoVB405O4umkoPNDjB2iIUX5FTED
PpdN8yxsyorE8hrvmsGjehiWqngih1GeK0fWerzNjS0iqpP6szOVLUTwyRZXe7L0hMpi9T43dqfM
MOiMlgjb0cxENAQl1I61qIYlXMgygqE9dI5KcqJfrmwj2x4EjJOP5Qp6HuKS5ff3qzenwbHFxKuL
MNcRz+T8+u5RG31DPlb9Vtw0W1POESSMjWwapzQpDbWy+LKSX3HWk6PuJqmbWtVxQnTysPJY23GZ
48obDmoHQTYIsHHvTsWXNM27KmyhViL89t1iPm+mZS85LUofz3a7IiRGwrlA8T+WZ5W9qPIwb0Fx
rg94Y87tap7QI/o7AX2hWMAvTVUxxOVaSybDF49i8aaDabO4kCedGi/poM9r1GhDO8eAXMHtQhsv
TxscHMCgUsf5VmlS96KWPOYypmLyz5savU609bq4a+2Su6VIjucZMrbeuMJFWalv7CROq7cCkUBJ
IJHcLo0awzFysrx4QfbeXmiGqjMW2cl8apyi7KJqWVi9Srev7VPHDKdOAl5oPTQ3JjYHcxTtet6J
Mng/N4T+pP5nqknbuoLckTVsVYEZWoNm8Rt1GTlL+9tkLNn72sYmLxTM0woQPE/lITkJy6MGuTOx
p8x/wOW/w8C0S9f5HBqC/4yIeQWYcaX5UGsTEt65Vs0JX5OKFN1mbp+RaxjHwB426xCoZamu6tTN
yxA1IL5xW2kuBdWt6IZLlGz55UhiRHszOX13nqc+ytwW2S6rmNZa8xkWDrkXBtVanTYc4LCMLcBu
QvT4C+5NDjYc5zi1NzKCEk2TT0ibElGxZGV/kCnJvtf9pE/ygOu1RKjmqgl9xkzwdNipspAnHIdn
xCmdbVdnZetvVYQZbWlEAGEzMmEn9cJF1r1/Qck7ZKe8D0i02POzt2gz/eEJDbTH659OdRVmfVle
YH2uq2Mh+orKxk+h3Y2D5cWbaleyFhdpkSNnNWzrsyrGsDAM9RlltPGlHcREXSSgy22EpVvxPJK7
FE0SaUsEwmM86HmWraG7aZoWlYPkFSUXzhAR73O5RIs3VgfP6eZrrUPnEC69zwPrBd0chI698fWk
STx6NOmbYvUpqHIjcyj8KVnW1B+BNdv8Lu8G1kSzM+qTqdgYT+0i2ymkC+SY9Wr6z0NmeyuP57p8
0aQ9KmrdjpXPI06JHPl2zeH653NDxSmzjiwc0VRV2E2ajlds6c2YHZOSm4a9R04hlon501SAyxwV
8lAc9kdY9VmZBn2yM46sEGPF8rccjKPG/ajnDc380StAjWbzrG8ttK4FMuyUchIb0RCQYESgRiDP
Etp+1wUH7DznOjIhUZFiRTZVTSFc9/mZvxneUce/KQgtu3CGm9XffMJV2yFrT7atNKqQeabKdggo
ixkvtGuyrpruYDjYFL9N7F1LLHvDC0d7cZtIM5Cuh4ylszFUBXXm+VLqk52YlHpz2FK9hpNVoD2u
Ru9BLLo6R2rTa4dixnKIJWOZD3Bw0fCMvNo9E4ls1CnOtMGONXKwEyvoy1OtKXMKR6LR3iPOsz1A
xBZdL2ai7nRs4GRwQ7msPJje2gAxLlvrJq0wp+d8Bgk8J4xZ6Rd51inr2SdX/WRPQTNiQZ/Vn/0O
fuFhTJfqC4kHC2+KPY7sFbVH8GsxM4ILbY2dLu4aA8NvZRM5FRbWsB29YBjMxOU6acdaEvUQLTV5
lLU5lhrz+qE501YyqE+TV2lfuKbThmCzzsnca+l9w7qcgvOVxO93dLEjG/iWUxzZLm+ZQUhDfqNt
AZbUZhXUodGJ7aIjIjejKLU0UuImD6P0Ml+ad8XUQvTEaGk3JSeUvg2rTM197FX2dtP0ha1YffX5
ccqpE/j4GuR8JbiUBoXHe83FTiSaGNnoYWOY6d1o66kX1R07ZpJtnbXFtdgofRH4V5cj4IEV2cy4
HotKz3hMhM3yB9Y6hvQxmRmaZUl3tvDa9qegtAaFqTA0r0S2tUUQhV5TsRjkLS6U565/UANbDgoW
NIG4P5ZYCjqZvHeqjpIBm1H9EVmfiKdONH4yrmrajnaqbP6z09S5yqBZn/kZCyTpDXqH6GzJlsPQ
yv6w8wi0UF8G00kM2HWktWQW8C8TsZm4Nmv2usiG33XKKxcLLkvYpR/LoDY+u+Mi50MnTe/eVwgY
MntYqzu9kj7+7DJfqPAw3l9CFFWDGVtexq5nAYuIG+ZC7gNRietMDI+wrmw1ervHt4lkmKKg8hJc
xbX+AoLH2oS2HFM9zEpNzkmzDv0ElDS01zLwxvWsbc1ZHBh4ceng+qN39moTSyuzk954ZNHfpqiu
l8Y+VrkrsTUQgZtwRdP03nfyYm9QGyeLRkzG1YFYtLa/GV1NZS9llgun4EFhrY5Hzop5i2nRbI3V
ivUlE0pkkx0OLthYdHm+npxt6LNoyG29S0rTcLYjoINfAYHBMXb7ZtweOjwUM4ricX3v68VsHhyD
rLu0qSWhqAsFXbTM2fJpM1ticA3JiuQied0iPWvHF7tQ26XQxo1lxHay+TLbXGlESpp1HZZkkhlx
RtmxXDamUY0RoP04JLqBJw9HZBmOlWhS7az1zXxMrGLq7lKs1HZtGa5SN5hu5l3owKHJrgfNk8HB
ZyPTwjY34YXXo2A02eHW2x1KauMpdpvAy+JNw8cmShWKuNS1hXWYxpXQX81aqq92qXlXbWBu5sES
+y3Re1uw408d5G9aLBkaAow4sgR4YchjoD56wGF+4hcGGyGv5mTEFlQ4jPDTrfsEI4MKDQdhzX1c
tgo/G6cyjfNl3HDdypkV35HTI+T9Iu1+jbBUy7wYCgsO8rXfgP4G7mJ+aareTkOW4rzHKLNB/rkY
pbAiPtMvl4OT5UZEGHPvh8GsBeaB3aqi+x3SnI5iaMWjTgWmRXhw9zKGLdDyuhT+wDAMS3B5RNQA
7zKr/KEORafNfbRVJJnGG5ZCXkIebo6q0upNcZqLwheJQel5Vlh8NM7zebwCS/A2YIR0zuIaCvIS
G23dD2xV5AFE+phtdHuelj0tphqvJUUtL2pjuTVV82SJEHQjy2mk+3JDx7mJ90aV0aunxrJc9tgB
u1GrS+9ys7WhiHK3Tb9mrLyfq8H1H8kAxNG7wruXM7Anhh8bZuL3HNJZSbfqmvcE2/dLCM8mfZY4
tGynNlg1THDpJNlRlIPWrG4774YKcVtP7pRVy60iO3QJmRG2LRHllb9GBRAIa8/m9x7r8qCucyXw
6oWd3H/28GHNoorKjPD40vusD11zY29qBLVYfJ9qvobbQ0kN6nLRANzIxJKOc5kLZr2nwTVR8nVd
q7/v2XJ+I9UVLtw6zMWj8jL9ufOMxcSVqgYim2SG8ZNu88GzrZzFsWk74R5k2eUn2xEm42OwMmK6
N/sLo7tjy3ZjRpOwXBHleQfFS1n0sA35FPCgNGO7defcPlvztXi2YAMH7Aya8ZnlY+zeUUNL96TS
lRBb16OAiMEZCp532jEJP82hGgEaIluOHrl7FkpLl4iuuagjEDI9cZQFYqOIE6sje3O1T4rWkIY5
8PnTW3u7uci2ErM0W59Q5wYzRVQLYKJiNvLNoj1VGkmWutSTdsxaUpUIlANOtAh6cLIKrAHsccKH
pDI9Wtdim4YIT8DhQ2UV2hRpFrvxYTIm/fOICUUeAmEymHJghCAztAv/Iu2X2Q9Ne2j70MjLmSc2
oJG8cPHmPIgO1nzsDSKlsRce/OAeyxk/WrV+OmdjqooDzwLePpj7LGFaW8VNaW0LdUwz9A3YGNYz
R9PXausgoeFqdGUuXdQEXPyJpa6o9+dBXBdFIF48TUjs+XWVtwk4dM4t67xxPrbMfjDbFrwOEdEL
q4y0btUa5ugVL8xEhTEmTLabpOA2Rs2oVd3J6Cz6Kaut0jLppiEwwqIfjZIWu+sm4Duvj9Zuaj5q
WW5vBzed5nc1OW8rJJnNJTpd+GQ6enJZzgy0CmAOnVtVp0KB43EExTpU1EX7XujMoc6CiUX/HsCm
D5Jqs13KHmBM+zBto6MiHGklSHXQFM2hMOSaHUFC6NxZKQws0+2m8cLcHARePemI6K6rW4F9vTZN
5ZGHbrjRwb9DwykDWsPM6A4BPrI+PclOH183qUBu/Q1FSqYJkvAAeKtr2Y5YmEzS2d6D5TDI8vWm
pJdPwTV0L58/KLsDaTBd+dsYjJMT4Xo2yWigD+lCQRxmHa6lWrnboMZp6E/rBCIpWus5Z8ECVPLs
9ZhuudWEyHC741z03SNXx2gjSyvlRcvUCL/baRsuvIYSKFRm7RxZEOhkpnlbxqjFy6CJ/WbTypCO
r5VJ2Qa8jlrr9inzFtNrTlQWRKWsWzcah8VoQd5rymc6GkJsl0iiSTIjY6sML2IGOY2XmGKuNxpx
rMFhLYljOLDQT82l3rCoH/0Nb4rTMumkLZti8It4cbIepyqj7T6C5xZ0QBvk5xgPtO60ejwu0cyY
ajpqnVk+DPkqq5PjCO8koeEYSMlH/2MBmmtHqaarO9fqneaC4DVxxbUfiLzxU+0mhfY4hAGbQhoR
Fa1Tv4i8Bn9WqX2ZYWeIqaCT0X2ZdpdhNzdXcgsHuKo4UjP/xoXFrFL7UOqNJaNMiOJdICpJF1L6
85PMmsoJszrFfKqcren9QvrTFm+b2thlmQbF7eD3HzTR0G6v4A5pIhhB1rHv7VZ5Ujl0WIZbZIC8
jSo+YUqLzMqfFJrYId94ChuiM7+YUysbJlq1/8UtOvPB3gK3CHesdwxT8xsFWxCIKPAie/FUX07R
Wo/db25v+Ue384ESg1TTmG9A3MzZIF2SUjIJBTphmmwtMIrmD/AMps/LPIOTpFnaxJrCaulYddvK
dKRNWZ2JKpNWKHksBRrNsnSTpm5kkQwaE65jo8FER7dSOFEgts4/VWp13gV0Rkgr1eiqW0mnbOyp
5OIOgHt75wSkBCWtLZvsuBK9a15R/dGxlABy6YVtNVP6LmM+oeKylvr8tdOKoOy5lZ7yHhm3BE5c
rowij03H+3qhrUsu78zKq6zrcVmm9cbP8zZ415h94V3ahZsRKlUEVgEmkIMuM6VUt4ZTVFbI4LF1
36I3vaZTAVfiMOMh8d7dLNDzfs+SsKt2dWkal5j4w/lsGSz3BklmkLDIWQdz46H8eyrMXxyPBDS4
zLAh8CZ7LfAp8kX1knkCMgtaajuYm5NLJuhJSa+LsaZIf2cH/MF3vf1/ybxtX+r7oX95GaDe/n/A
t921f//1b0rrD3TbpPzp/qmcnggO/zPldv/QH4xb3/sFdiDDI4hBu3jc4Vb9wbgN9F8QSSB6IScd
N1VsI/6HcWvYvyAjwRGSDznM2i04aup3xi0UXsOBLgbjFkIGXNl/QriFnvT9NB+dGSEtGCXyO3cf
19eye8/eltVipT3kU/qA+su9LxateTJ7dzsNTpGWBz11hmQM2LxD1e+9OLHqxmVvVP0tgBNmY5lf
koth6xojBlObiGEFz/3YGGq9cN22orp3xXIjfC+VrLSOOkOVs8SQx+tH9tHsUwrU8U4R9pCFQjbG
Hb49lFGBUVy0TSWxjxfzWeaYixtWAGQo/rsmrhrP+9wPQR6bTobvab1Obp6kfQmrLxvyhtVZt36T
GQUXAGKxfqhzMMG4gJh1JVO1WTEMAO0u71eGFUblPMN37Ow4ILGqDUfVpfph7DN7Fw6ZTKFHWwlm
IlvZnKzSRIqRch5eXDqZF5zyxQAd7SqTZcNY8u4juuvtEuvD4tBh4fEpG3A8iAYA+DkqCdHLo2J1
gt9aIgeeCjgt52lZMVnz6/mT+Y2e2yp28q6yiQQLPJLeMFknwngDa7FWZjBFazsoMlBqJaich5vS
hIZK3WhdGQuRFUldFPr53OKvOQ/ndRG48eb6X3XhDA8CymoOyB9YBN1tqwi7hZFahBCjujJKLb+u
2+rWNsv8uUEDkKP9c3NKzaDZy9hKiSpytFJ/ZKbtpjGAWPPUwM2xYnNiNDnUS/tBX4cPJLLvQqBa
O5U48TB1pLcbdnwozc2PFZJwLPeFQ/XpaNepQ+0aTtMkvqZwWY/FPpjvcuOxMPprpQ/6VZ9SiA99
YH+igPhUyHmLBkfLKNMGoS487OH2oWofed1sxmPnZUcra8+9WdWHuaqHq2zQrlYXUqeilfOKynYj
AvQUF8UrkB7qxNFVWrnepZ3uXhW15oXCz9TD5lXFF7gCWeisoFhHpx22gQfI93/bNsOKpYGtztKu
D7AS8G8vZXsarIHCvKqpVkPLhCyiBrUkoh8sGeY0V4e+zO8nLyuOi+8AffPPSB/LpLLqr+48Ukkv
5pTQs2gvjkErAabw1Nd5jvPD8GE217uysRxoqkYWYns4XkrGuE2u5aEpx0/uUrVhylnH8BE+d25f
ATa5/5u9M92t29qy7qvUC9Bg3/wlT6u+syT7DyHZFrnZbvbcfPoadJx7ZcU3KlfhA76LqiAIECfS
Oew2155rzrFoOCMn73hLboemmLwwdnztAF1WHRMrB1GE8x1/Stduptg7zH1w3eGw2nkAQ+/yJvgG
dqSM/NpErKnbK0aD55uasXFh3WEj1wwtYcarVy+k0QdK9FLz7JFaRNN4lRszW/NEfMZCqz+2tKJ2
iTlNZmTTvt3nLj0puzCvax2Yi/Qzqk+GhQIz1adLGiLlDqvLvVq6IuoJiT4D8HadcDQ667FliDg3
UNwOAq9KLmm3ZexIKuUSkzaNK3LUPE25hrNDUxb7wxqVUvOdTW8VBFxoUUctk33AVWsmHhg2vnm8
digluDerMoMbLx4wUaK9bltKEQr5NgiVnXS7OjbqhE0dk2zDtOqCe3P2jDNmICgWIIib2zkmVrth
rxPf2UGpOZulEX5ygSccm4hCx9IsYaGBKe/GlguVn/Ti/oq5qM1J0DTdg0qs+HZWarKv6mDst41h
C0wm4jm3Ed8mXeE7mKb5qigy97bmmLINdIf5iprRzTaJwaiUpevq20QG8V2PXnvAkRXs/bbvNrmN
bcUnP7HJWDV2rhcgD6hZu5nGnpQvLpBlh/88c0O1GCh9CobzuGTzJZEI46yeC5SkppgDdgBGtXem
eZ2U4DqIrc4cn2DNn69UBu+JNaMev+F95QnDiPkkoPxaZAOr+GUIfJlfMSy4eWhLeg4huol7WzVe
Z5wVXu+/N2flDVibxhD4K3BlHtkusp5oAD+XXch5QjlidHYkTC/WDVPYuMNW7/OTUpgnYAToCVX5
weMibYVndqHMB4BZ7V1VNw95hQvI9Zfu6lWF8KNUep2UeJO/+uNbka9x8WGv+bbvk+teWWYtKlus
ScLZDVoK+1qLH5xiul/qyQ2laKzjaCx3Bkxffai+WNyM4A/rbpOk2h1jBi5wgvZhXFOa1xX6bYAx
xHZo++i9f2cV5YR8NLyUjJMLuy47WW+ev//6b22K308qLgXmaxKQx+1KrfPa8eu2HsJzbPP1B1Xt
gyY9mVR3nkz1kz+PGY6e+M4N6qui6eZQmmLPJsw+OrSqrLmh5ZLvkzEuD8zMfoey/yY89Mf3QgUx
YRtiTnyLi6NjEgQ9PO+dV9C3h6N0XwB3CXvHwCvguVur/zEM7beq3ru65O+3hexP0bP/WiRt/61e
I1zd21+1fpt/xNj+/8igkR17dc/8pSi+Fd/a9uk/zr7V1bfXVfH3H/sziKZ/AE9HbGzN4zOFcH1I
fpTFFLjAN+AtuTo0Bh5bKuYfQbTgQ8BfhGTBydDrWAvmH1Wx+4E2K7gkzP/r8B8s8b9TFr8pimHA
YuZGYbYQhtfvt26vXj2hFIVVGS/+Edyg8aRKu1Y47ob+2WB/enx1an6xGqyhhFdu2vWjiN8C2WLI
AEvC2/Rph8mwaZr52Do0zSamEYS607839unXH7LiHlzOEBGpn48HO1ra00Q90sPEyGWKiRhR/5vJ
tj+OJGBFgIHN29h+8yHADElBldORI+6/uk6hH2rTmq5nAKsXv3fOeIihCMAU0lmD/gqGdCsdr8hU
HzNI6aB5kyJPkHNYI/87H8PsE2CiPqHkNwfUu1MgvUQeRdxbd0PaxhEWwf6dAMX6S15ff84Xpm/i
x65jcyxvQwtZsAwz7/uDU05qP0y9NYZW55KqzvlWR2XhXv3do2LMCiHLNWkNCuPtMBJQM207eNbB
dWM8eBVNJ022/vbvP+RXR8Wj7WESdIAwOm8yPx5sorQrrcMo7DwynYZhq5M90dXWxcZv8/eu1N9/
HFM0fr6/CzxP46IZB8gLzk7PcKv1suwv02WwURT95p1gwNs3OGhmrhZvGWZ1sAoxj+Tnz1vczh3q
uToUeHE+Q5MUz5LeGZYG1KQ+yoWBLy4v/fxqdlf9xYzbwKUtObQf9cRPgPLbmOaZ8l14n2RpqDWZ
M4s8mlWKOxZLQxwyqEE8wP4oqUk6LO9DnevjU14IR7tuZ9Pks7uueY8c+nbdo1RixQMIRDSVaVj6
m3qpD1A3RQOqV3XOnhB+S97Pp92BavVOnOSvVwxzmMMaj7gBwH1d41+vsLHrt3qhukOVANXRaFxG
A3X9N8Wcx4hBJvI98NqvjoyPIW/r+jY55zcxpaJRBlVLe6iER106jWrv+/N0KPQ5v/v7W//tWrue
Q7blhHIc03NAr/18ZPQlMwx2zcFdliXqqlpDsRTvVba/+JB1GecNyGuDl8KbCzXklYuTAjGC8XJ7
bPd1KKbS2P39kfzinKEfksVEfoJ6+3ZpMkm0GYNXAhWtJSYv6dNASqYwa5zmHbbwLz+JDwDFpzMM
zV0P99X71kkYG6KBHMj8VpxlRq/t6rqSuLZS652ZEb86cfC2gUuQbl3jiD9/UqN0cza08qBMrOEg
FsdIeOnwzjv9V4djMvx9zQ2tIM03hyOwoOod4sJU+VU4OW63T3uD90g12O/sJX55ONQnbHKYd+K/
PZypTADAquKgBULt68kSG+DM780+eFNYc1XWI4EWxBRRHnf9Ta7O1ZfatvrsgCX8ycFefC69AS88
etdNZY7qqyFn+fnvb71ffiS5QqoIAh3W2zhwilhlTio75EuTRlmSVjt9Mtg0tKo6KIWgFGpa+d6E
POotrv7PL2MKUsLOFKW8tsg0/nx3ePg8yFgX+w6wjb8d3Un/0tWrcZ58Hy67GDEQ1Un1OHgH2X+y
9DZ7pk3m0J+z6q7dUs7qF7KupktF61cxxqxuT9zZbR9138+qyGcJ0kMiXQhik93Fu7EwFn+b5h0k
05zR1W3USGg/11hR7Asnp+11lUGDFzujqPLuxhUVaMy+0XW0x4UZHNhOzZK2kZOP6ZODaKPfmMLW
8HysE34jtzHjS7M1shdsS013EjOU29m2sVbfYZKRcjeanV7iwp4O+tLjjrfmVD/XyVF4UGc5Gdi4
yunEMheP1pQ/lMm2w2q+NZgEL45jwfiHmvTnJ9dScRaWxmgymCmPXxrbYSDXnPfqsRiIImyyAu8j
XydLvtFKrjZxN+iYyZFP6VThyM43ItXVmV8DTQ5ND+c2u9t5cDdJyRSRQyCbnL1u0wZtlKRexwXx
MBUDhIVbdWiyUU2bfPEdB33Vo6uVAdMCoOI7E/g8b7EfRx2q2CYndvCSdiq/aFnOiihGr7ttGoBz
USJiuVOK9iw2vNn4auMPpY3XueMnPTHkgr/EnM+7oreJDQWV+qphLDfCuOyQ54a0jDF+ZUVz2itD
zyM11bETxusMh0Oihrra1EFPF7fSnLTYLIwMvBlsd/gUTHn/HPOAdRt847obNks73mXKq29SGeO4
6Ke5dKxDM2tKbHos/+kYNsLxz0YvE9kBOFl+zajI2jpf0knb4mIy6n3rz3hqkTf9fSubO1eri/jg
K955sumlvmucCYYL/ephn8b4r6OGZ+2G+YYJTp6+sk5ox+b3+CqWz0VSGuc+gwoe6EfM+dbWMngS
lPkOXq2hKu8SF4szUfLGeywJomKp442OCQzOWhdJXEglw4doZXBD9t0zHVYMT3NqFIKQoyuehjRz
vna9UNCj4kQtmEJrzA4ZsjGeQqftcBhNc/GSyI5lrSsK00O+KtOnZU5q48jU9Vh8lFrH2V4cV/nh
1NN2JoLSZrfkcK0+0thQ9uze8OxHA0tKx+iMqdIjgtkIv42jL+e4pjCCNYhhR5kQb2U0JS6fTWC3
2p56CA7jMKbavcUUSWMTD56LU4jZZSYu7l4tmJ1j+TkdA8GDpA9qn7KmddsUA2QR+oXQjeslBsCx
SX23fXCNpqYXN9ctU/KA8N0XDUoYQSm12LvAXgiLYbsP7tWgz3JjNeTswjrRbRk5JB37DQnK8qP0
+KkQGwXu8czDFLslmlZ+yWclbguxEB5QEw/6hfS8sth4bmm/4P7DSbp0leSfJXkyUtoOfZSAa5GE
bunTm8E0y1IinCr+QvwEXrxKM4Gc29dFsZNuZ1ohfsmsDD2X4REbuzbnL5lv9fNOMvVyiVpFIJDU
YtJim0hXTWseaVUEG+bmEN5kcGufxWexsjz630lqumELSCQ9d82u/+MN/FvKzH9Ndrn8N+tHrljI
f92PjFAjnqr/OHYrBKh7Lb6sP/dDe/GCD7B6eMXxnrMhirgoeD+0F9/4QEsRBsc6xZsidu1W/tBe
DH4KCy3NTCS2gFGW/NSfLcngA9sFJrtRjDIXitLnd8SXt7srYBHrjgCwCkUam8e37JFqHqeqkqmx
G0Xe7zMzqS/NEmsYNvKd0c3JrrcM8Ynd9Fd/MpMrD0LpvmUJ1RsCdzIngBckdXDQYVvwiCpof1L4
5nYsl/iqs8c5MsbsOLCyF7RSvgSpMo7ubL83T/w7yedVMfH9MHyTXT0AFXq5+lolvipq06aA4Wm1
+m6x0PeS/CO+dondf8rT0J3T4UIpFouGagJkrqywZ8nZiuqkHg9p3orL2lzkHlKme9ZojJzSdTxJ
0q9mJzSKcbhtaX3c4Dp/0Iv35tJ8VzZ++upoqGxwQXCiJqOFvdnDmH4uGhJF1o7cs4utzm7v/C6Z
P5FeGmUUtIYeubOk+afs6kY208e0Efp5lRjDhSB3h13bIiSHuUfeZ81SqBDVIe7h2hHQTIJy+pbS
MDxWaf9J1a11LJmY9qRh5uxC8nPVde8PuPx1hStm1r1jG9QmoZQ0jcmjgE+ib1Txsk7Fg+4WcbJh
JxsTm1CgTUKL5u8fgvf/i7Xk35cqtlbY/3pZuRBfntqnZHh6vaKgv/1jSfHND6vD0vFAgfDgsq3/
55KCAcJH29TXdgEQ8hVd9OeS4nxgW4H+CWKRnge45X8uKfoHb912AF9gth8a2f9Ez0WAYu+CMLnO
vEfceLuT9QpWNJuGxK6tlibsGse5xfhAYjmu8neEjTc7l/WjVqsP7R17nT/ydjBQ7VrSycDr7Cav
Zto14HGZ78mN39ltfNp72uHVdfiFfPzXj+OUG6jhsNlAUnKaflpkcqn7aiLBtHMH686O/a2FSSEU
OEdpiBbnS1Ykv6cKcIB84irOYwKDgfR2yOPYdk6rBj4xxYUQTV2zncdmGxfkYf/+0L6blH5ahfgk
Yh3Ia9wJ/PPNbsyRNSlbAAm7Jom7A1ixfCsMzAPhKBN1Uhtpfup4XX/HKHWmP1TjMVXTLb/p82hL
qlF3XxG0NdcAOPlKt73UMWluXZNottPkN85QvidjvOFortd+ZboFzAdcJS16Yz9fjWzlvRFLLnYQ
JM7dujlTZXeF91KdrSmpMdXHzehYdliODAtdJryif3/K/tqbW78Au3QeNkxyYB5//gJzkg5mXfj5
jsx3lkekNfLT2o7NXTD3G+GRr2aQB9gBLfKJny+ld2bGwcmcOE+6Pp3WyaxFvb58MWvjPUDSeug/
XUzG2DG7FPIWGjeP9Xojv3obCj/FAeGV5S42c2eAmuaCyE0s3ED9QDnu1uyxSkAHcTiZzmRDYrat
d8QS93vf5vWXYCEClMuaAvSSlpP55vRki1fbsK/ErpyG5EXLlPN5IaieRkHp6UcNDh/pZPKzV5Uo
yk9a3N6R/l02sVatMAOT8VKjXDhvpu/c8GPyhNFG+m6dJ7gjyXEHuySOhpHUpc8TsglkfUcQ96ic
JH+c4505Wv4du/5UA1I32WI7l+Y47bHdeCZx30zIbc3I1uHMrGn8w30f9WdXkla6SazCeParAn9O
zGABAgla8KltRP/Q8deDVsf6s6KBLC+6pV28TWV5Sx3OqpmvsLeWJm3iWO2IWNDSH9pS8fkd8e9a
r05pHVcX3qTKlsx/N34TizWk4UR4nGxx1+ZPHbSO+zav1JFlKLe2zTwv+6ov1I4GubbXBZbih25Q
RkaSXFfuieOOwX62s/zoYTqdQk+6FVNryno75pr8VvJhd5ZTuC5pEr84Sxtj7bvr/YuJaZOMIRNV
Loqur3FDdAAmcqrV0JaqccJCreFpMS5jvS+GujizWq9/Sdm9HtjkBg9VEMeCKJ7G1CfPjQGGBBNA
UgjMI9n/FSqSN1iayZ1X0spoEpA3yYl/Bc5JCmkUFgqdvkNVxIa568QIiMEhHDNHBWlcHetAMO1T
k5EAeyZK2ObWT+QYmRSzZ8HS5ThICrN7liLVLpPBkepIUUeSMUvwAmz9joJ3286owsgOWdrvOJcT
PjbwEP1J2ejtMUiE5CCJM4zuhk5Qo45N6xj5UfI6YdpSnzpRnQoP0ouTY8aXDTJIQ5vhEtSZSg4m
5N54wybOOl0Gt16wZ7tY2pHuPtqJk+kQ7Lv5CWdzRnAuk2Nzkrf0iLbYwlVyvnSJRpohy+xwzvPs
Os5tCTxCldodQbg5J5q1mvZIfFjbIR+xFTiLz05/dgt32ZWeNOtd3HrONVJFnB79ZJgu6k4UL62n
7G8+MXoiJ0RdCa144rDojOgiXNifc+Kyl3YcAQUo/4rQM6ifIvkIgeicHKn3dQmqW8mUwY9eVean
Grb7g7BARsQ6kUaMXK19GUswNhWiSkh4kPj5CDS/HmL3WgVjyrhxZW7x+mKDtckDL1KfI1XY2Wnq
mSMhWNvZ+9bYbsjXUoKbWbFNl6D+2JH/e4qz6kGbkyQyLUTWQrqrZSb20AMI1NDJ2ZmE/zYFGARm
DNf46tteu05iH+dDBtKdMDMRVUPZ14TmT3xLeqeT3dCmSlMiwKJtj1mNSlc7rRnWlnEBbIq55+Zw
qYzhzDBreVIGwS5hxPsxY879dkn75bAY/q2G+kVN3dXE+stdXRUasQRMxI6RpNDPeuM4Idwf+9qX
58Usqp2FLyzHCTY8mu5ohFVjXplT9pIZunk0RFJsnFhz7jQdlTpbAnE6Z/kz+c/pXK+s5WXODPGx
ZN18bL0yPbaCDP/YV9dJWrghsggredkGJaALv4o6zgnm8r49scgJ7vGQt/suGTUeXJtHrBqH5ZqA
DklcabsG+I2yeLDRgHduIi5NDJ6bTtZwtsl/+SLU85KqzezrTStBjJHKy0Pfn4I708OuWU0VBkcD
G5yTJAV3VdleFK2W3uRlFnk2m8TctCmN6or8TE5IFISz89DkRn4RZ0N+KtwSMdNhvsIIpX5TC7Nc
A1be0VLTGf7MeVfVhbiAq349Cayd5MGpIPG2tS1PtJwuxkINLykj7E/mXnR73SS702dk/YfWCmKS
DUu2dyVJlzaBjtBPhMuD3tshZ33NbOlFvtk2l0beygo5Rdf2TZ0OLz3ZGuKVQaah1SiyyN5EWRHK
mVBkbd+DwEq2gBCWM3t2g+sVc3JiuH0DR8bOTrzMs+5JZKX7JGECOswq8wzOh4c9svqSM2T8cjL8
kjjnslzY3XITADg7+ITK26F2h9C05sWKFmaFnzUVlUoCHOVzuUiEXKRB5kDNwbPb9vPnovCXLd1f
5CDiztZZj2WCl6fgveKvCBJZWs5VU1MVZpno72qVLztjiKdLvyj6qPEsgmMNDczETtRxxclFwtTr
OTIZS3BIcHTt+rmrwZAQuoqt9FObJtY+74YlCO1WdRe8ku0vswhqtO+2OdPLotsCfxJsrWN+f5ou
zMMtc3aizfNYLSeMk3jKpeeEVZwVkeQQ6tCPnzuWp61fVjcB8a69XlhXFinvAqLOUzlM2T5pIH9l
su6OErijMYoWIJd7KdPptupm87SR5pfE8tvNaC4kjqvM2ehxPu8SgzypprSIDTMOZPRvzJHNM4PC
2ss2noNjrCMEB+OJLbwva794XzG/j2Q37+3CJUbP6fxcqjS9WlQ1RVL22jfy5jdJ5bCDXlYlAOaj
NHi3aRMZW7eRxpHUbLoTIMCuh5b8ly18oj3E/P1NwkwXC7pJ3oa6ZKEqUJ93GfAaNw6MZ2U2wxPA
AsyWyunmiwU4DgwV7nXoLq39SLXhXiw8XWiEJo/MYR6y4qPQ+qbYAMi6k/g8o9bvrLux8AfmAwXD
Vdy7g6SzYbcbMhzBZZuIJRz40rdFLcbPQauJy8poYYCPdS3E6ULW9mxSafBpYWSiHRp4MvWw10z9
nidBHAuQwm1YaFXzLXd8biFoxv3jooz02tCmeS8k2vKmLmFjhHLIjTji9o2rSIwWTmNj6cGqqdlv
qCWERU0nJFFgjLMghjbsUHPmFuVJU0Zgx81LKDL1lUYwClspYOP72NVm6GvObDaHZQ6Y6q0aIe5q
ka3JeQZK1FEn3ezeKiu7A1nWdi8ELdF1J7qaTmjB8anD1unkXdEs1HppW2AbqIaNsxSsQlIzzkqr
sS8EQ8jsk5x2eHxSl4Q49m7ZOue+L7KvbuEXyTYJUuuIP8Q6K9vUPzCwrb+BiuHzFPJ+foBKZEed
3Ve3MzwRCx7LqUxtG1AW1DSWLD3+pPKZBHcZT6fMM5gOE7bIc4Fc/4y1mQozdOAtfVZy8l9I1817
7vLlevKSmFY9XMKN7BprjxffCDueezQ6kkBB2OYFom5RAdOIhmJJtr7K1RXSnTveiMBX6WYQeskr
0HU2iddb/NouGyHgeIFkDgt9pYUqR0aDySJT91l+lnt+Nu91Wc2PxlQG5zrDAFOm8PS9boVtllLU
plaVlh8Lr5i/eGytvsnBV7dGPnbBpi9ke/SNhliQMye53Jitrj8L6ChELllnbhvMF+nVSJ6BTlNA
1BpBK+YtrACcRcRL6xsE/jzZq6bWLvpmBo2PUF9sM3OqtqaRdo9aagaPHb97jZ0yqBrPznhtsEc4
EXXa31Ri0faFKvozD0jKA9geiiWvWxrc3Po430sFBYOialilq2SZnajBZl8fiTolNnXnAlqijOfR
vcfzQSEGt++cwI9eRChc7tYPaGOFXNpsR4zLiC/GOsU24kEBlN9Y4dt+CYVlkLSzJBCZO70r0uIe
33wGlSmlImBYB1m/Ynb6+5xg9lVJBABIgTvnN40JfSu0VdYfpsYao1KvK04EPQMtGcfNkvVxHkIA
TPejCbRubCXBT6sInNOkopcDJGBsbhdj6j5lfV8SvJ6E92IGNBlzNRwaXbELgcrxcS554XhBtjyQ
4xUHcyoI27sFmAvTr9LNmAT10Z26eCvnmWy0trQhxUN6nuMU4Z1ANCKpWrhRdbzQPfKar2Zc9oTg
xqTikRl0nPne8If157fEwP+Nlk/2dq+kiL9YPk+eyic0wp/kwfUn/uw4uB8Ysch8AMp23DGg/f8h
D3r+B3gmyIOoZuTjmKX9T3nQ/+CYmMgQmmk7OFi5/ykPeh90TJ7s5zER0RD3fysFZXz3y7wWBkg+
YTYwLQ834UozfmPoAs3Tk3Ayst1i6CSS3ckUT76wrY42vQ2ukZ6+LMIOs+hNTYOXor4DV7JZyHSr
sNAV8V2bp9qKyhJYaahrhk0OnYTvOcuMx+ALxyo3ZUCYBkao30eDW2jYzosBf8gwqo9VsDLuYtlQ
fIAcyR/Y9q9D7gzvJI3T8kYVmUXQofdcmESJj+I/OcWMkLTYNlMRYtYnOgueYB31yFmtozese2py
ojm8Bq2zIjbrx4ZMb9hJOPkhsmxMJbY6yKt8ZAukuUOQ7eGOGVfdpJfBAXrqfA+Ks6ijNOhRTZtc
h1FTNpOthaJT3oibj/Z/YsBRG01j/pYYAW88wTL5kQGyOtiNHK6cvrCD5V/LYWdWynigw24+A7Gt
2a3oHh1g022nsGGtNSIH14fY9gMkGrJWg04XVLMf8k6U4jAtefDsiaY5tafJ8bDrV2DcdAlJJ+yt
rMg2A4GOO8OJEbZE7eaPtLfs6VhlyohD+qpcHGD52aP0Og09MMVCHC4mifGwMeJYhV6/hjtof2mf
mRjFJonkq2PvkmX0t7RxvCfwvNh5Sk30j6SoUtBo3J9hTR720pxqMjmxMiFJsXvsPxN4t6xwcU22
MJL20HI2Tnn2qGE2jfAU+JDvjBwLf1r3kCkE2+nPra3Rm9VKnBMRK771bWyGWbDz1KlUqTsB4neO
eBzN2Cq28H/MSLOV5Ya8tiaYn33OG7HVApLNAEHadBcPo33tdvBDcB+l0wlo4ImZ5Fq5zDJ69az/
QoR+43dCTUN5Xr3XPKk2faM37aKs7lyd3yuwFqfVlqgemSnUt10fOO+1pv4iI/J4fp9OsmYmcTC8
MZYWgyiS1vCynXSaK81bsg2cK9RMp9W2HezbDejW8QzLZHBlZPr0R8Tgt1b/v20Yv/bq/xsPmcFL
9uoO+Mtqf/v0/NNS//1//7HUuwyEIR0CCZ8VHYe2xVL6o7m8/ieHP1pdZA7d5zWL+mcniCbRamHT
bfRzTLXrAv1nc5n/BE4LP77tIKpz0X+nuWys9+Lrld4HrO0ja5CEZboU/smfdWiEL9cDamlulh4a
sMq9g9WwSfWH6cVcyMxMd65Muiizpi9dAkzCEAjDi7yAVwSXeWnPimo0zxkjtSs0yz53+k/fz+T/
3WJv5xitHPd/3XE8r9v6y5f6p4Ji/Yk/4yMfuB+4khAscSqvtcE/7jKDYUVcXi4u84OYYrSOgfhx
l1nOBxJsrFTfa5DveesfN5lJu5Hhm9xlFMP4F7g1/8x8/1j//pgz9esxRvT6fr7LuP25Z3mpk/HC
1eoQ0v6p2+EvQaJVKnlqB1tbTkuVm+WFZOwmKgAwhuaYiCqjrEh6sKSbfrbIhaDvuEGHTAYbj1T0
vhBm5erRYJFSU1fT3LcyPkMMh0kc6S0snNBG7nopZ7UwpnqoEr+/g66oEXaUtUXT5+ga5rwiWy34
VXboNl3QPICGqAvLhmPkpHO7aUwxs3fPaqBPnb8xyzEZ6FHAqCDHmQYpu8bzwJ7NftwNi1PgOkiz
obhSyTA4j7wLCnML0Nyqr1xPMBSOjqgePIkyKLMTCHmeiopqmN1tUM61B8s6yYudKBNdP0lMyDzh
PPYgvmZlty90Rbp2P9jm2N46VhvIm2CY9P5SumXxSWMX5h2Rwbr2oJejDjPZd5OnjDZOE8WTSW1W
uhXkSi/x4Qs7S9zm/HlrbuxeazqmaFYNPq1CIcUMgMgB5pl+femNtU7DYZSZh/dK5doBnKFVXNeZ
taLZeQG7cAd7aOgCsvGhI5YURL2NiS5MEwwkYU7MNN0Q5s0fO6bXn1uxoRMQ7dv5Rbp4HL9A/86r
CxnPunFqALu40zoLgmHuW/EX7PddtrdmIaeP0tEFeqFMMtXR5dT9RTzhirBsRNS28L81Ei/WYzDb
S3vpySToTvWR37QdOvar23T0RusEmJp9PU5wNelItfNzaZbsq/sqzgHj03+/0WoHRpJtjDDqtaI3
Y2B7lZdDkgGHjDxB4jsSjUELbiGJ/dmpRHW7EPq24M4k413Po5bvymwEW5S3iccIt5gSlE54B6/R
z2cy5X4GsyOpa/NlhNdJFEIfx1thIfCEi1c5egR0BQHMm3yyx2IgoJ5tvbxgXsfOpVKWUZxDUgrT
BuVwT3jT3xm6KIKT3mxUG+Y6rPktuYdiOe8rn2FPCw1kA2qzZjhbdrVBfpENhsx39HvURzno8jyF
jZydlI6clzAT8JQvGfNlJpvEr6Bz9dI1Pq+alQvpyFhe9FH61l7vbB4YvdEs97ywaSRugO8WN6Vk
Y32cJs1x9mNhcqUZ16iSvWuLdieg3Dm4WOvihorEW0I40xBgE9Fq9Q7HMe+W2fWIh6seqEKoBzP2
QKfr23Zf00lposphtNN+kIqBuEMsjU+i1SXaQFFjCyRDE5MMRa30yo1j5iOXzQxiMrbDACBxq0+j
hjqWFVhguCiNOE61A5LQbpfpY2ObabnXMjO/TtNaahsfaHsTNZwTivjBZd+fem6VbNAbJtD0ZaGd
wRQAx+f7zdxS+Qsvi8DlpsCBfHAE0TzDfQ+b2jPuWG6TW7sa6G8DNiVIZMbxZN/lRa1PezE4U3HB
HIgBnHKcl0BUp5gtjlkaekeTPHXSR+YAjAzWmGQuuB+13Cc2XBpPnOVpuprpj1yjIjC+bJpMTbsN
mnE8cODaOrzJfzKmppZHeyLUzwkvmxzOj82QbtFWstpCwJ8B6VUrUBPAq2CWMdOIlj6cOmYvHOC5
jd0OOJdR7Ey0TI9afQV5bJbSN+Vns6RtAA2RPrQpp67edYYC8GPPPfUCjlzxtLSOc12ONBpCFLHB
29eLnCDIZEnz4nW2eRhZ5eUDQrKRbn1DNP5eYI02zvK+qgCiTVhu98OAjgTEu74jYs7ZyiZNzmcg
fSFgut44elE5Vn62a2dn4oYviRwgamZ068LAHVR6MWGyBJcDI1BpbO9c837A+PnkEyQaHjrNc1af
S9kw4mJO8/zWQX1GQdN0i02VKwznSBthHndsvrT6AseAfpt7VtOFTpW5BIjtXtd3wvfM5zG1nCRE
x/HQ5XFjWJcowhPXTpMd/RkrB/Vhw9QzWZaWxWSgR69URItytr81CrRuHRJSWUbYn0aezIqmTUB2
PtTTvFFXKZNjMy/CUS1AS7uLiAeez0V5sxmaQIgGtjfpoI0nfuEl6amdL0L00ZK7vXdGF0Jrn/0k
iQEQBnHbFiwKRTsxgcIpE/nV7GdahkrvahtoUq1/RI5TTB9QzpjBhwu0MmZhGT220AjVg7IPNWLU
f3J3HsuxI2mWfiJvgxZbIBCSIajJu4HxKmjhEA7xbLObF5svssasM7Pbsqy3vcvMKjKCEQD8F+d8
Z9m6hRy0DTQ6le5z5GjJhpMPlFyu8mq8KQYTyy6rF87HjdWpkYSCEp4puxzbQJNO71YYT5XjjYzr
DRrYaJ5nXd8kYrZXWH2pPh+snOE/IEJrhJs3cp6F6KyMR8vL3GnGQ2bK5KAlYtV3tp6iBS5RMNsP
5MOlRHskiVd8FI1aDXTACVpdNhd+g5siSMeU/VTo51U6/ELBvDSnvmAA40YN29Ky3oLdgKcMgbme
vSDhDgPWi1mPBreXsKXeaKhn09hUq+ekVmDy5baHMicMmKUDS9p4jsACpsu5nmM4VjbyY3WCPdp7
R7Yek7OzDPhw1DJpp1lL6FbzOEcWp1wfs+GJPSsyiYKL+6Bh5Tii/vcxu5cBpK3ZBiQJ5U7tsOjM
EEqKsdTWA5duwrPJWHw3PZeVKZxvcrDxnStda8frVHeTIwMT3Fj33hposB4G9GvG2Rg74ZxSwouK
G8t+lPgwml23DMCIruqGNEEsLzLuNPUJa1gDCik6yXqFumjJDgtpdy4HWlZ13RN0aof0ydpNzN9N
Z+XxqewnUUeW3ZXxZ+zbjYwgtrqEWuv+mQ/OBf7lWvV37DIxsOxVMlb4Ntl96aP3Ru1+8tvCsY4Z
1UDxstCzY/BTQ/Ud20Dc7ssGlt7D7HAbsywCnRWRjGFNt6JqIcQpilxnX7DZTE9QI6zqGBMiXu/d
ol6Hj4ornauQxIDufa5y+7mrxvqT+ZduvDoV4rDwrquyyOLRGLwmYCnvmH3GtjxSjFLbIEvpxoPu
QTJ+KUsSpZ8mv7Erwf0rs27vsUiHLw5Ijzc1yOkp1Xjo/0vL9D9qhP53SrgJ0vun1ufl//6fDjTe
rz/3Pn/8yL96H8v6D6xlAA4sBJK01/cu+l8NtmH/BymmroalEpUlrKn/FG9bBk0RP8DXx+QFdSL9
0v9vfWiKsKgh3aQXppG590v/g9bnrw4q5ri4p7AL8uqo33jJv81nXH/sHZRbVli0+edI5q8q/ROH
D+im6etPn8p/M3VynPsv+89e/l8v5vHL+Ht4MpBK9dcuqxh71kUSnssAcG59rjjd22Nf6xnZ0QP7
tcBooTCdU9tHYsI209tVqYmIS+9Hb6/1lQDTXuH0DTw20+2j8NgxHYokyfubgTilxi3aDOnWXqEC
HWRfOTMw5HjA20mFdzazEqRqkQ7Ggw1PPbnU2CWWzeR3szyl9pLILUhEIntU5SXLxhgwZmwxgqC0
0vNujRiEgoCZu/L+Q+CtMiCStlnsAA0Mt+wOf9wi5sGOM7YUNnRSEualNVmwYVtDXTmJ+E0Dd20e
QtlqPwkP4RHYFKvJ1rlHHhF0bHogD429ecubBOR6W0w24vNuJahd8gvCyShVsvUbit+N0nJNBYOn
peJMOpd2wOaKoacbpimrwlWzCrmrodhVD6rFJEJiBDYxPKGrEw8Hw69zYjKQvZGQ3t5PcK/X/W6X
rg2oeX2ivwzpJHQj8LSczY3dj8nbtIxrfVgbZb1DMWIzi+fqO3KXSNfFI085h1KXd9pXA+64vhXR
lMXYw1iiscAWPQXU/TdBwd20gldUnrvLphGTUg1aUO8H0p9mzC2DfcHI/5Q4aEv0eHjzBdy/YUbY
zg7vIwUSj5n2CVTJ2VpAeFFe/7TFXTOKzunA2Yo/bs23XPEHuXj2wa/s+4CdUrCnzQ8LXprOQh4z
Zzz6CxFeaobTDJU60M1h1+DhpgrJ8KSJq8KtBpN92mQ4/sGOdpuigJAg8xPLdYj+udiik0OhPNcs
TGeMDIbrbSTf80QfFmj9L53wtGjS2DrMaGKrteKIm+0nq6Y24LT6SnsYzy6hZl4JSp5RM5yzuNrp
NQAiad88VW7yeQQgrIuL0sct7OCnRQf5unbQunTjeIeCUcjzYm4PHSfvzo6V7wkLJ8agBpGL1g5F
wlVfefW2cR7gM94Y+/7SfQNrXte9dKN6NkdIu/VyWcwyDaoxfoW9Qikd74XFBmSERM1nFx9WMycd
oCSI3LgTsMlRCjTEZLwnhC7DxPB7wGaWrK+Vb13LQvORo1Cu1MPahbonnMAqKri+3B53KuS71WHZ
E/54Vd7ShO5ARwR6CosTWWjC/6kLxCKJP1/YIuS71O5/IeCgE4sV3cGSPqMcJaN43carDrim6M+t
Xr1QLSIukv5pMtYH1tu3xqAvAuYRqlW7kEF1j8Qht8nXCmtbYW0MYwYi29hsqsAz9Dej9UtiOMl2
QSO488oRXdPwwRt9MDz+FH/QfviiiKSWNrc1S3+vyfg8TjjTdF/tOumc6nL8cMwZtljGxKcWKQat
/nva+Spk4TtuzbEGygqOfLN05pmW8+Qu/NErDVpYmaaFBCPPz0MroQ44+c1s4bf7bXtbyTcIqlT+
HKdCsFCH3KPkuh8F6hAzdX9hDNlWjdecliJ5QmcC4XV2pgi/zhpYsumCses8TJqokBKzCysDwaFp
Fr/VYtb8Jv/7WiyhGsgUSuIzzjT7EPsqjmLS7rqy/dVkQIATA9iaL+ytbY2RPeciUFSNAdluqONS
aIKucVWryX8ZslOfasxhhLM1qywNQfGiUq3Uds1XvHzVMV3MAy3mScurmqAfeO0qfqQDsoK7W5EL
rHokSIAghMyeQmUjIClM+w2wMLI49w7bnSyPZZW1bKrZeY4b92aAI7/FQGyioa0RbTTui6V3bMY8
c+uK+a2XaBWHRO6Rc0TeJA8LuAlKZYfCv7CyUKT6+gR1i9FC0p9HZoIkYjOPS+aq3E1D/Xsp67fG
cX/WkD9q0uo2BMWYYI5HMzQZhxFGkf1YSyQXNRW9xXItRCM0REiSthb/+qBhZAgtCzNTrcRx9hbe
KTJWArvY1b3hSU33oztu46SN2GRmISXrI73TBU3JD0lYK0orDDVZake+R+nKdilwPbyw2pK9VJq/
MXp4cc40pEhkO9Kd+uTSS49oDnDjTpXOtDNafeGipx3UJrJ25pIMFfb+qBHNisT2e2iQWaLphWLC
d6uKbekQxuGLGQ8yls3cVyfkzEfZmoCZffe3iR92IhAAEPWcGCUBJDqynVWTB68WR5nX2gnNKLAD
Ky5AYszp3qizx6TsPi3DPDeV/jKYrMGAQ+46U3NgYa0uqmBp/urpEC81hTkTiPLsls25TscW1eWK
Z9hetl4vv/tt+sImz/q1VNTAtiOvLg32I81puZtNMuSc5jsK8k/SzCiUK/S5sPL3sVHOyCfbfTqS
m5bXLetC2DS1I7SA3uj7MoOol/ZvBBrEdTFf2udW2t4UwS0n3WnNCMEz0k39bqYli2VHfoOFhqY0
+aD4kmptfq3B8QV4UMkfoiksnfbJsCHbWZl+Jufpd1Wv/RZDOnrTxbxkxFkFRDAQjAjSMhQrFOqs
tjlmu/E6+j2M44TQSZzV9XtNrYa2DBs3bgHqBX98i31EU05Bh1SnCKfgIC1Ht2tPY+J3B43CFa18
dsq5NoKaQS6To/yzHurx0Gr2h7e0fqQ167ekrR4Fz6nY0mGmY9s+GxUwZzMrrAfNLJhnzdD7lCUF
Cuh8v6ag6Zrs0W66s+fWz7aXmZG+JM79AJxoLw3rafXRt5gVAphk1cpnz1k/bRK0gkVZu7hh7NiY
WrYXiZB0stX4KJG7nyxDnNu+9Teeo30m3BFYY8jtc3z40TyJ3cifKvFzMssf4zw3FwKanuxsQF3s
UvL4ntDf6PG39WRnO5zJImxW55N0H2J2WVZth9RoAr3ia5eQBq9mR7TOCgq0XospUlp8wHaMuDA9
WGh6cUF9weo7c4VbD46qCH4ArjrisCahy7+MjG8DEwt1WAycElWhUzK7bjAUzCqt9aQXZLKwr//Z
0IL7pn5CFgSv3C++HAYxa+df8yF7aZW1wXd87lItD5K2/EH2diDipGQo65AHvRJLndk3OsHHYa1o
sa2PGb9Q7FJiUMjxGPSkF8yl9jXcJWvNaL/x16KUlPN3NRmvGrregNHEqer0F58LsTK07sgMUYVe
OWGURuZ3rSpIlLPfqbDp5WebC9YTa2xcGt4MSmYiQYndaJdyBEw4t+lj5qFwDlNPuODI0T7+yibD
LQ5pKhloFEtZPSWaUcxnHsyTHmaFzZwJOZR9arNKI/ZMj2sBB9N03b3luFr9VWDheEd43NDQQjzg
qLQS3zz3o6VREpoagVNdfx9WEdLXX1mmwLL8597kr7ase2fiW9hoeTUQZ8zG7vuhP7ldEoJTsqZM
tbCpXGreXBkNCIB8eagVnX+4kAjYhbkd9/8Gb3Jv/v7WErk+8ho4E8yYvD/2qH9+YXStCriTM4aW
3sDjhYTPcHLKScUOS88rzIC8Koa5+cJyKMyh6HfQems0rsXi9xt4JgwITetOWS/NjyI20u1EHpQW
uNWQIHcZvHLjQfvXqAxX+5RqHNckG7g59svaNAKts7WXkXCzNkyEmv+Ngee/fqp0tiR846WFav2H
A/nPf5ys3dQtlTuGhACUb6hxyjelAT+pGNPsEdu6H+TReVr0z9/lH+Kfv7aZvgmeizUjrChszvee
909fZiFWTGfahEkpV4ALLMwjryYOHYTppK0RrwUEJQ/IvuFOIv+VLmNePIGTw3HLkGue7Jd/fkd/
3WH/6+pife3S/aCBAtHz1zeEMM5GT9+xHORqPlVu7Z1mwjPPOQ3oDayHODOaj0mbmBgS//NL/5f+
/o+hg8WQ2sTMydzgry+to3UffRO+IkuO5LtKPKhAZGZ2SWgaOd96R2CDt/nn1/z7NY2+5G7bBLqF
fxN33d9eczJm1h6xlWxQlh4rd1/HIzTaj3/zIn+/uGxUZrgNyQ1mS8l+6+9uw8lcYUw01UZ/9rdo
sw/Xytns+uD7N3Wst80Hm65HDg1dbjQjDL09D/3tP78Fg6v5b7cvBkLN8ZDSML1j5vP3N4ESM4td
woXCIZUnv2heSNVLadtHRepTAxs2haJcCvvIPPTaVvahHXj0VvCK90vZrqDjsvu5nNYBg2s9hNjT
H2c3/e2I8RAn412FPuQUUI1ZPBrdmm70Hsmv2aXvJM3grJBWu7McmBF+CkfU2fYMDeyleSab9uhm
zq3NiSbVuw12q8vQGXt0tn3giO7QSJDVLfCzuK6WYFAe57VpZkFOifhAbqQRrWRJU7FPt9GMPzot
jny7em765sdqVidPkdtDF3NB+/7e2fMRfKDBK6v3eJw+jX7+ZDP3HpvGkdXsCSFWBgaE1SGJyMGs
ywOJrZLsGP8lgQFdJXxHALyhpe4aaz5ourz6ynJPvef9yA2xXYcO52rCVGpFrwo8On/W0/uC3tku
2bTrXe9Ymd7GIcoZdMm3KZbP6eB8ZTJ+QOm+XybzKSPhY0SVxU3ef1Y6xaHZvfOpvDRqxEWheVu0
grt8yY5ggMmiXc+9SC5ptWwWg/+zSIaga8d35dKsgO1hESm3iSV2dip+FJyvhp4Rl9qqX43VvPCc
JngbXeyUTccYIWXI3bnB9fdae4kZeO2ANaiHO+c+pabxYRdpOI3VGzamI8nfzLq1Qgvaud+67BnT
1gnyuDg0bMdV638CFDgkK4+RXF6MJX8nNPJeG+8LNW2zWH1Vk09+jNk8mdn0XOYxoBQz0nr9m3Dc
vdf71K98sapcr31fvpBJd6wsfAGD6sPVUhPHg9c0yOhqepmcIXQm5jDJGUE4lGmhq6XPFJSv00Ai
GhM5GRL5TPYKxurHUTBemIbrYNYvLGUISJMzgUpA3n/UjeluO01/iAkfXg3sPdUYsXFEn2cCNIpF
9mCt7nG+50ciCs6YOvlrJBlarKmHKWYhyB22RFuuDwCCTVQW/aMYzYH9F6roesgvptefaIivyAe4
5FHYb0lgPAIsPtGeHv2V+wyMMzo0v8kDXa3uDs8F7q3EyPZpVSzXomkfVF7s4nhcmVTkagi0Kd+X
xGO6I0YoYa7LAcTMq8V07GDJUTwypfmdl5BU6Jvfh3L41liDG64CLo5WVQM40raPsib7HPzhxang
N86LM296PgvCrrDc2AO5yxgOEPyF2HEeRO0QYFtc+Vw3ddNgTXCIU3LuiUDG0oASIg2GXSl1n2Ys
OByXLrLK7Oz2MeuH1Xhb5vWe5Dy++KR38T/Hm8omctxrOQwlY7aHbvJjYrNGDrsWZmU5TJ4Z6MN4
6mf5OzbsI3FnkulLk0bAOYrA7ayzn/pPUz++EyryNKUAne5ZoS6mSFZfdwMGd3vQxNaH1WnyCN19
v0LGZyZhszb2z22+RDo+Wk0z79lw7gb6OEHavHtH2VfNURcE/599YQSjLomon/d6ReYUyaJDbwNI
Z9a4NsslG/UrK5utwZXSNdlX0w5HnGORIcaNYkYhJFQbCFP1UlzHJfte1XqUNto+Ky2gjhpul/XU
L8mdxUFCgt/spKd/juuXnurv49rmRz8frG5nsUtP33vWS7thcnsWXLQHU9ds+noUUTN1xEO3RsKb
y2Aju/5Or5xfjpj8koYfVFOpI1nJ8mw9xHYNVcgZW/FFLF8exF0yhfcY6mf21vYTXqWOkTAfus+z
MTHaky5U/ShR1l8IZph3i78WjIWLN4vekIt/Kd5YpYGBwhMRIofJXzDByBtD5J+D0A+rQp5T+PrG
nsRvMcJeJyt2tjcOgA1iYos4jqZuuLmYiUJ9NrXf88qQ5IiLjklnXDKImz3t3BR0Cl5BUnbG5thO
lBfY6bqeW1IWbUPpT5qWg3iqMvd1zATpmD3UqLKcjFudY6QPDf7Ik9c1lLOmO3xPCovQ2rxdziJG
O0wCYYHNx11ICfKG68Q8ZSfL/uBgYKwVWUU4l4eg8bDcrjHdFXvJM65eGU0IHLzJuw2TcY8LAiGC
7rAP05jzPRnzIyATpNUuKDJnorSFxvI29OYHzmfgayy+A7ADBhB5KY6mJy/9PD0uaniwlhofnQv8
9IexDD9N/H47PXZ0vLqCaTB5cEy4dGiyn76mGjJk8W1+L1ML8w76Ep6hK6aNpZGfiCHaI9vYVcdL
RHv+xNYcf0RdlRmapdT6pbN1QI7QyzTKJYKegLhG9qY8+OV6WqwhNzf9Cnds43lm+cb2/NrRNIgD
j1YAYmbr69WGzCKbJV4dIzIG5z1/y1Lrx5hodrX33Um/AAMdt7OX1huX9fg2EQwsNrkCRrrNEIv1
QYH15cz8xAnIGENLnZmP2IY6KPkxfVdHWlMfcS9nEQtqhqilZzTXBTj5R0L86aUa9STeSJKCN7nh
aQzNGwKURwIrC1UCtiFuBJVc/mDHFDNooC9eqjJxAJ9A9hV1t/+kqC9eBpF0x84o1zH0h6x6LMaF
Cxmf0szcCidiXDxwMQ4BKeBbq09vi5rdnSeaN8Vke/ZMEXirEW8Mrc6inCllqJZ256UCxFcmpnfs
NE+6D40mBR2G83xyHqWsyrBXrv8hhhQYhZnF1u+aSevLSiIiSiiMOxZRqpURs3932XpLLeryOzRM
em/IVfRAcDkSY1Kj6CecfO8bNZFRHZitZ0oRtuAS9HSKwP/Jr+r0VVvGZXnxAcQpor+SA9SM+Twh
JHmvx1SGNKKgBSoriXwmXTuyEIoNAroJb2mM/V+fyNTAB7+3/LEY9jaa8R3tgwRWi0Qh3ugAETCo
xfFeQdmL4oEZKWqvhxo86gd7MWczr+Mzu8T11A3wIxpWvcxHCt974bl/l3LJI8jpliQKCrywKzAI
bCmx853XMO8ztVNht198NJ8zDP58NLbsvg4daKN8nXd6QoqKdKd8K8eC1BdT79x9xnbzlyJP/SFO
1m1OPDXjdVubD93YxTv4QeP99FQA00xDlafZ4CFaCwRlKxuxEzsiGaQ9PMIMdOLGmtR68DwbQ7tD
FvpaOphP7fbWIN3wCGh8rO0umtZK37vKj5qsxAHNkg7fR9mcxmk9c4csoa+PXSTkNAR3JAKnf7Uf
tSlaUults6b4GhK+nMEviSw2pltftdDe9PtqAI/SNP5KHPvJMQS427g7GnX+MBnTFDL1vhWe/0Pm
/roRuPIXZjMAQlDps47BzZ7o+1zmKGsY/YqCC1Akd0d2B2pg8o+5YJgs0uEsPe+WEJiWQSG4xwzL
cFYzBIaMQIqElR5LDU5D9vZJjeWR2NP11dNjoACOEbK2w/pbTy9lXMvItBvOXaz0OvsHagidSQMx
AqPxbaIIw41MRWlO+bpvSPTRDmhXIIlLa+Wz9u3sNk7sXMnWQdjWTmjFbO+GNMI8u9g4dkLZ2gfj
yuEY4zO16soNWsMvo0FSvwbsJ2mhJXJRFgIz6Am0Ve6BT6EOfEuiIqrd/TSTA16Oq/aj69JUJQGL
pJ9Z3pc7wbjiCrnwsSyt+VLUnvmsTbin5ezdWlICt3Zl1d/wkp3VXKlg8dMdStn1UdZUqmTTvko/
xxxH4LeNL5yZqXV1AQyEtS6noDAXYkKY/yZT981zhj6qtMHPOODc/tqMi/pdk3ez4cnymefKPeYI
TINeUx91QSA56tzsoUItuok1SbQt84AtVjqUjj0l65Sw+OoNYtGsuPG2lTmSH6OS2xL7rDWEe2m0
pvzZt9X8aBgFKaxuG5l/TBvi5rDaclfwzKPKZg1dDds6F28oOqENdHzc7Tbx8dMli878F9FePunt
U9bDhSBypiemuApiuPC7WYze9wH5NlPM2KeauxclyeIc0lLlGf7JmYzkkkzaZ9NU5fNi2dObg/2/
3SXM4ZFBOU1T3PNSxWYeyjhaa8r5cWFWCNugZJLOg56FKYelMcUXfcqjEUAI9XW7X80MFgBladNf
nVVe5y6PYIQ8jRa7asY6O6gG47bD9RR2vf+7Kzyi84Z6eLcmwjQnXO2M8bRTN8diu+hZi5C5FUAr
IPD0eY3UqGkh3uC4bZOp2iWDyPZYsEIeLV/qDk8sNOPcGNZJH5sjk6UfrDKsiAdilCUuzA6H83pi
OBk4bosSc5JrkM7dzTTM09hzBTQqfy7r5sFk7YlkcMVgPd2FtISgt+zT3KS7yMHobrPln3y3K56s
si8Do6Z2iN3yoOR0K52kJ8NdXiSrCBmMBY5tomvfceTylEzMw6w0Mn1jYj87w/jClPpqi9h+YvNO
QWUN06erLzCOMuJkh/ou5Z6q97gybFaaw2cjUo9QwNI6ZNn6Iha/efSTlEIfXl002V4TDEsdb7l9
DnaP8RVhbLu9m6nwhaeSZSyuZ+aM+sXl4R7mafqBRR+9nKpZFdn5A9hXgoFsauxpPHPwIfiyoZI4
deycAE0QbcdSPPAz4zHp/ScwOl9Kur87QycfPPcf3dkhd0Xa1ELNmISWoEW36wt4VWNXotaKSm0i
vXC44ak62U5THQjGph7zaYhyM1mPZZsBWFFJfuTerRE2DP4vqNW3ikocvXoX2nr9ZfbOSVZ5dysa
ZgPKfRs4gmkpzAPatPhQ9uZRr1kv6WbicfN2bwjgCK1id/NEQusNjdV8VknlMUSemtCcxgclRnuX
FPjRJ8aoBgGIq3uSU8e8GybQ4nBAEnK0ciovfdh3dblPRmPZY0x9ZrshAmtgDk8Rso1bZ0gA1ovH
rLMPiBurD+BFAK7yhthGYfL31vGmS9lktqjfBk09DxJpu5f0lxL67ouCNca2cU026DKyqC01nbMB
hoC0+jfio+b96I3O0S9SeqoeeHJnIx5L63hvNNl3a63nn81kocusbTBQxfpd6wzv6DcI99P8U0qL
MZDbflYm2AO82NGQOOLgVlMZFQD+N2BaX1Dd/IozmIYrz9gI+N+XnSGRbL2B/Gd25H06uRFeblZ6
vQyxeR/TXiLpnJNbmdV56GG9twchtgDVLu4yq/A+eTAs9Qy9ALaLk22UUxEVOu7x1CNttJ2TaaTk
Usey2Ekexwyer6TXNVTYrX9lUPtNW9YuWC3vdRn13+wbx0BgrdYM65aift8bRfaBXdkBt4GQOBs7
yTaMQODZNgCWTHd/Q87WpVy9vV+lnFMZi1BTk9/bnqk5hFkRUOpfesu6MalGut0W1162FZlnfP62
sL/b4Hk/StdKD6uzJkCd26cC+lOIZKjc6KN2qiu1K0qiQ1MqwCMq2vpnWdbGbuBHSLL7GPEnUDq4
D6C3vXPZzs9FyqxdenTtY99ejJm01WGFPpMa7auU2ivKyBu0ZIzZDXm1ljFv7tFqoWkZmCKz69hy
QwutfGTt/c0eqIUw551ac17CyZR3mm92IsZuNgOnKDtuGCMN7Vm/2m3xMwH1uiF5YJMWuFCBXHR8
1Briowx3uFD+HCyghtDf2AL0sbKoz2NivDlRFtKj0QRPgHbi5aFfWkiR5fPqopOQuXjpVfneWOme
T9Em94R/WMobyT0fFL8HX9Lh0nswTuzmAgm+gHLH3nsjTYyojNHYcQwismX7rKbutVwY84hePuZZ
SZnadqdcJhi1pv2Yq24fl+h9Uw0wRayffMM746B/qvOyDbrefrPQGIWdSKsw16r3WrOZtJbXfE1f
XYv1VZupLWioA/leX5Y3v+a5tnN8RFmZWX04pLq9YWxzgklp25QP5oFtwd1bgOCZmDNKwCF/QNOK
qIMxI9+4lR802/oh55YA1iHfQla5ZaPL66oPwFhhnxe0GFUOLJNwNEPiGBFwbJKVidJs71ibX50E
DcTYo6VJEB1b85fqmv0iFJUHtJLtVPqKf2U427TaM4mxbzJdf3FzWyerwSvLFqqMklhGRU+gcFx5
j0Wpnl2uXP8eaze5utp6atjrY351ZipKYWMLsWdBH8hOgfqLfT6N/TbtshuNYUZHBDfGE95tsQhl
diCpbdmYRtVwd+JCTQiIgG42E4+gdGYL73XCRANcyWgRHpdTnX+VSf+AeE/taHO3rYEeoqonwiNn
dZMOvOOyty+MEJ4mz/6QPlq+0ioA8hAFV/uE+ZEYNzPfazJ+EOL0ke8Y4wp4031T4vKbYPZ8s+fu
BxYJe0eHtfJUBHdnEao+0MEasbFJa3s4TjyKN2BwCkp97ebRet9RyTRtcXxd7PJh0RSwjuKcSMZT
ZgcTPdBm78m1l9dpRqFvluNnVWgFezKcJE58RNMH82HlIGx0CnoA0oFWeeklXRVwnNH58kZ94ejg
Zau4jSNvnB512yZS00WGZZd4y9ErHAt/etOa5KXpaVp9WT04KPghThcvOHtjLggiQSqn22AHsUO2
r4xFp3OiyUs7eTiQzJPWCNzJZVYiylM/hp5HQDqWz2mt7UqLPSBGZwomqQ6TtR4l8dHbPmUHrOLe
IoaXXMG10d4Gi1MdnCUVu4H8floko3KDCHEYD4HwCrFJWjoKZIZAYNnzQoMPNb/fzwKtCSqQR2Nt
5qhkg3TWzPp5kRNAJyvx9olOQ2BmNWmTq2FHsTe/CYHSvpi//IzoS6OP56tGFCfHVcVTzbwlPsr0
hezup97iuAsKIxPHZY5/qg4FhCHX6jtGEnF2B0Bho+ZH+hSf0OWZTEEBsOsxjnvpj6emI5xF0ZiH
RFn6Jxw84ElazOUTEN4eE3HQxjbDx4yHzeKOL33MPKEsR4GYsNW3ohMhS972GnPJApdxnM3Su4q6
00Pf16eifUMu2784cdPfllKLb5PQm6jtcMY9xA46Cl0vRmKfnHEK5sEt0lMCfp8M8Xo3MBWlOVdA
fTIeQNRyjfxuO/egQpZ+D2YKHqxrwDSxd12rjau67mHp0qds1lZ4JdZXmXvLXq1evKfuo9fXPhDs
/+hF4xykbb8iSc8CZFl3uH/5s6ggF4I/JJ3dmT7XAvkHrKNbMWvLRjfGN7QN75mP7S2nikDUdL9v
2jaL2Jv9xGWhR/oo8etRkZgruyHAI8lOF7O7GfqZeeBigJPXBbcsf74zABdJ5ycwQOYB/KcROabx
yyc/B8SQTpudliehVh7iHtorQjsYrOnyXaYFlR/+E+hrp4VcgmMrkleLRv7uPY9ksUJnmbshsHTK
9jtIYCf/0LkwHOtjVMixa9JKiHO9ltN2dcgZsBQCGXK+DlXKN1W4PCHNPCNFNrbQ7FHUdY7mbUbN
QkXo2t/HNL5YFiAvprIu9CNpXwZ9aM+a7RONQmY3lIiUz0w/tp5ML4JZGOk+HWNuc1FoNMkbNELX
7jggTOHCSkl6JButvMqpfnUae+LpW4KE3PDeymLbrdgXHTORTeg4GUsefdCNamcrOMtR1yNWDvTu
vk1y6M0rah7bOfa2SzSCLpF+3cfYqd7TthbtXhotSETcXjbwzWiVHUq+kuXH4Jg32bK24qlzULW7
bUm0uJgqJhCy9qQPfcCutiYcq1ZnrAK7VAUuXeFmFEtkkA/BDvL/cXZmu3Ej2bp+lY2+ZyM4k8Dp
i5PMOTXP1g1hyzLneebTn4+qPrtkbqdydwKFQtklRTKDEStWrPUPz61k/EjyhuVqZpjTZ/ajAodI
tux7iRI6in4UIa7tJomvBtC2y2awiy2BHr6FrW174G8AsyRyWV9DGcIYI79cKHhe0hxzqUBBi43H
YlfbOSWN5Jvu2hvq4dSc9PgyxXh7EQemvjClepeMQNUgiIH67jZlZj+UKpeVaFS+SV37ZHfpZWtw
szC4K1G1GBDsHJivGkyU9+z67UvbjdzlqL/3iSXW8mg/mmp137FuzbwZltTfKeHaqz5ld/rklF71
mvitoNeVItnZYedeAyQMNQu3TDd7ArGyqtt0h1vPZdOKN0g1dyV+mrnqIuAwVkB8B2w2YrW9SgEZ
2XBGOg2FxbxE2CyL7uIEW5GoBmrJE/8CPnslQr/axG57G8GIc1IjAuyJMhEfGa8KW916o3VwSxBq
SD5CmYza72oyEo1aean26Q4aIV23nupT3t6o/isMI9+hQLOXUnsFRXbJkz3TdH5wq/cOnR2Ji5Mv
4SVbvkET4uiylcGR8KjPTO2ly/y7zCzovEES5Yw+eFRQK6Xac6vcNn35OpHYsgrFvLGhjlTTebXu
miL0UduoLyNDAPH0r3vKA6yaHfeWjZ4Hr+ZYocwFoGQX9+YW/0agmv3Ol7VdYvr+xvbNe/SS2GhK
dqjdIV0XYLC4Qo5gM4LwHUnwX7me/JKK8QYFj2uS8ucoiA8y5g7UstUnT8QATDHWBEqmkbqPEsgV
M5K7C+RmgPLqZHya0j2GyXBLElajEiavuXEcbNwUtIJSpzCzzFiHnWExMZR+4bmO14oWNJdyPVBj
S9r2W6EY3AqaprjTvdy9J0bRoo46bL4GTd5HeUl7vpZZg2qeLLVQotbfoyOXSmYTr2KpNn5VsYIQ
pld662gsqNIpEGrTRmCx54rUGfVMXSlD+qgEcEvbRAYrR8+3bABHdMLEPAKqLjxpGSBn5Keb1sjF
crrCI8XrOq5rvrleV9xnKVVSpGoMF91NHW9lyCcNmqD6CvIAXzfMVcfwR7Tl2o4lqZsBNjaq0Tum
R1Um7vJ2o2rilWppyW70txZn6/VoYmNn5kLekNi9VbFpX1tq/jJqtHSEG1zVfpUuOEYr8GlQG0Xd
rDxfE3eBp+hLdTAuRrAGQCFWA62fWjNBXOdlfh8URgjIPGHnaR3SkICh1Vz6qSDvj8e4S7ce6chF
j3D0lZ/LBvmIvQEovRE93rymMvrgavW3khvTVetpD/iR37ommVw5IsHX6Ss5K6TVqPkm39ij+jfd
gVTT+9kAbF9KlentBl+5NkLvCU3TXWzn91Wu77u8cSI9m8KkwJwBkbyGOD0GikoTlRYLhEL8Zsv8
hav4sO77ikoAddmNGjbSjxAGHoV7pVjnxSRrWhQSZmGWge8bQGqKfVZ1q8UDH+/V6QHrACzLpGhJ
p+oC9kOx8ABFSxkQ29A1oq1fQzHJuA06TWi9SJL0OBr5tRjMzukV2nxJA4+2NHRHz3rMq5HRMWHo
0QmwkeDtonKpK1wxRkygpWxJa6VZBL56n8Q2kOm+hbiYPiPx9YboLPlaRm/QvECBaOF66LzIEftV
q28amJorMzahMsTNKh450am8Y8EaGuXC0ul1kogewhyaBxRj01EslIGFVu5HqUN6NV3LNezCWqHn
m4/2uK6KZjdYarLine/DAfGEMqNCHrrSVdmGe0lTn5MUpGgl2fBUK+9mVJv2Ehfxb2VQP2adOezq
ynIpSISe4zcY1+R6fQdPbm3HfubEFaz3Bpd0ekDauswjc6VTLqHphyPECMMa4G1xEHLzAtKcZcYw
2cLl66EaiOl4p0FqRlLSPIS4luVNaizArbr32AYirliOL6Bp0GAM4pswltdYR7vAerT+p2ik56Fq
eOIGC0uZPsticPGq5z7lb5iNMoR8Hb70mnj3S7W+19oUSkNaEZAjZaQnDzxk6EnuU+ZXYJmD+RPu
B4mEP3M03gSoZd4psAGwvql0Thr6104JeN/xfeT6CHGPXelf6OOUgVQk3pn1VCVlQ5+M+2pkR7TR
C07FghIGTSf8ral37uLMV0B7FXtDGo3dEJCl9CJ54Np7GyVI4AV2rGyqgYadmeqS7AAuakIHn6CY
233luyWV31yAo0Meix+cxB4mH+3WO/DuR3sd5CaQZhf4ZvpNjukALrpCHoZDq5kehVU0vfVD7E+F
LtFEzVIF7A4xKEpK5RrWoh5h857xIenYw5qRPK118qIRwUOvUJtc9REslD2NfttcyXpaw6IWtsp2
UWmPRzCh/CVJ0PDdVMwhW9WZnBsr2eDCtNK7Ft+gZsA7erS8LLpGyDp5R4tOAR6SE7SLmkEvAt0c
qpWpk9JBtonYith6VbiWu2H4bgR9mD6lPfsb2gWwoiV2503zjm4pRz1WZPp2kJF3eC6ptMb0Ap+o
izLvHiRq/u3VYC5TFVVFSs862VJayJK67RNbwj49Fj+1RlVo4ITk41lF59dtsyS56H2rLff0hEAY
yd5gf/PKlOfqjXZkUGDuPwq5Doe3Tmlb6w05DunJ71wRrDT2AI+lCWM7eqSmd20nZ9pSGZPoUpVb
lD1gkWabHpbFcCkaO9aWFkl6ujE6Ty1WgIGhgQDEAq1hcUuKHLmEwHOvy229UVyzKdctFOVwy5nZ
M++j6Fx8t43BvEFqyrYP0Sis5hu5XoAcI9DOzHHjRFiLzrY66SWskO9ET4G2Ihu1NgR1Bp/6m1SN
mUrOTDsYgS0D3gOQMRS+6QOTk5UovHoDmowbt+pQLjBdG7UxdtCInEOKmumirZrgEoEgyd+hPlIB
G4IBmPykHOP3G5+yDACj0GhIbP2uyVUKsVHaunu66lHo9HFXlNc63KnkvpIMg5SKVnF/myU0pfeV
BuB+iVqZou09zQ2Uy86EIkdZhF6Hm4fArqNSlXBjHUSvr3q5a98oYKUdiZaVi0s0PsjlhYhCStYi
UsSdbAz6S+2V3bBSiwawAnIi9gTrk+IUHF3YrS3PKOmF+pUMkqKQFXSrgY3uRVP5WDS58eBysWvy
rFlYWquYUDy4YSjXMmD29s6IkWHdVl7Am6FTzGZsciszL0wucTuUFQl+TKXCrb/Ph3YpAX6zaG/F
oXQdpGTsaNWYBmMhsHtAaH5UdrpkZObVaMQcHwR0cNG2nLWoQqI9jpRbW1FXlXyAAIsgcwkcIAj9
e3j+VGBEZOSPaen5Ot2yeMwuC5FbhxBoz2TE1nBi6l62pafQXQDWv0TqQrewCJQAnLRSW98meVL5
DpatmNhX+lA/jlKmkSRAsF9R5ZPA8nsVwhAyZet9i18V5DjXQ1uzSmM6oFPH0urR8g5iis7Iete0
ZYFGpKRB+kS8Zy3KyQ/AIvKPIORIWajtBxKTjEpaamqta0+53goEOYAZ55dKhBszPJs2xgU2Z3Zu
EkLZVIHMf6lpNU7aJ0C8nQ57UhyQwPKqO6sylGdJh8SAzLkJvcPvsI5feJXVhDsApVzbQyWJAfWF
datvcyuA1NAgXHuHsAvO8T243F6BWtYtlEkyZ58aSffL43Ojq5RiCZU2P+a2UmpZ63IZplMFMVN7
qKhyFIC0Ir1eKfkgobVp4WtEuVbz38y+sNDxx/AEBSLZ+p5EcX7Tt3Z1o2sSBR1fCWnIUb6ivNR7
w6MZ9mxlu4pq5boPeRyHHleMO3xnGUu05+u3DG9bsSj7JlYuW1B+Wy1O4OiM2EtAgtOTek/CENGM
qQTBUyDuum/8MupI1FSwW6TMUuUAkaf1qgUK8wt2hNApA6mC4vABeDcCcPgDNPiNVaUubY9ywrMP
bt8sqUcVV9CaCZF0VR7ruoLwoiqVsaqyIiq2GNXxWuy8D4DZWrX0oMMX8pahqqpbV038i5p6700m
YD8hDohlnQz+oFjXZiI/oF3QtDysCGCoSPGucrvhvvEz+YZCBrXyvKBQ6ZQiTZbYxuXeLpNVtmZL
AVCjPkWFbWM0KZGtSLz2GkxW9gLOlhBCPamKqFVoZJaqQCR+OXYe8ZHbk5ujSDmo7xBPEMVXy0Bz
MEGQ22XoIupMYQIkdxPQyaPak5brXBjZRRkg7L+w7SHbJbLRviBXCIJd1mXOobKnrpyh73OtZBbv
CX2W7rU0sjBxDC2xMu4guo7PcyVXl/5giB9AnMj5cymjcqH53jXQGn5NI0pAdOlFBg7Tjm1/Ubit
+JUAOXbsAFY54k0yJF0LxR40yEfKmSvCS4/MTgpzbDFArQzR7rdbY5Wn5CF7YaFOoAInIYz6lfQ9
HsP2WxX2oHitrr+B5WxZS/L7+IluYTysOrkC6CkkkKK0eD3tKmoMYrgses1d5lVm/RJVXl+1Nmwx
Ut8cOFTFwanKWMPDp0isb23W5w+gn5rLwIS2XBYsBAdyAmspUWKIq4FXGfdVaoD1BPsHg08brO/u
GGgvgOv4WbxTm/HG4pblL1E7i2i6uEjX22WO3bxemfGD61cXWo0XxoobOHl6VfcPaT34L3ZVUOMS
ZqIBMon8OP1eCSW97SUhfujYjl1gEJb8CAwZLdNQh7EtRTKXqHrMqfnETXJH4wSgnZByFfHJTmSL
KNfaXdWUxq8gz0mkBkFWUiedsqb2FiMH0vpQkHTf482MoHIS0aIt2iHXcd9grCRtEW9pr6i9tCul
w5liKVS/u+OW+1DHukKwQqPHXqDYET4MpZu+N238vTEp9BrU38bV2N6R8Hs3CqfRrUXLMDqEZgku
vA9sGNy+DRm3NHBHpSkKuMQNV6pZ+DeFnzUXapbZS/Snkf8CoVRfjciqgjT3Zf8t8Gy0gWOtyh7R
Z+JaOQLrcejyRZCAW/SX0Xwqb0FIWD/52t6tprpgi2ovky70vBKPZWMGbxlgEwlGHTrq65aOMB0+
U6+RUGN37gKLijnZgBSsfYTaepCEgqUdxhpHmqJOvNy4HIwEAMtYXoVcKNDwAQLdb2KKGmyoD77E
aDVts1FVUnNNTuQbxRhZl2R7rHsZbVeEvkwcDVQrptswVLan7KU61X/Rm5euZS8OqecLaMx//V4b
2PRt4YIUS4AU4wFgl/3aBLX8JkbYaEuKcvmd7zc2suC1WlI6AW60iyRBzAj6hAgTpyrL2AUgulFd
FaRNZYLlr8KCwyfjhAZupPNjYtpPsZdmQDEVGL6KoLHfVbB/F0AdgVwVXGM89IbMlV95iKkHVAgA
vGeyDgolxGOiBE+z1OVQP4jCIOq2Wmwj/0U5bI+5jEXWCljrrR9atVrXjR6nDsLYyTsXC/cSi+hx
aaLTshaeOQk/FY1D2kAX0BwpNC56EWGWm2B0i64TOXNBdTQNN4mttNWigpebrqBkxj8wG2RS6CZA
KRrcCo/BbJDqlU2p+xcYZQWLC082njo2MqFMjosOtq6JIycXBb+/rxRToXs3KcZR4YEeYneiVX7W
H5NV16M/PlFDiZ/YwDo4RK4i3sKM656SK2JncAXlhrOT/NkoUb0mw2BGapmSFv9puZfAxKWl6Cxk
tXFgvSlFMOA4CyQaAgLPhtRAlGRQypLQS+1HAw2kDUxz7V7J6JmiuqM/+YZKcpmQdYlFyF3uRZP7
FE6jZgFaMmr/1kfi/QpwlXLbjYZXLhH9m8DqEEeDW5SQNXeBPGehrbCKIEUqMSW4NRtbVvdqnYzr
pqC0EdMuevJtE0ZBUD6WGQDl0iqin/JYeJzGAKip6xqXVP7J2AMBXBXCWKnw2wYs3QJOfbxO0VWg
QiZalgveZeyfEckwqkoZzcAFRkrNnZwM5T4vteCKBucbPt7APrHnta2V1yK48ZQp0WCs4GvwQuMk
4hyJylrRtsL2EYv76/TvggaYNWxMtlYAtn2Za0N/g0Aw6nOWW7LCWyosqBl5rNKF3evcKFHWYj/Y
01FzmVZo+CG67lYIrqU+xeWPAah/syMyiLmgDcKs6m+MwiPlUu3p5mY0KK/vOyXjbzRUoBqEH2zW
Jdx5WeChk/lS7QDJEj+iaa0AsIfdqAsxrGtjDJVLw7S16LIeLGykRtRSD3pT21gtxS0TFLkFg8D4
5IDq6qGPtmoZF/YK8RAdRMbYcDNW6q6Ntrnf8/N/RQFaMa6xt1ATmLwbogK5gFKLoHp+BDAYBuag
U4NqA8tx6w6wXONrLsURdCn5MNCxYGGyjI80TD0asXkaadw0jpU2mSa2wDeB0gNVkHBEBibjk6eN
esRdogVZJyAjGsmAJhK3N2T/rY+EsCL4iMekxn7iQHFATW6AptmhUzeAER2osQpm0eji2FvbN+py
IxsTFLJjo25GNyV4DSP7ApBzHD1JSVBgQOxRH19UAHtY1UA03+2S83TRA+NAHKStDdNpahIp7Bzc
UTipz73KCTDhIBNEWjq9yIdeDrdNzGcjmRahSi9JWfnMGjIoZ2a97q36uG+oSbklABQVdVvNUTTb
u6+r0iWZqWtvnwdpACvCqAQU6yCCyFEoyjDJiQOJXowjtZINUkrQ0BdgApX6UecGYq1Ii+APIk0I
SAq9AVZOaLbx01/vsKT8Xq1j/AcaVOaQ9sJxlzTb4b5qv9GbbNUNNSDawUKtqhslQLuTqGLVaBz4
QoBfaXo4QbHv6tY6xK5t2Qmo67fcF1xzY/SBgJfQJcmbalDaJOYPQ+Io40ChVe9q8YDwvlbc9wBz
3D03e5afVvZ0X8BDRU+VarPkAyov6TIxI3fH2dUp10As3Jh7oo84B2XFuKIvGEHht5s+tbdVL6uv
ZPnWS1S4q9CSgE8FMGsmIC8WNXdSztrrvPRpEvXjCImv2k6D46Fy7ZncDjHB8O68kAY2JLMaoFL9
SykxSTNNIqKuc1ivURF8/mDs/UcaVQ9Zwj//Z/qdtwx3kMDz6w8Bpb//9L+Tsdq8Z1ffk/dqPtRv
IyND+++nm1SZf/sDUltBPdw27+Vw91418V9PgWLt9JP/2//5X+8fozwM+fu//vGWNWk9jYYce/pZ
joob0Cdq4zT+v39v+gL/+sc2S73/Okz/uv+/d//j9/6SsZJl7Z8aelOGpkO2ND+8+P6SsZJl9Z8W
QCl0ehU0mj8Erv4t4Kso/9R1e7I2FLSDJwe//5ax4n9xBSEOYiZKxOH3/hMZq98pp5KCoBT3M2R8
f6e3CpoLUJJacfB0+HRARNLYUaT/iM/69+Azuap2qBKMtzpx6Ig4RlM95YG3a23lBF954pb/TVf+
e/gZTbY168GMokoANeU+JeGQFpwg//7OO/575Bnf2BJ5qDQ+qDUswSBd4WRJWTykWzf0lwqYr6B9
/7Rcbv562P9Km+QmC9K6+tc/jn2F6bV8Ylqnqlwo7sgHldalXF6YWnHiGxx7r9MHfhqYlsSoBJhQ
HBoFJAKsH2rjDsyg/XnPPeMOB6rVgg6eJqhfUqgy8xNSZx/GlH96p6z3z88thQHMtjxHPFgb15rq
7XG2ptcnrdHgpNjWXgMYBpaFZx4qI5JS3Jgl9kv1VOHPL3pbv/ZkdyXF1sEqaujhKKKJvWEA1+67
fPv1d/+dP/334kBZ7vMjZrlutWYmxKHXQ3RMIZqGKNlEv2w0CWW93Xz9KcdWxkxXDsdr2kIZMyyn
ryq3Chwivh74yMqY7Ec+P76XSmUVV+x4E7sJqF1Gv06sv2wDiPh/1gM/sm8+tOg/rTqvz3pq0zx0
0qgrlF4w5XRCGbMiNCeUrZud+ArmtBr+sErk2c6nN6CYWTwijqO+G311KADsS1Wwwm0M0B7yX7Fk
7dUM+kAW7zOh407WPCZRuuKC6XhWteoGQXOvW1Jb2TR4a2OscF0YqGwE0dLXvXXiAZPV0suQHisq
EiiEdeW2FzZYnXjV5tJa4aY1Ql8uPduBJIBq9lM/POdNjY2YfnDzS8TQFxKleL31rwaRXqMzBdt8
XGcKEglNz/Uj4kmwytL3VJfWcRGtZK9GGxoJuQbhEsXYVYJWQNRdSc1ra6OeUv7MuBe0IMC10kDC
5Cdk1aXpUjdGstPS7kKc47je3p63TmYxMO1C3bfGUByG9L4oX7XwAoGNE9FJmeLEn17gtDg/LRRo
I2XSxOwh9CvwdIH5Xce0iTrIv1W47YfdAMzZ024C7vUNmhx5qq/Qill2gX/IQSrqKlrNsfSglt7W
qhuwgul+4CyjCQZ/t2lPLLTfVQr+e6vLsyiK/m0BMIX13GLX2SkvUwO+HF65RjlZ+ULyvYiA4pyY
7yl+/GlOZjGVbdmPslQLIHvuMxZX68q6MSou2QD4RlvaDfG7TNs1afTr2oDLgt7B0jPMAwTVpQss
qp1gNY149uLYg2ACs5MFX8rcq4yCViLXpjjfmnCosQZ32mB0MoUeEcRdtViY2jedtYXc8IUM01PP
f8kMAgLCkbF8CXGRjaJmYljjhDaCn7IcT4AResqyS7wKIU88WNF7JsPsqDvn6/k4EgAnL6TPSwR1
1wZOP3OvgB8NUVMM3BMjf4jS/Gmm5xFcjlHclmReqzf1h7lzoGgk+pVP8yiSV70k0b3j3Mc+U34F
T2jCJKZXuVQaaDkIjhvjc28G/BUya1Dyw+A2NTynkY1VqmDNed73nx0AlJjVwjTs4UAOvPU0TjPp
7euRjxxgc68GOwgR/0QC5yDTELeh8OO/o/5Mii2VuBP5wZFDRswyv7yjR2TTJj/UEif2U9t9V6X3
r5/+yLoQs9gf0auKqoF1YSNKDuZbP3HgHpuVWbzL4zxFTpVxDcKIO4EDoeUXmOrV/lYr779++GPz
Mv39p7hnxDT/EWMlI3ZvMuMqLN6M8IQi0rF5mcUq+hLGmHmDOADdSVU6R8uvH3lSzP1TXBLq789c
2IVlYvUlDrnsU3UrN6lbr4whXqboU+qhtTODb+UEYCsfg3BH9wxSmvbQ1fUS4wYngO8sU4NGqBok
ToQaaLCms7APtEnXv1x7LoL1Y7GREspiaID5pbELmhtKI7eteaWg3lol3yuINhKwFt3J63yH6RfI
l9x71rzwRE53bPJmwUZqzX7yOSYpKqW1WqxLWzpz5FmsMfKhKgNku7ik3CGHpWbxifhwbL3O4kMO
oYFuiIHZSgVGvIvWAr0834BeaFFuFafe/h9fPnpEs5dfj0BR3YhQ6W8kZVdqJzbCn58em7zfx22S
IGTHkQBEARw672IMn8fhFwq9SMDLJ2bozy/VsKfP/rTZNIC1ehC64yH23hr54Bapc2JLHJmUeagI
y7xTEk7q0l/RK0BW5+tx/xwdkN/6/YG73sdcx1XGg1Hla0PulkPqX0veiZh8bDqmv/80HYgvlRXc
fRZMHaBWs1YpqJ/33LMI4UXCzURkjwcEm6oKuh8dS/rEJ2bl2FJRfn9uhN88DZg5yT4gZTN66MWN
j9poyJmtdD/P+wazXRoMaoKhx/QZ5bbWHs0I2Z3aOPEFjk38bKeii1c2Q8NORaIeAQv/1B3/yLhY
Qv72QiG1JLWVMG4D7cHRTqVHx4adbc28tqQAH9nx0ImtP6zccfn1HB8bd7YdaWl7aH/zuFD+Fp18
XxknTr4j28aabUdJyXO9mQb2vOtW3MrcwdSr8555tiNjlHC6tmMu0nwntUs/uztv3GmOPu1Fxa7Q
/55enc29ZtwCUzxv3PlOTEbbq/Ppef2NeZc1q/OGnW1BzL+qskBBl2h9CX+iHTfnjTvbdlFBklhW
jJt4t736WnTv540723F1lAcuZxmR3/zeR5d+WJ43v+Zsy4m+KwB+E0OtfgkMxo/OmwhztudiD+fU
uEX1VDPulfG+PnWBPRI750qCfgD/0KyZiDC/NaL6tgGb0XfeUpTWrk/NM2dltgG92neDMONTfAhh
g7TP4MGd9SLN2f7L26poIUeIw+ivauio/XlnoTnbf4kPfzuIVBZ0vM10J7TP2yjmbP81ElxAtAbQ
JOLSAJLfOyuLND4KYZ/ihTrKBRr+xIsu2afa2j3v0oDDwu9xqKsTuRkLuz8k3VJPIdCeWBF/Lpyg
Cvv7uCAFM2sSeDiMaACXv7Qm3kDehY2ASHb5oOEUEdQ3Zy2RD4XJT1MTyaXstqBKuCdTSmoe5PTH
1wNPa+x/VgloxP3+HZKiy2FSsiexjOGeLzbKwDGgr78e/chpiMnnbydAlLh2LDxyvV4xHDnWHP/1
vIFnmzFUhZqnJlPflisEC1HMP2/c2VasU6NAOgsVOExqFwDBg3MfeLYXwQICJa0ZWMtv1GTXNIfz
Hni2F3GMTELT5/3hGDQBpPzhlDfvsZUxOw5LfMvQoWaKba1EiQSgMPpt3qloOnNu/f9VR8OYbUph
Kp1nTQmYHL5CLrjx7Rgex3qAYivLJjKijxnYHgjLSA6jOIAunCffxfJmQB8KFq88oNoXeCd2sjxt
2T9tg9lWDpoAGjVs2wMSYJiVQV5Gkga2ZwNI02Zn1NBfG/OuB3l81nubTFA/50ZtFvAJSTwc3BjA
W55dlyeC/pHXps82dN+Wup/HfBOz2YTYIGTutR/WJ5762OCz/VxXtK4AjJDdqrJTQGS1xH2AZ/XX
c6JM7/4Pb0Gf7eoYvb6yQtzxoKDkKrUIjBce+vzgDLNXtwqWEoQH3CX2ytAckGhZJHoIsTGAW+mh
y4BpjKKssey+yhAtikNjEZliX2OC9fXjHQlm+iw2jIZcga1mC/vYi+rhrkdu9LyRZ8GhH80iJlkh
6kDAwGTAPBHNjr2uWXDQxsytmohxA3nfA6HQ8JkXaKx8/dTKkbxLn0WIAl50akwxrQNVDkB+jTcI
LIfJJGoBL2/Th+ovO3wG+rUK2x+p+QA9CHLZQk+NZVr8jDsNDtB6yJ+1McH/M1oaSbTJFSDjQMPt
WN3l1ZMu3X39tNMa+tPamsWbEklKfBaS4ZALwLXBbdVB6JRr1EbUM9/iLIbQ7oFCogp4EUjvhPGv
oT4vxmuzWBHreu4HIh0Ogt4eF5Mzr9baLFQA24u8Iadq19EnQQgSVf1y8/VsH9kr2ixQoLfXyz1M
2wMWhXrkpO2Jt3hs3FmEUAHvlWUjE4BMg84icoh4Qp73yLPtXcSJJWOBMxwMmp4Y4TyfN+xsb6NQ
LVUGILDDWC2VG69cnTfsbGujNRGDb9aGQ5cu9auzh1V+P5bsMKpbkFr9oX0Yg/ZHHldvXz/vkVD0
UXf/lMDmeu7VZU2jFdGeUPrWW8HKVePzLg7abOc10ON0eDPDQYoxEViU5yWZ6mzftQOpcZYyLHIa
FHCL855WnW273q09Xh/Dqhf6Xdift3zV2Y7rkAMGQsuCSP0b3TRfYwnY8Yl3dyQ7Ume7rjRQ/vjY
dW6VOXL7zeZoRpS6yNy1Me6kcYCv5N0KBKSkEs3oDAGX2l751nuF60yd5avIvZekfJ1lB9u6ZeE6
Aw0O5SFCXB1huaGe9I3wS4UuE4zFDgrRCoJ5V0o76ClbZE705q7u9oa1ze2dG8JjodK4imUUREts
sopJZmUF1wrUJTQN9BFsX8ao6bEUL1/PwJGwMzk9fs7Wah0nFavthoOGNqHhuOXy63Hlabv+4VRS
Z9HBtIOgGDzRHzxwNYZ570HFiGSxTroXV7oVAfJh71JyX3TPevvqkf58/bnHvs8sevi9qBEG5aZt
Sas03WrDxXnjzsJHFHQi1WyJisP3FuGqM08TdXZ2m3YfecieMewvPds37Yn06EhKoM7CBieePMTT
W3XDZ4NkLh7vDOPNRcP1rNmYww4R6AAqjiApHYMn1cDe6kQpeNrSf1g0yiyAGFqeGtg89LS2MWUT
E7R9sqe+09NvbXIqGT+yRD6Svk8B245rlQycIqDcblDBdfMTS/7IQaDMYklhiqotteldJhtDwF1I
bSQYTzWXjj31bKNGg9UkRsRT41tXoz2S775+leqRjfqBsvg0HW4M6FyqG5I790L21FsF9dgOttDw
IPxHHzDWqHVL0errOAtvAhlhMflKtqV1gE1hWBVb3S8nleZ9SuNS9bAGzCeijXkrS1g+SNxScC2D
P5Vvy+BByLA2J84NDaAR5kYc9SdWpCyOTf9s52ut3OKTwq0+qYzl6HWrJofjTc+5K36G7iReEi08
T6U9nMA9sFaJDsEGLnfU71o4s3pj7nqy/aq8avMOSFq6tLRmLRnxNuJgL42VgkaVKzxQatpSBbqV
K+mFkV70uoYGLQE7wudKfuy1nzjLgLl5MXPpHq1zhJ6S6yz6IeonE6WJCrqw7+mYkOAMmEL+b4PF
oL3lwQWsLRAtxrrObnz/OQ7XllZc4tSw7HvwYfouFeyJ8RaZpUU1WaLYcFbQebOsx0mRpey/o/Hl
tOIbsoxOhQqMX6LHp5QQtLVFb1aOZUkLL3kc9RszUxw3Mjc6Qm+p5S6RxxzFoztYTuJpK8D5V4b1
ZKkXESIhw2Aj+WOvzG4jQUr3QzTmQgMKiLRCF3WRJb+Eoa/88FXFsbpSGwcr9vNirphtqFFzvazQ
py6L6tAhQ4L+6yUvH7mNfyyhT0ueprKFHRC5dp4/ZNaF9RMSqbeAshSM61zGX3qHWvHXn3VkVU44
9M/nKzYCPohCbpJuvG8bF52wjVGc7EweiZdzbEcrS01mW3wRIaH9X+K0gETUr1i9yOOHOEMTYOdi
nBZDaTLfKu8+y7t9XN1L0TqB9AoBw2nhKOoF7oDaxHXaWnFxL5pmC7tj2Zm+g5g/Pgp3pZc9+eUa
Z23HwGQnUeDng6iW7FWSRxswaB3wumalYN+n2N1Sw1chfArM29Tb1OZGQoLq68k8EgPF7BBGWKeH
BixYENgTwFSs29vzBp4dw25cBiWsZGKH7QTDTdk+fD3ukbf/AZP+tNBQo5ODYiqsWNVFWO7Rzpf6
E1jdKVX/01E5e2Tg4YU+JByVLUaIXvSz8BBbqmVcEENYiWAPjGIPC2/59Rc5klAos4TCVaNs6Nyh
P0TujV49lNGlhhxj3Z74MkeGn4OaLaSwxxZp8oM72alKCAMPrwi4OEZ3yg/syE6ZQ5urphWIFnI4
i/SAlvvCtnZuhTfH3ohOfIcji3MOalbSWoLjwgHNVQ0R8Pjf/vJHQdnHxp1FQRktHjXKGTfS172/
Rvf161d6bNxZQtGpSqOrBhVPI9r1wvH0E5fAY+9y+rxPaz7NUQpD+WI4UFBdYhoBfBo2sXbTUEc7
EQeOrP2PO8enjyilBl7z1G7tiqe4eNVQVoq6hSoQBKEEJoYJcHwqsTg2TbOYkxlRI2GTzFW5Ria9
QcZ1cM+LOh/H06ev0QxFlmp+NRzQ3vPwKD3VbTy21mebVY5iFaMHuoJBXV3K3bDLssApGpzIRbwX
0v/j7LyWG2mObvtEHdHe3KIdPEDQ86aDwxm2976f/l/QuZFwhsMIKuKTNIoR2GxUZWVl7txLdf69
gJTrK/hLCLoVouqQ0odMJroZyr4QmFNR9paBZbZ4XkrmH7Hbqaxf3XwW0NKb8VpRJ1yVTtowYpO0
MNrLtPTsBY3EgGftMJHuN7FlT9XyUNWPhdr5C/N0ZvEnzQ8Yta6EuAFEgNWY6f37+b+q8t6qXCd9
KhSzYWcV3Us2t9AXBjvpuWPng1tEv5I8Jc2RIXXiK1XdVcEp0+8M81dTMdfPUZdA7hWXFLe6erdQ
VxMsCy8TrwuZ4IzumCsEnpaDS/j3035xlNzqZqcJ22Gro+Gops7YOQN2bD8rwoo3y8WMpETor4dU
2PzqmfRNsNX69zP/fe9ot+rDgJFfEeIIC8SEgHYWxtd/f670hQRcu9UfLp0Y9UBi5l1Ds0TG+iFs
Lun4lkunpqBONodvuP3h9vp2p62aXnMMFe/9Jyl8wzqciYQEspQOs0P0VWy5w/lznFmbyQuOSDZT
A8jUXqWxdDK4E7XPoPpKxUR6NAYA7/gMGupKD7GjCxksmeY/gbDHgDxK9iI+FdVBy3dVcRCXQ6bt
uvlP16wr1ZOEVz29j5ez0Laxl3UPrYj6XBTmA9iVi9GYrPRGek7VlPvdttFf5/EUpomjmW9ds290
Jxyei6yO7SCy3AWqWr58Gt1FhW7bRYcFF8hI5YKionjX7FoxHEW1VpGCqUnHZGv3YMwPcXWWx4d6
vCx97/ThWSzul2JfBxtRgECyDvN9VZ/m+j5Rd7qyXZicjfCqNiJsyZOVBbFDBljTPKYqJuy/2yul
T9rGc+BDrXHM9jcoNVzxjJNZt88zQ0+R/hyNg90Kdzy62v/+9zf/1Yq6hrz/CplDqIx1iQnGjsGS
pDvGwo/2gGbdHLJqrls5FoOcKDLDKIflu1D8n8rF/x8jtVtNKB6JQRRGEx8M9Yi26IoJcQc+Qoj9
S6Q9QktX0pfk+TXwtGUvGK+C9hGkC34JWCQ96/EfbcovVZPdacJaYyAeK1EpaTyMJZwyZMDuZ8Io
zbq+7/96r4HYjVUsocIIcCXTjJ0YfrNVr5Wbv/3+N7fyGspWkjAZs1vw1CMYRrU/TI/KtB1EZyK+
/2xZ3BzSca2kfdN25O81/XOH+8nPPvcmycYbtFCN6qoUSPeJ4WSD8+/P1a6x9W+v5SbmppmOUfFV
YDMwnQoUz7WM92jwZI4UyFBOL12m8EMxPuqZaXy6Nm3vjOU2L2avadYG/MoaQy1DoTk5BCtp+dXM
R0oamQlUpcYbSgX6exTao6IzQeR2AFlE/PNj+VO2knWR/xHMatMXxbHCJD/D3BVf+cBcvBBjsKV6
bJsTWJyuPxjhSVOOmuYB+fjZN3UrerV0YZbygDt9XV9SaW9QwPj3K/0iMpg3pcNkmKRUDVnBEtbc
H338TZLw1cfeBBwFCq+QX2sQooB1n/4SULn62QPfhJzZzCqhFwKaJR9CKB0no/lG9Pr3TAEW8f/u
ZUx9rjiHGcWHiVsVN+VIf8AS6pv3/J/7zF+WrnkTKqICIHmkqVwF8QduImOnjgxTgb+lKtV5ofIH
U2KoulNra7iuYbBGuiJiDlMnx66SOZqFN6OI/1iC+LPYbd6EmAXpes6Qw7zL9e638hwp6u+ffUM3
USUcgxSu9LigXF8ZMPe+S+W+WlM3USU05bgCeIfwm3Q2cqI/P3vcm5gSC7SrEnyOIBk9N+L2h6Jk
7VY0Wyq5Xgslj5vrMMS8/tvexxdB8FY1O4hQdTG4peWNZ4ZhYF6jP5q5sqqKfWoMqxBQGcZ3Quck
NdyL6I5Cpp2oTI5Ol8L8iBIYn+PMvK98KhOmULIXfB3vR8YooXo5nDJBzkSf5E+mtBK7co1TZDy8
LPJxKc9h7WfZupf8BUd9BRZn+wIyffOjL+JWtZvg7arUFS9MfVOqbT3+LBQZNwGjnadkiRdel5Ce
Qkyi22/2z9+vi3iB/W+8iAYlwaRfoY+vnkZtTjEroT4S4fStmhHp5c92061mNxyVuWcYj7AkF85g
wAM1Hn72vm8CAH7tmlgZ1/0EPqp1MI/+2efe7H941eFSmnyuJO77l/G7eYev3vfN9p8UpQ8XY0Dd
3jzozPYWJT3Sxz7EB/f+Zw9+EwmUUq50MeypDXb5oW8pwfbfpHNfnC23al2tniULEC5FI+W1hn0i
K3vw0t8cLV/ExVvFrqIVqtlePxwzd5zHW/Gbz/3qoW/OcBmuR1fH5KBa8qpbnxntlMaI3B+9a/1m
V8ZBqU2jzCKpmcYObPW7h/7qZdzsSkMkbzZKVA+dp05r4IU/e9zrj/uvRH+yILroPY9rBO+htFfD
H/VqyIr+93MXoWmsWu6JeRmFOLevf/i8N3vQXCYqQWJK0JMcuYUu9I2Y9KvXe7MJZ4PBTsVIqDj7
wXl4/NnLvdl3WKM3cJP40GGPe9vPFtitnna0VGvJ1P/3pJR9/v2k/8nW/pLF3Yppg7bgDiBN027U
oFCmJgqTXP81YohWqu0WioddBLtOl7wkU+wUE5o4p/tZhHQRzxVmSBCcS7/khpHcCYjViuJQF085
xnpquB6LEPra4sTh+IFYzq0xiTAyrBeCHnIeQE/oVdsWywMtfjTjc8LESbPRhqMiU0I5lfLg95Vm
G81zNtQb0FXIZl5RiNiFuCibFJ4evJ9MskVGY+xJxNA5rDY4722Gst1GEe4S01wd2u44ysXW7IAS
XaaJgsouCtcgKny57QG9TDJSVy2EXyE4VRCfl7HcxQCT9BHUYLusWnyH8crfgMjcWFbhY6/nm8wt
F6P1YMXwxSvsytalkv3ssLnVTpXhEhvBWNIqgpZQ4tH3s+B3q56qRVb5ZHAbiLt9K7/oRorzxM9E
CbQL/nfXW2EfV4XC7qy03718P+cP/16e1yD3l9V5q0pqqxTyd7YwXTF7gym5av/SsKj+/eFfbP1b
ZVKb40CuySHHDHOMiROr3zQ+vnromxDY4PVYDRJvOhp8MvFVnnvXLOrfDy1dX+nfXslNIGzirOkw
UOKcmcBcKdKVIkekfWoiLPmKAWrBtGql0MlzbNPNT0F/qdC9pm3gq8Nwp37rc/LV27sJnIkZYsCv
E+hFgB3lU/7DnOVWshSLsWSFqB12cvXUmiel/9m3rd0c/lLfTrj5ET4VL3ycf/372/jiJdzK+UvR
wi7YimkKeeFh/mb9fPENa9d19V9Hs9pWVt0PYHuwg3VUatpLh0JG0NH+fRP1r7/zX9aQdv11/usn
aODZ8AtnNEMJdA9knCdqk5OR7cftQza//Ozd3GwDvPRncPK88GxTH37WowAm+L9PnkqBrqZXDShG
D481/4T3P3vam+UstKKmq9Thd3i5u7lyqRiu+PcnfxEO/lP6+6+XXfdjM4lMIO+6ZtNPKi0kZPnJ
dyMKX6zAW+U8+j55kuCZ7a6k7OheZArtR499K52XjWWOwonomBhvNS6qZgYHUs7yb97KV899sx3z
oG7HImZ11MupnY/Vd5oe6+9LW705iYS5nFIhoJcaXNE5qNRoCkE5SkBUpjY249CoY7f5bv77C3Wr
pt7s1bAvYfG1dIWVyF8qy+nKN+ybV5o4+WPW+mo+4C+P13tTU5SlK9Of08D59xf01Ru8/u//ta4U
vRwhfRB70gstm28iw39O7L+EBvVm1zYJIjOrIvgUZriLerfDWbc3tVNBRT3IYqeem3Wham5F7jRf
AUh4shbCplJRnYCWm00cm6VXPsEeCz81n3LxtMAADZlXHp4Ss9+ETKUEKAgDafg1Du9pe5+2a3HZ
9PXggb+xG+u3YHxnLfkfh6+//To38SLJlblQtGbZKRK1nq2KYryscnfEAk3six0qHDXdwPljeiGH
NtJKd7F8+ff380WQvZ0HSCKNkeeE22YeHfowXgXLppWfM2s3mj/sq95OBcwaLuSsAyQhT8sl9f79
3F+sq9uZAAhObZYp5rTLUr5LwwWh8s2el/nX37fnrWBYHdHcZPif70xInF0Pt/WXPoIdfjHbjxF1
YQ4HcDillWUXxvsQhTTdt2hI8ARt7D41VsOwjsK9WU14lT2PxrOpb0fphRULmlbwTdheLe7UeBhj
3n2W2r2hbBT+L/25AL7Qa3avwJctex+X3qrU1/i7rlvM0Lpoa/FPpl/AKGwrq9pJzYdhDau4Sm0d
q95gwmtF/YNt9EY2HoTGPJYdKkr1SIndNTUToFDl41bsKiXY73K+LJPspNW2g5oqFZQedSeAiA63
AVbKOjC4WukV89/mCgP2Q2kB8h4BgmNpzai80yQXiIH0dkG74l42hOMlqkRPE56K6k9lSDS0+ZPl
j5aBIXXmysF9EW6DTN4FY+xNynlZ9gib7aJ2sGsFL4nn/HZQJdArUDOHz1nYy1Fsl9JaTUKvARgG
hA6/8tKtgz/i+I6n+ko10HxKyWfFK9KH3g770RXEo5WvxTFxoUasUwkS5dxAmYbDMMziBoyxP4tY
Ggp/xnw6z0TduvisxW3atWvFfBuvylu4SGrkabS8Evk5r3bW+CcWN238JJcAwXIA9lHkzMJxMge/
TbSnNrikaPibJr9oMKhnNrBFKzscPfwQHMBkjtZ/jmXlFF3FzKLsi9rZguQbK8c6W1YCYWk1zp4U
Wl4Wio5mgBYnGglBY+MVznN/pMlBrSQf7LJdMf0gTZVjxoujGvdUzagYrdrJ9AMoN32c2RZ9Olne
NU26GtI/Rh0f1QX7LKY5R+W44IBotpqNFnOlWO/Z5KM/dgDX+UskrYw+dzlIUYO0ooPNueom6r0m
n1vrIZwehmQ/ZOcB0B5/7K7/XROudpJ2XeMs+VilR/694N+HB8uH51V7dE4by7VTsNHUzfOxo3bu
t3KzkrlnD5CA0KFE9O/0Yw6iQ37p5hpVDYG4+DTl1zb9UOCrmv4QvM7Bq9R/Ai6DVeunWN/FRm4D
cz1kiZtkh2B5C+R1oqETzu1wOE/ZqcqOcrYhnbYFXqhkwfOBTi46wXjI80MTu6N4AYiy0plkqYVj
gJYiiSpXnE/UcWBx1+vaDJ02fxmSgvOFSSmyi+YtTzZF3xyCbMaoEGqUXHhdjbiCoZdIsNZmMa1z
9YQg2O6EozYcRr0Da++OOSPV+bupPRRz6Rht5sxN/zBhXSZTk8Al70Ce5HbSKQ954HbbLKCP0+el
3Gjd5IFx6+HE62G9irVtAyRWZZEKqQWJAdW0FKysa2O29nD7X+EZbwPsaHG1lwZe+ZikmMVblEYQ
mCyTbcqtU5vQJ9JVzJ6Ksv5gxUCFToZ4zk102Q6CdHpiUh/hnfBuNHeSPO1DVb5MGSoUkMhC+gT7
ApLsSijo7XJPN4v7tIvXViM42Ee4GKQWAv1hVLhZf8mr31Dmz7qpbQGbrQAvw+O4BCbc8RQGgYBJ
CA2SqVVQmkNQyjXuoz2shwdAOeAlVNeoX/UmZbIV/XkFlDycHjOKKX3ZOIl0jy/vSgNa2ViPfYsG
ir0HdcaxgA8a5jHlDVj5e4zVelgbdlLl+KEzaYnTR88ws6LtdZT+ZfOoSujy2ng9wUxi7twYHOYN
EFqlTqM8Wfp9ID/1cXOUsZ4MmXe8ckBkpYKmXrhV+xYO1F2K9qURp1/SlV1lCYep5RCAhnz1zrRL
PV8FTb9ORNCoSrdpuDENKTMIYvVaIoHPpnolIpLoM82pzKt3U+qp7cNcFyurD7zpSgiCwgr9z0vm
TZt1uyqDi+J1AiVi3S+m+2VgLDVxi36XtS+jeurrJ11mgP8OtCQlVKHaaiQ8/I3JygEkvxXR3cgK
qgOL69vVMjZfJUjqU+UksWLk/j4s6cnLoacPftS4ZnlKRgpVT0l8r7JZogKQRbANZGtHcwyEBlzl
9G0qqy3B2mLmTFDAgsGJIPt3K/EySLKfcPINyqNiXJYWsWXmZCOTZ/UzaMFVb6X8pM0YHsqidMGO
U1aLXEOeHmLlrWi2cJ1WSlQ5uUA1jvEyVFo40ArjW1v91uSN0pL0VZtSu6vCD2kBVIzKaRrXSb3u
sl9St014pDLcIpba6DA4CiYYAMEHycM4+8IAlSB4QkEklcBeVXlVVZ5ooL2KPyaG7KzxTmudsL23
6pfG9PLpJICbkuNN110o9nCEZvP4sajSamgSVxYEP1tYRa869CDuUpEEUXc2tgMhNqkwVEg2csJU
9aEoJFwVSpKvZh2CJspLL5uPJajnuiB6RU4rnaW09AvcYOt28QID2/4wdGPtzDDgJguPCxXsrF2P
wh8dD0NEO2LJ7pcofALQLK83Iw2HvpABv6KY7QpQ0DXeLDCjgrZ76Dnk27s89ebwpCrOlO4jxiyN
2BcVn8MY7ZidwtwFVitK76K4nuSdpj4u/UlSn6TsrEA+GIy7WkDAxQBzD65UPg2m6YH0HPHBSDgO
x+i5C52mWNNKwtThEg+PAmdfY+Kk3lX4HwMi73R+BqMfVhGeQkDpeiLsmu49HAQ2proah2Yj94GT
ICwrRXewSMiGtVH2BzNrV00HKNgkL1jqk9wEGQv6mOX0Icha8jR1sBe2w25DeD4a1a4nOpVVZcch
xFKr9YUR/Lwxkmphq1pcCUvEleoeHouXDodkbH2rEHDI61dg4pkjO0cUryDurFvavnH0Kc6HVN7l
5R+sIgXpnEXbrr8Pcpjo9Wu3BG7YnuOaGDwdqvhpia+kh8YxFbejbK3Gr23+nICZGbGb672e+Roz
JYKFHO994hl4tZSjSAD/bJI1g0o2tAsWkeG03GEWIsD0bFkPmbFeuiNIS6eONT/rd6WVH6VqPKYh
Oi2MgaD07Gs8xTr09kLM+aJPBjejP0wu+1PZXqoaqngQOPGS+dFQfXRTvZ561+CXDqzGLoN6n48Q
2MU7kkNCgemhttGzdzkHJxjHztwJTlu2niQ/oP5ZFWFqL+Z+0H7JkN/h5/SFcm4DeTWwh9ou3XW8
Ap0bRiz4ejLgJ+0XYuUV6Qc4TABfE/V9w1VMahAsYoUMu1Yi+K6aI8+/BA44HTfgvjnO4XtJMi3i
UGFE64W3XMAlibTl1GuiW6jqdQNYUb8OW+vQMeikaL+NpvVSA6aNwFRYUGy6WVwpjQVPPGNnlutM
egNk6OhZRyJgSzCnlVWgyW7TxZ4U6+7QrpumdqaMYULh6oWxTXtg2/19on/q6jnQL2l+JgHt2hZC
+ugu6c4KkZdItV0ma0xibB00trz0xHemUfJDJmmAoKNVrmsHtUydtiY3LOV1XkEsWXK/zDjY6sxv
a8bBwHXrSWnLhOdO5a31kFM01R+036OF199M42EwqmfFOCrTYzW/kDOsB3F8AwbBj1d2IbBQ5lII
biP6rY+58sVQcxNKsYt+nIBcSTLpfM9iJC2v6uEc5xnM8btibB1Tq9gYnS2QUPUwqikacSGYfMl4
jnLFW/piPxRQbaIJe6f6rsGtMmqks6px5IwQyut0JysFdwHDDZMd/KyAWgR8OrsdTLvOMQnTVSrC
JbA9shug7G1s2Ia4qRuyxZQPyHkpTetoqbcYE67S1XnuT3VVeFXawokDX2VGa2TktoD7hcmHGugz
kgqjaH2hyWeulSrdDxh+K7zmRVj2VoF+TNVeMwJqg72ORFK0yJ8dg356YKysMt+040aD/14zQTRZ
ZPgY0cha5ir5dIHL4xdsTrMcMGG5sgSX1ZRGZ1OaDkuH+YaiiXZX/NaN8iTHu6Z8b5XA1U2Zw2t0
9LldGy0q/ejYlsw4mbsKQicm1C5OetxtmXMrfayNV8HnEMRO0D31urUW68LDvnynWFt+j0x6jrTI
j2bPmlxFmdwA2yHgNHNu/kkGrHKswk2NyYlCp7pOTO/7sfNKsEfGyVB4cKb6ihGhet8fawgw+ngB
neN31IBK0VzhxOdNsXzXVPm+7hBENkhYTS6OlSPrEc2xx44rYqg/hZCea8TxZI5JGLhAfF0gmoyr
jpvBrD8NvMFXY0doM/r2UFX3uLesdPmuL+NfuRqdZyINU5BF7cdLDCRwn+f4Ik/74kpSlLADl4ja
cTsVmxxjmU4pj5a505gTw2AH+FHBzFaJOtlcB9WlbQ7jFVdtvsTWL4z5qlWFkWcaRxxp3IDiDgk/
URxPYKWXjqNJnWdpQluC/iqJpQMk9jDiMWBIisPe8qvlsWBaEnqpp4332Ci6lYlVeVA+jNr0IOLf
3UOVpOnDYKPfSn6m8gMXYZVO896CuD2MhgcrAqGA3Y+BW0dgq5MHmHIOdBQ409wnuEiOyWKPbMEp
KNx+eTJaUoJctXNdX1uJxIFuCX6BCBLk/Crt8N5vprOlcLpKUufUWvC0NKmda9FxUa+g7Y2Ypmer
/jRrdaUywNkqk7MwnrygNZ8mGJVcFmazParzw6KcijHYLZ3syhX7UdtZwd3CpTyKOj+wuAWHtSN3
qg1nxi8iA/zEsK9K9VPFlR6X/ro8d4pnFMdQ2uIJDXL2VY6fhuhugDppdXviFmr2Jj7UCWWNukcJ
7elY6+vi/CBEoHkD2YY2dKbNRf5QwZSvfH227pQkWgeztenS8KDmo6eF8u+UDFUfov1oPM1QP62I
jMHKKcEsK4ipnpUDcWM0tkgJHrrgK1a0FZFitQPIO/zgyMtANJDXKQoOPJD+Ku4SNHk9PRB2gX5U
uGm0Bs3k8aE3Fvg0XPuNRfFD5TDoDOBevezLaZXpjStb5UozKxsC2EpWpVMsRIeRlvEoOiqjYAKZ
Th4yoyQ7ggxoYNbfJvMTHvquhiQqxb+6In6kK3OiKoJ5g7QtIk64rDeOpto8tF3gI7fjtnA2y/JU
RXfJdLleTO2cZDjuFDsZD1lBg9mAXDbOtql2pGcL96JdqDfHKuAYWN6xRYRorqzkQgCr/ZZQUxzZ
RdSN0ONmES3yAVglHeLircwYW79WcqJL17wnlGt0VSUzy5w6/IR+QV0rtFv2WotR/ay8TwgjZbq+
uvURGNG9ObCCZ1/rzTUE1ZVVK/soVZxKB2hzHaVp3CjXAAO6DU9mjJ+loYOSNtZadaTiaEt89ViJ
+6G5jgpjpWeDDbvN0ym9qYPKBZ89ARagM5nRnq6BZ6OE7Rq3Iq17DnQItNrnQuDsGPlMgvCYC8M6
JGnNFO4TUooCObHlOPucKoBlAM0M9e5aFpE4x0a1u0/ktVkfaboxBYO1WfEnrt+tNtjFYudLNeeO
NMPBzF0j+xQWX8s1T4YQbSr+FFl2tDS+yKpNFPLPSVtrZA/cjSVw6NG8EPNEZVMbJvfa0knycJ1n
w7mw3gqpP5ZUozRNWfUDuXoowvbMVh3jrS0ohth4yZetaDwPSHRC4U85nylrzOa95qTuGP9uZHNv
URVKjSO0Sg8UOhluypT3m6y9gwwbqbQ367Er/Fb1WmaRhfSQkskN7UtSbEqKGGrvauIhiLtVhyx2
jH6B3WOF6auKzQTG1luWz4mEZeF2OWHGrbT7VBrdmgJxgqmSxrgT9TVk2+MpH4XnBmPLPi2OCXG6
zoAn5NkmqplosZaVlCBHq+6KYXJSOG0l99JlcnJu2mi/9+Fg7o1IWYMa5pAOAQK+5V2/E4NTFcdM
4p/K0HSEGrqa9a62Kq5Z8SGhdSHyvKGo8/aHTaemJ0GryYw/c3Owu2Bwh5rsr2yddBicIYzh+gSU
Kx+DJVhbpm/S49Kh+sRGtsubp6oIbGshtyq1XW8yUiNSye2u90jtUEfz1mpt5gLsxkCbDmpUyJCW
tLk9o1O3UnVfTQTxK+wzat2ynCg1SQw/jHZOVjDVKhU7hKgAV+qBBVhLzL0wqUzm1JRgxoonI7xa
0yencDZcUSNq6Jaj1YGTVyN/tXeipLYjedyPJgslT/fhfJzk7JLU0Cqngkl7glgieKoU+0MZUAdg
th+seUqoaow3A0Bfjf5FZbnIImmIEPNpxA39uWMuSxKku1q1njRcXahOPDKla+P1fqgX6zEtxo3a
SodOHQ7Qm33wtb5IZVsWNnmG7T4FyOtfT1SBbLxwjQlk8CBsOA7luYm4Y5KOhcOhm39NF7NTdl3X
vcojUhSZW2gfjF4oB5R0S415YOE+6imxNSooaYoj0A3PYgMZfAGoO+p4MhhDvB7n5kO0Kj+XF6cW
GdnL1W0uCW5XQvgb87clUHcacoNZA12SunKchkxAMfwvhs5cvk4touh6PsqB5BTDvsSkY3pVDGh3
wYMWvoSNte2rdIe33Wu0ELmt0W+W2dYSNoj+bA7gbqTPeniu4XOokeEuAhCdLnCjtHJzeTy1TTat
DD26cClBHeAMBRd16yXqzO0YFe/TiHRXLw9zrW2ktMFRAg7mKjE6WlL0obgIjQSiNEEHP7K+YCir
oL3rvSCNe6XhHc/34bw3BcDefGXrNsoj4JyPieGWOmm+BVJVNPGqAILpqFoDzAXkYt3caXi49UIS
kkTB+Q6OlzpePivVr5oKlIpA9a3lnmE1nTdy74+sR7G5GEl5J9S1a6Xytmhn6te112LrEyqooaZ7
i3S1ra1tU8nczVhh5mBhGFSt9PhtbO9zCheBJW/FzqCyWQM6bjRypqV0BPWYpJvQVDEnUlkATbmW
5Tt1OUZo8c1xdEogDa6S1Rly6osWMsYyFO8Aye0p7b3IkmmC9d71z8BiPIVeVc1/djQJrn++zooG
JbRjksFRMlcVY2pdXFzvPbgl8cF5L5EiZnhKqlc99kbErkWp9x0JQ7tAXZX7laBF1FK1zykocRfC
iqbNTVsHarnoZ8YZnZS2Trobc4owDan0pDT3bWn409isRrrOwSR6YU/9yTqFseKIiF56sba7ub8H
5fJeWcwfQATu87eAluv0qTUPRvCx9ByTguF1WuXXKuVgvD6G6rdRPdTGNrcGztzWbcbDFBVe28eu
0p90U/AM/nq1/OF27A5ate3b3m8t1cHslRkKa0UCsOt6OFIHOMF+OL8V8ybSdrmcr/Jib+lPtdi6
1SgBABcdgapBIrqmyKymJAPpNBjNfwdJTDbLYUmPTbbIw0sKxjOzFBKqLynyY6F5iQf5CZ5qxnYc
fUpfl9zcCtU6NUJ37DaztryLpJ3N1GE0xQBkuAnGdVDX6x5+6VSIXhRTpep7L5A0T2QjzLzsPvo9
pcV73ObssCvUcuSo/W3Ok11O5lOsYDNpGek9sGhbShHTC+jPrhxXDGG8MJXIrbfDuOPY2LDA/a4R
N41EHEiHT50oVbbVepEeQtAlOs9f8/bnuKfEGBjObKrvXQeEXYnvrBA28cAZDbtdI0XpNsBE18Vg
5o4hqs603AEKkmyLct80zW6hxHtcW+5gxuzHNt2b+rKOYnkTCOJaLExudeo+ios7CSFX17V+wJ1g
yFWvToe1OkAeoW0hZYdQeUzn5zL5sJKPZHwPOQIkvE3Sfae8lyOl9u4UasdRvxu4s4HHlUMqkRRM
BCFz0+UjaZ+t+TntPyfGrYr5qA5ravjIBEXTo4KqRDDBU8YUDtf2dSOFjGCeaShKDchg4RzKdyZV
GUvcCN12Gu/S5hBWRzU7SNEhlg7i/DHJVz/ve5YhMOLU6wXhDlPQgtC0iImdBQwmp+P8EjHY2RrH
QTtl1xPwoY7Sy6xzIa1zN6sHm5fxuyw/Gs2rFOSNLSfu5E6B5U6xTSQycXCJ7nXyXY0ifBHh8Rk6
tQKzGGkKBoFbQ+UCxqwslOTseL1eztY5FU5NT/WoOAiBclmUZq9xpIXwicc1tuS03vxWY2yY7H85
a+MmyD8xKUVuse9FaMfhWlHYUOMhSdxWeJrix2YCSL2lVFDgGpWOV5+adidrfqVYTl7OW67/mXn9
vne9oRyF+Nh2J03FuoRuL820kOrlbky3RW8qr8ki+0wX7bLyTZ6svdJf1HbCi7kQcaOx3vuyP2mQ
Bh1reNfEpy6SPG5aXmjFEA/BXXUQSH8R8++W0FqrgnK42uNk/Z0ZPec9wvb+UYifcvpF3b1ZOUll
btVoa5Kar1XjtzDea69FshGa1m1n1W/Fo5SfGOWnrWG3vjkgNw3dMMCwp1Ue5lyyM+IxnGfW7VHJ
hrsYoHsbuRik+5kcvOpArYkIUHFh6dgLDQMufma8Kgy/2XCdyXXV7s37Xsg2AmDzXOQHVZCZHlBK
uv/H2XktR45lWfZX2up5UH2hLgCz7npwrahVkC8wksGA1hpf38uZOT0ZSJI+xbeKYtIdBHDVOXuv
LRqqkspN7v1MvOTVKTLS6Z2D0L291MaDltN6rip9XlhoewGwxuzDncBemkzfQbGSNB9JQgmoAtxE
HEmJHCeUmQid2m6WpY9uydcXWntHLiCc4Iqe817Ur1rZrdBNzTRKHzGFDDMRi1pVbvr8J/aroqKW
kfOTNLxruuzGbm5UoSy/pVOYMsIM36vKpkMoSCCvktK/P8Ee+0T/8E4JeH2+DlKPwE/1/4R9krH+
8bl2tSqcs9z6njJ+igUTQSAyc+BzQxqZzUZ8UzCpTSRIKRFmWm6jABtKYNI8ohMCsM8MflMgmJcU
el8TQ7+PdLkNg6dWaZeqVFlj6chqxrqPirkXa6vEebPd/ib2q1lO/dVzyoWH5T19kVF04lo+eyYT
VRIufzMmWhm1mElrahF981FP1EFt1Ek7yngkIjkfaGXRAP/euzlRE9qjdNogSXAMqYsmXAanBD+f
SEOn+J1AL+3I1fA3s9ikZrLW7XOO7TM3Hk+Ifz4BVJtTAk8gvFppA6WDYkq5rpg3Y732cvbYNMdb
dWuFYtYrZBDq+pYT4z4wzaWhPbikgpfjRerQW2mZh6mMqG52Lsr2ok5OODU+vbSJszduo1H4Horj
hKo3cbF41TewB7w8P0TNT3rQ26LZpPUdah9DnuUg1CUUC6WwwDhEs5gzBCchUgEPbnKrmd+0705x
PzyOjGKCA6Y2WVBzJin1W6+QOhEyFnbSVASvIxulNTtob833uOymOpkvuqzMrHLkg421Us/I8Pne
9U7kiFYXqYbiSJCN2lzoHEMX3/vcydC3SiMquqDkcgdt4aE+NCmDfO+jJ8OfRDwtHRuciGm9F/Eq
6L830095Pj5xAqnXDsNefR0fsp9fX6z+iZ7wHez/l3VJDTTFMgeL6dhAnYXMozWPNFrKJ/0Y0LiO
L4JEZwvoXjnKsWcNGKSkv9jFh9x4pAWhKAcj3AXsJvKQWCzN2NKJWEUk5Rbjz7QFK9v158fufCCc
dav+EO5zW1w7mlhL5db3WgRRO3WU4IcZTIl6/fWfdRy8Hwg0p+wgSwt9VaPiv4+7mwFWSVe2ZDFU
3aOeF89Bzp/ou/33XtEp52eIzETGBa+SFV6M5cqy77/+Gz5ZnaZIHj01mlQ1AmZ775CFx7PC15/7
yWw/5R5Ko8lhbXJvWiVjIiaFUXEpLNkkgJ8CxL57kT+6/5PZoA2FLgqTMRBq/nxMr9LsIIzbrH2q
Y4cqo0sDedvqhyo7WPFTWl2wrGfpQ6EoCN2iGVVMStfxPCtek/bJUW5c6yHQHolXlwMFWxI1SEKv
jl1LBcyOR2kni1dZ8abTJyUJW2o5y/ldEN2bwQIt88ymZRM6axX4klX489o605q11V0K6ojiJQiv
TPXVGR+pPs9b/0LtL0d5zGK7TErnXCn3fXgeZMgOsoIm41NOfUcW5aWX6ugiUfB41+AM7XIkYze7
6Q2xyJP71t0V6LOdndeccH1/pgmfoh4lprA6bGASHdkcHAYRPtGqga059BT6JeJHZ256Kokb2SLn
JGxQfHc8/1v4OVNM5suqdzKlw+i174szz910p6TUn73kk8lSyzzDV9AP7Jtf9m1+Yk3/bFITk43S
ECiZ3RbI9dP2wSReFCko5bE51C3Dw/lbUY5rylXvqQt1kDMhRhKm6Uh41iKvtn605bTf1WszHiga
crPpalimduZl4w8RVBeOkaI2kFd26i8gC65Vist9ILfeuEk8fe4nwWGgnhzph4RslkA/5ez+7F5N
/J+1EXfpGKnsCXYQCLrvUWiMKUarrehmlz4fG5zTjQtOEVOOQ/3vU4AxZWgdsedRkvDGuCZtuZ8Y
Jzay/N5aaEzDO4Oqa8oC9tw+GGEwLJPwxEb1s4uebI9UJcFxnfO5vpfMnZZKB2KS7nvZicaU1iSI
60hEA7RcfaU7+q3ThjFlK1WKllZxj1fE+uHeypev14iPXzXDmQz3SHqV0iLTObJJqnBRfe/EZTiT
4S67KnO74x0Yf4znp0gfHy9ohjMZ7UljO47hJuzlnGJdOujR0SBZApmEXS++dz8mQ88ImVC6WO/3
2VOzSN++9aFTWFEIjVkENi9b+aOwllRxvvexkwNNUgaWIzL2iagYaXM5J9gMn9xle2Kt0kyvVDpN
4winNxsLAXDi5XOr0td6fArA+9lXTEZfpMHWtFHiwpWnKfHWyquQoHonOkEu+nira9iTTUkjQl9X
1Jr5c+gOvdfOnLjb25QzB+0SM8+3tunGFGAUxkYn+whyrpYgM984tbf63nOdjEmtMNpmqFQ89ffe
rfK9F9ueDkgjo2EraBGYqrulqI+n/eur/WQmtSeDUroe6M3jaSWINhEiJ/ZXmZ8uv/7wT6YnezIc
NYdI4QS347Fa27XbQf/e3ZiyiPIhNKmMc4urajUc9eKzr6/3kzdviiICYVBo8MMGIuEQBdeA6yM0
c1fFEC5dYzzxJZ+MnikXSJOR7dUhX0JZ9KjroL9goPrSq+8tNFNAkG6SF+JVMB1kUQUzaaiLDLnh
1zfokwdqTYamZ9pq1Ng8UNOFBgf54cSu+bPPPf7/fznd2vDEk2HgmjVz0b0q4frry33/mz/Y3EyT
PI26M53I6fq9wBM2wAQM0aT13iGEzqr0P0evRfGIr6jCqzEUC6UXWLi2Es2l0GaSdlacoea6kJqN
ABibR+Gvw1yn6Zmsu/HOSIdjp3/v29ocseSRDqrn/p2TGEt7kOtspCqrr1XZLiiYzQ0QGm76cnRH
KJFAqvA0csgizeEgAfb1Y7w3RI1U86ZC2h1I+ufQZBPrmRb9UuWU5VHqk7Rc/Dhdj3G/1epyWcP3
s9OFMspD7A1bJ+THzZtJM7W+G1Vv5eNMapPLCp6/a1zbGsqERMOPegfADnXBy9e32bSOs8VH93ky
PWEVVlX2ph3k7hqv7b3b35nojRQElJl9kw3cH/epC5W15ujbwalXdVTuhkrSw9hZ9UBfvtsk1lnq
Qi5Hn2pALu8dWuX5rLV/HqsSUbYrLcxEWrY+Ikh6fRkhA/DEDqng2jMw7PDTYbwoop+h9oz1AYfD
bUrjMDU2I73nvln1BjqW0QNvuOiKZBGg8w661wzfFwijuVFVsxixsNX3+IA2hhquIrobI6KkmEa9
+ZPUaNnt9eaxjZ11Yndr06dIgkJ7eMm0l5Ckkr7bhugy1Is6XikOuht6toU6L/Ntr/2iTD/vZHMX
VelFrtT7IaKp1NKpxKRc6dm8RFLmojGJdBiw3f1QoZRuLwck817CnQjPLXpyGNTQSEFBC8DuK811
5RdowIxN7BvzflCusxrN57OqDrOGw2buZ6tojO578r/j4D4b+2VW7nW5ygS9eniOjVouLH7YJfcj
Ucid2V0pOMgLg1/WghaFrCIWOoLxZtBmDINcnsPBmvX5Rub1rKyuCNCYp0Gz1I3XuDiYg7kIZTrX
O/UhrQpsimjSuao20F8kGHeipjaBA3W9a5uVGEm2xpOS+NV1X+RH9ZduVtdDWy9snBSNpizQbaz7
4BLdtJWkyxhAuaWo8y5oty0qfM+K58RKjjmxE/64VTBYGecE7C1i5OiOGRGUYc9VLsHkqwuULK2H
FOvYYFxqhrsw3HKrutWq7SSkU2enYvV03B5PVbL0rXrT0GurA38ZI1aIyn5dyF91666CwNmksDU1
X39NPaTTGLQ8GrR2IpYy0BZpfDOU+hERM5cKaN8yPo+1n4F1OWBloEg6pxyCNNUhPy+Z21azrX1z
Phx9h6OLmOhH7ORX9giTiQ6KOVPwIyjKmRPWZzmN36JfJsaPgfjdMThY4O+aDQehS+plF/bYHVTn
WvXfeg+3pookIUfZbmbz3rgVXbdzojUVJfqi7tpEb8FXz3pvRZfOcuTcQYOOLMipiHA461SBXCxF
hFksu3i8bWwMQQWyUWHMUp6YkT6U/YPgTUQa1dMkcFt3nrgZUqlkVnnKvBxgkBD7MjrWTO8e4B5X
gT+PeiwmCcrUMVl1+k4gc5C1j5yNrmWO2jfGBPCcRTq2wm0R6jPf0slJBPOX4GwsD8HQr6BAgR5c
htFNlNgIB95a3Z6RUKNWOyXFnE6dqG954K2c6/CCdHFt4rrGuAM+XAOfVZlPVZasfLoZdnibDNeV
QGDuOXMeBhqrvYZj2EnR2zu8xxQj6+hBSUrIRDpeDG0Td/aVZzo3rbVHvpUge86DXQfRPO9XspRn
DRO0Vf1QYjyBEV7RoFqIHFhzyNYK4hZtE9SzsR8t4/pHbzI+G2Q6JI60+hvExrkmMGANxiI3nwvU
rXV/X/fpWgQWvderyAabaW8QB6l1NG98siOP5sc22mXjhcoSpgYPVYMqPnx2pLHJc4ncsNw4lqA6
184yrJyx2c4UwaDD8HMhk6ss4jXuzZmNrl84m8E5cy3i2ioLYnQ2b+s7W0W9icZ+kUX+mwjjneff
JPTXGUvHBbEzEUBZD0aXMkWmy7H2Hly6XTWy4MRJzqT3ZHtI4XnhavRzHfkwswHRUM4QFfZ9iNIj
JUIni8ZLWYi7BE38kGAv7lPm5dB5ShRmRL+PynXcy4Ws+3lpUns2y+yxbOW2FQdEqT60GBgPWIch
kMp0pQf7un1Ry7MgPtPEo931qzBjVe5pSlZHZG631wyW/Z9DXWyrXF9H4TVaw+XgpmecAOYGz400
mDK6MXOYzNgAawd9bU3zyE02quWcldpZW74UdOS9bl4Dr5c1HEMvXw721iz7WWHd1fYTtaVFGLSL
Qt6byS9d3rThI7lhCwMricemo0lfLHwMI8k7WmVdleFlXhGX4t2E5X0SrBhR687l08w4OPOi4bIj
EyxQdlFnoaVjBkaDC1t1TscFIx6qpiis8ATbuyoV8y5BPJBU4bIJr92s3rcpPg20OBKZd4F2U7Iz
4TAlHefRHa5FlKLDRcDi+bfeeMNlLASiI2G3L3rrHkpxpRh3XbCuqQljpeqDbhsrO8ulJuycRbSQ
ckTsR1xKMlivTcaK075lePOCIV4lTX+oLaxuDuO3+OE66rb36bJWKDsVXtZYCPwy7sykSXeMtFWC
nq1wx0bt2mxOEfQ+YVoY0yBmn/BEF0NMt3eG87pSFwFzc1XiDC9+GV24Ttla1QhdgjIlBAo7O/4B
0n+XnlTmnY/3Lfg1asl15LK4uTdlkiwS02Ofpy0yhmeYUXe0t3XTIrrC8B7U89JXNmWToQp38Gre
ODHK0DRbyRpRFcLgr7dcxjut56Mt1+TgltV+E+V+S6W3Ra8Y43oHXlNc+VqzqZRiETAZ4zTedPq6
yMeDrT6W9k80sDMtlgsra2f+iPcSI1aOyqMPTRzZFySMzEZsEd2IgVRZFkazR1YY9FdhHi9zkPMy
umxSTKuhtq+OWsKcDSqtvtrAFW/l8zi9jdSrGvDBWHcLO9OXwh0WnFV/JphQnWhcBR5UKpoGwxWB
6asMI2ew7fCJBfWliYpJH8ggEnctaEYLM0nonsX+K1JaM293nbwOWafCLl16nCXtxjoLIxRpVPNd
dlYY2OgzZBExiR3W6WoHKUidJUWApXxVYrnv6E6XiIKYDsbyaSz2MH/YCWFXtrIHoYC+ppR4xNA2
ysEsvOuaiWvACdBXK6c4c8zzslzUwZWWjRsRbgeee4Wby/VQFSvZRte8OeI09gU7N1+78VbrqrmU
/mJkOjMt9JyYLWwDcbaaLw37ImVSFkUz0+qMWRzJJ0Yi/dlorrvk2sd/RhU2O5aqg6scoRzEDKd0
VkHEBtReKxKfmi4OQXw+Kk8sGSgyu4XOzilvr4eQPqm3Eu7ZyOJZFjf2aC88ba30s+7aqs6Kfpy5
x16L2HvjlZbeWuqlGZVLwo5nBk3yoDlrrB8Vvsx42zOtSbbL6ARm77p4eAIRz30MnmxgExG2/+rG
7e6FuPK9l7bcB+GDi7c64F1IeP908zz3XpwSLxUfHN5mZXBMvGavwYRrY92npUW+guvZlz4unN5C
t0wQ2rLBiFgm4raPrzL66hbJAwhtl3aibR1NXdnSvSaUexk5e4Iw7Khc5Tnye0071Jm/TTn9uEjE
s1iinOLxOAPtguI+q54S96YK7tTE2WESAgio37p980MR+T5mSGfW6yj7q5bsT5IXiHlbpASfVdSf
muzWqJkhBEYGP9u5qD/1gBuAWzpQvBsEXvMKm2grWASGqyxxiSrrZ617PpDemaN0K55d9brVslmJ
EcOx4BcYdyaA2iTALSuig5HftfG66X+E0bDImh24smNQKNtWVFgGE6Oqn6UMRT2/InV4xiDDA4+P
megGBvuzGl43bC8ET9+5w99F7kjdPZfuXqcrrF1SLmG7v9QQEtfjmWkcgrZf27azgABSi/3A+pEY
TyFOh965N+w3lUg/GWRLr82uLcO7SzFrB2BGYKDUYOAXjYs03mcFijh/erC91/yfagzUYfDXifrq
1sPS7tkGoAqfl8bG8NdDV+Bk36s0MWPJ2bd6iMIMQ3SEbq7B1A6Goa3ubKXai4zQmMKvOTNLdzOy
vc6a6ocPIFs6DR4sf204gAzoEkk8iG2NzjOplx6ug8oobmXjbGHqn3e4+q0BVWu8SCT4NBXjnerM
OyJ2wuNRvGMrhPu/kZcm5n/fPT+6aICnuPaq7h16c0zjHm5lwALJ6K8wNBWcAbrjZo5YPUfpVz5y
39TrFzamCavaBeKgZfc9BTQ9HjCKjPPIZUeOl0OV9nU+khNyfJ7OsE7bTdVuj4uQFhe/AiPehK4+
x3I+t0sMEcbNQAkhodqkYMkaY2+B4QNkxTZokEHLTd/vqtC+sIwEY21wputAcmNEhUW99L11CHTF
rpJrVzXWNU4Yr2zOXUPfwU1bDz7SqY6wt7LfjIa9tRqxr2LeR2YkGxBzZz4q2H7clAmquvYQ+Jfl
U1u6KytB33xLZk8+uIchtW7iqNuoNspDQDgnlrNP6geTQiHOJW4Gnun9gLEQX7Rfvn39we/KpQ+W
ySmquFNb2Rla0e/tpr5jMjt3wfT0kn2oDhiCjKiB/b+dIPq038A1sAeRc8xl+1FRL6Le3opqvPft
X6HjnTvur68v6pOa65RwXI5OgX5egg2LjVnEJugoUe7y7ER19F3L89HfPGkBGJHdtkVMSy8X+qIe
xV3n7VKNqKLuV6DceI1KY36rdiiN613HmtgM4XlsnRcn43ff89Q+uoJJhwBAeSZ5B/kLqaOMOOy1
IcEPUixRku3czsF1QcpkdtGToxDgdK5YqxKNVSY91PkeqWsPVcHWxPdq/XJStvQxggURjfG9r6zV
7m4MTtQXWV0/fnHlpHBpyRT/BuvVHvP9rCBjl2ocvsQN0ogbDs+YQ9I9GyCiPOJ5Stc/DV6LGFC9
uhBjdZOxooy+sSgwqbEWLA2s0j2+hTjl+HvV5o+6Z6xM2ayM0dj5ebv0lUcDhXim2xdO9qPL2/ng
BcskuS9Ga95FuOHybVUd3OE+rYsFdCMHR6xaX5RhOE+AipQUmgv3Urd3NrMpc9o8lwecf0XxEImG
8hpsG8KEegxlzO5VhiEoGudW/ggqJHZxs+3qFiK3WKACaRKLzSM2eaV+8JkoexxHfZYcKwlzV6lm
R8pA0eTsKp4jn81ihFAXgEZc4wz17bNa9lvFQNF/JHUs7fjgiCUmVmPErlic+9m2Gty5SYlQow7R
68kmBMQVcSzIasz06tbIoxlANzyq2XAX1tmibPyt5diQth4tnW17sI2KXU6JjailwHse+19p5u1z
jD6Fj34aFyOEFk1fm93BAVedkWtAi+wwjsF5GQSsxuzbWVU7NWSsJAuvxwHeYWf01u7KM1VoUxaP
Gutr/xga2lma/dKzYhPbwyJuju7+Xe7fBuX4GHVsfiS+QakuOXLO84AVB5teld620ZkWnSEUBe7k
hitneNETdTmI8Nqq3xz/1dD8Rd4Bj0ssCh8hZ61oVmpi3qcbJb+urXwx6vmvrko3tTJyZnu0jD1C
cuyu9SHR9SU8Ew7yxhyq0qyVyeWImbzDb1S2/arLXApI8QHD23vCuOfHjzbCAj/OyMz9EVEgbo72
SkCK1hhSRrL2iXruj2c1u8dy8O5M5WEIy72Tvlk+rlozWfR6sRzwFTSdc274+q729JdApwKBcMMR
b0qr4z0mVqsywdbmBK0/hPi2oIs1+cqBr5EmxmVoiRN9kE+aOXKyphRR2PLKuB27jpaq4U3v+QvF
RkLi444bTykcPpnLp1xuaK2pBkSo29fRXULMsFkdHGytXy8Un7RFpnhuZ0w5pLCT2mdiE3oE5vXD
qfPjx/OWOVkiLE8NDCq73b6vzpr2hhXgxAd/0t2aMnGlo2ddalEpb8BDtO4IGQyIHGHHqTi1vH3S
bDAns7lppXEVjSYPFidHHtVkCErKZbsQZEkQ3vliPaQ280wwdwz7RLP+s8c8mefTURXWcPyzSv9Z
t447Qzx9IAC+fs6f3bRJy9iOfD8ZG56zZwqSyPe9VmNABULX/fz6C95tBh8syKbGe/CXBlvo1ihp
TZ0VUA7HmXoblMF5lBsvqkeRnmjegJm1Vl+ttud4G58n7g+75EhyTMLDcAdladHkgMO8YRPlnGhF
9uLIZFvjt6R5typbdRmG8T5lN33iij95ynJyT4QcPOHmPa1GHIbSp60gs0MX30T+Y5f/8Poaypr3
OILkMoB+OBFMH0sBaVbPlA5VV461s8KMZGeCltJzqryGQOC/vrbjQ//gZsrJzazcUIUuZ1NLRHfI
IjJQH/z6k83jX/fBR5uTqk7BOVhtDN6EOg0vE3NYF4m3dOpuq8lhnWFLU9R8VmXxAnA9lB9oHGl2
72AQUilqe+nGDrt5KJ/UECVlpu/oNs1cH01qOM+sFy9k5o5uiiOohLKmqrLNIBNU4BDuYEF5FTgt
AdLNjTaVXS91/zFynyMzX+KP2+RDdJ8N/SZCbhwHlzrN/JSY1cZ5cl1jXjnrNAD9MPYvRm9ckxpN
lUA/cVc+Gx6TmXyIHN8rQPLv1TijCBLPe4DBhL3Ryf1Tv/6fv+XrVv/6L/79muVDGXh+Pfnnv86C
1zKrsl/1fx1/7X//s99/6V/nzy3G92z63/z2K3zyn9+8eK6ff/sHvrKgHq6at3K4xo8e1+8f771l
x//y//eH//H2/im3Q/723/94zZq0Pn4aEM30H3/+aPsT19JR6vyff/38P394/pzwe3P4OHXw/Lff
eHuuan7Z+adhWJp0DN2RDv+Dh9K9vf9E/6dhO2i2pG7qKoI23tU0K2v/v/9hyH+ahuSnlmqallQt
RkiVNe8/0v5pCJ1KOedeS6jHH/3fK7v8YwD88Ti4E3/++z/SJrnMgrTGgPX7CLSEpqu24IOkbmmq
o03FTo1pgNhJ6S6lGmXQTCrpwk5LsfrL/fjgW/TfZ/0/vkYKVecWSGnZ0/ND3Gk6VUYD8EegNtdS
q8R9IYVC3dIoyuvGKnJBNS9gYkxrgAyzFrBMybJET5YweUs84AlEcTDgccWIP5QSxocWK3szlcmt
Hw1xQqyzhITk6MI8d7rWDzHHxhD9sqYPs6WutTY5FDr5oYmrqpwsgvAewmHfUFmhPLbwk9q5CTJp
iZnBGgJeMQ33BXZiesVVZF/Yje40J5bC30fj+01xbEnBzRCqYahTg9jgQmmJMzXE/D7SvnbOrdG+
MdI7z+Rd+9/X8YPb/zvM++9fNFnvRz+CkVHxRYXXPAx5BtkVzJEOCbFji8up0aYoUqN0+Pprf983
8j4h/FQlLziiFs20ppIrLwiaVk/B+1RDAvwrczroWsfNsWu5K6OFVauZHEW+/tJ3d8j/m/j/+FaN
Kr9tabq0SHX5faEuhDRcBCtAhfQGpT9GsmUUQ+DqhkS7LKKECb0CPgGzjS6uX9TZGtB+vogZKCeC
wN5Rz79diqnrGsNeUxnIQA4ml1IPkR3LGPBDZTY+p8nGN89MXdM4zuh9QU80Ey0G4cpwzm0PXtnC
qOLkrAhCM9h4qCSSlagbcVBNaA4z3S2HhyDr3GujiJorpckcQi1LVe3mbeTRIDSUQRnWRtgMOQHP
ssbdbyschJsOIYlfZuZ9r+htN0v0UNYAxSzz5TjLiJVIVLWFNGfIAbR7OFznXqumc6macADxzPSr
DHAz2X1tLPqlY1bhky9EVJzYqEzmCE3lbklTarptmbYupkI6U1rEhA2NMktym1OvLYv7wVWGl7zX
TtH+J55MXhK+yzJN21YdxzGdqW4+qfNKsphDNZPUFXKntiU11aY+6EpOkk4NxKO36F9VlibYodBf
T3C+XJkhzYuyzdKYurvSHEydavYg8NlnxEwt+sio/71jwB9XSinZttF+O5o2FaPZVtRHQwbYekiV
bi2lpqDDUmDe4TPMrhDAVPHyxAj627g1dUMzDeFQH5KqOg2CbPwyL+qh9eYF4+vajC37zUXj2T4N
eUmGcxIq4GAL4cebZNAd2JVGMqhzPa3UH3WsQ4ppiePcElkboVRJo8icdWbS3gVgLNK5H7SV9m9t
I9/vEbJ70oaFpFyrTg+qI5qXED0WBf2ouS70CvAHIWgM9K9vzAf3xVQ1aeumKYVhTn1pQ5uRlzTa
zCwkaFzUTQ/ZZNBuSHeoL2MN6mye9/WJqVv9vS72/rcxJmymM8sQtjY9DpqepStaQ3lViEElw8Qd
xnBtOhA157RO80cjH0ZQNJXl6RCk+hjq9yBq1hOph7df//2TvcJx0JjwI8Rx64HvceqnMjBfs5kA
/T/qfJms9WPSbeOeev0+/BrNkI7J7kTwiv0+gSdmbBDGyokqGluxRbWUwf2F2Dr34WCAhfYM46nt
ICHbRPc8tUk5MgEm/mue5cF5FttIAhoM1TPP8rV/q7r+x8Ow2LBZNk9fiKmwmp5lpPs6Dpoi9mvA
6ULZsrPx/v1vkarQpKmpbAtZx36/ATn686yAVj3zCJS8tOjgzbRc0x++fpq/Owbf/xYGN6REIRgy
xnSUWzapZGPPbVZ1P1kpsoqAHOaXIHAoXJWRkWxGt/Pm4E7d7dfffHyAk2WR7SZyFfuY78NU//vf
pwV9a1JvVGZGeGTFBpkfBRyIpXKFqJcGQt1nZ0JK5Yc1dNTuutwLr76+gklh/48/3tA1U5hSZWxN
bZOVV4jGsI9rTQdAK1DSGAoXkuUgkuG1woq5ycvaW1eNjlzLyst9FKrNJlIlvMLYqndq3A1npkeB
tbar8VQm8GRjeBxoDLDjGiVUaanTVJRGzQL25DbNXaukiSJlc+VVGQFzYMvagx2reXlig/7Ry8Ay
eJzX2LX9bZXpUwrWqQ50hWk2mRVJRQBhp2QvtH/juarq1SLQLf1sqOxT8UYfTKpSHo8zmipUjdnl
95eB6DORmJnuzfWmYBdW6ryQeddSKAHOOIsq6S7zqnBPTGUffCsvoM1SYbEvNa1JbQRWTNnGPdDn
QiQBUKbCe+xatKbLUu9gKJtq0ARI4WDcfv3iGR9MbrahqpLRzemOg9/vf27Zl0nXyMKbBwMtRF66
rDqqTTSVpT0tdl6auSbKGZFDD2MXtsubUG93etIov4Z6UJRZR2fT2xStEL8CzQ1B90Werc69CHwS
6gsvBH7mDOMLZuZR2zhNUSEP8to8mUNsLuIlx7CxW6mxbd8Cok8ATPVsfDaq0ZiQ27WjGKJPRpz4
OR/fX3gWIUOzqg3bve6x4wTqacs7ze51wkcUzToPIWsPa62sgOc3KYlms9pqUkpkUCWho/URzhww
qma/bBJaFV/fzncX/2Qq4RCsS5vBbJjSOY6kv1TldEeJG1OANU0crd67XtdBDI5b6Fll5q8bjwQA
0HRiEbRxd1BMA+by0JPC4YTGZoiKbGsPTb7FLuOcF7XQLlq944D59UV+9MgtzbJ0qTK4tOl0PmAo
qlKyWKApSv1SPeptrU6x4xNf88Gsalt8gQ0cTFq827/fCsMp+4HHz+7Lz/NFC3A4WUC185Bq1gLf
rpsNB9XmzLSwaxvEYISy8Rt/qMN5TzWxtYupIajuoiYYBgkRLlTUH6o2VPPQ0U4lo360d+csZTJy
DY0Za1rh4wSXCA7O1BJyU67wimYzVTQmVTcjWQ0m0W8wanNnC95fQ6p7hOoWRxV0NTrbPIi0CKVd
md77GfN2KGDROaoPt2sIycL8+ob8fVZlqBtUPCjSMMlMncyDI6IAMRdvZ3qUrKS6v0xzET7kWQcc
f0DNN3jhQ18LeWKFVY9bhN/HhcFG+Lh755s1+91b/ZdxkYrScTK/IlsqLMxNrHkkULVOthWDZ26c
Ed2NFbRQwY8S0cTzql0oyE8osyZbmKlf/Hscl+Nyy+UYnGC4G+zR3y/3L5eDb8TVRFIoJDuYJQJy
pF3JoJ2iukya5X98jeRYp9vcdINJ9vchIFujxwDRKbNeNsmi6KnMgyuAKqsWLZArNR0vO078j/Qi
3HxeEmeIAu+YJwNayADopKdLQxWQe8u28MU8yOIrctysdVoEsFN976Td44OnhEqUhZdwHI2B+/v1
dlGQZP9D3XntyI1k6/pV5gEOG0EG7W3a8k6mVLohSo7e24in3x9LPbOVWYVK9AHmYqNvpnsgkYwM
s+Jfv+l78IFpqr7ZHAU1vrdGv06cmabM+3Px9YlnA/GJ5UZnuVIcC1Kjwq4MUzE2mtSk2wFXV6g4
ufzUkDj0KakKigtHnVLVvjkP/WUzsH32Fu9VnVWAuxHfxzwM4k+eHTbw6hy2ZysT2K2rTMdbo4jN
xboUF9FM2yVqf2x7IbvDDk8c95RS/jXIsOAxFkgnGAOr4+j8LWU1DxNXKlo4HY6IRCBi7VxPaBSm
ZA5PVFVvTUgb8Me2LIAgNuWjMgMLSsCBgEHH0Uc+DHQfk5VM54aaIxBxkJ1VliEzMj1EMJ1FSejg
TFqUab6Oc6xg18LC4H3jW3ay91wdz1+CPMIsOHfjPr0NmpLUhx6ldbJWjhubZ+9PmDc2L3uZKVx3
AguF0NF5QpKJ6WUD7+6N5nQ/pml6VvkK98Z8bPckX8APh62+eEnb3Ym5+vooY68A63jByxm4o0en
pm6BJiDo4U/XLRkto/7cp0UPS30xV7rvg7y7atPIcX4KOemP82im7eb9zz+KvHvZTIDkJbgs6GXA
WXO4OJWThXM9mryEXSYfJ2zCN1UNpa2dnU9+13Zno/a5MAjZ44xujF/qvEFUhGtB+qmZunmdOgHV
WVjH4kTR88YPA1/UBidj35DcEg5fLFX+KKwIYoLMPfMJ3/zU3XWVZV4no9Hpfd4LwmpwVJIwg2mA
F5/eH5jX5YzNT7qg1rbvmtwZDh+vSIcMOi/hZhhiTsLcKDd4IJ66kLyxTl2L66lPA8RbZuDhU0pf
qZ7OI1ujF0QEkzW4jFdWik7DqAh4+Mef5FocUiAOXuAQKHn4sLQa4e7kFC6tBNWAS20m3E2T4dQe
/MbQAW8yZlIIDudXZgNeljhmtCypMmzO43IYt5nIkxOw8xFT72XmupZjOSagoW1yLzv8HC9PRmUP
yx4X0GRvaz19jgcMFM8T3F2+uoUVW+deZgUblZv5RkdmSo6AEf2wcDuF5tLnz/5ggqb5jverSCL4
ysJNhjV/mVysXyyEaMoT+Yd//iMAd0hug5405XG0IZii4ys5wiOcSapOekzvlahPhUovP+VRYQRG
CFrI7+0CACw/0R+VSF40oB5k9yzhYO66YyvdJ1ZnfpJV7F1RwHYnjoAXS7njBwKZ8TPQ+LLt4/st
9qJGRxVsrLgBlKt6boxHy6IZIEmj2UftDAO6COcr4YoMN8CMIJxs1inCSmlt6iwh2HNyypWT+cWZ
2/kRVg+tBZc8wn7KkFe4Z5fdVdp37T8i+v2eQygYyQhgriJyOppDlq5ms/ZCY1VxTeJC2iZnhhJq
+89/c3qjHC70icj1WIqWP36NuG+Nwcm51Vaa3IsWnenKM9v+xFPe2kscE0iFQ5/VfXyS6ShL7Clc
2jAV/NR2dmtJ9oZMYTUX2Ky+/0lvPcyn+GR+0dtzj5t6s3ZE0eYKIgU+2FcJ1mvnVQeUZFdRcKLK
f2s7YYl70mdD4UQ4+o06ibNb2TC1tENMYGm23XneF/YJrOyNwtH1aZQAPwPW0Zo5/I2yWHmw3dhN
xsTr19T4LbKTnoZx9zB3JblXSXPi93r9XXRmWC6+CfLNFe9oVjhd0tZy4IIXcZNdZfZc3zq98c/4
ZssMd5xA+g4eCi+31aUI+WPuwd0wM9Vxjo0D5nXC8EKCjrTpbU0PHvj7k+KtLwoATtn12Qe4Ax0+
a0jRdhtQKdbck8iu9Ik2iIhMO1GxvYGGAOBJJoS7THbrmNeVqVglVVgSZTZ2xvc2RwJvW3aNab5D
8sZkl19FFqU3UxE3l06qyPvzjH6XpW6zMdvhezaVwYcZbsS1ben0cydK0vfeH4jXq4OfNKAJ79Ji
Ang9quzyEfvqImAydX0Mio7ZTLjy+img/RpaT+8/6/XEBRywLBJBWPM87GjQbScEAjEBRDrh1StZ
0t1TBjEJpWzn5cBrow+Y0mC6+/5j3ygcD5979I1BHw5zVTF9jQjw0mnlc1qjg+RV9MbzC+djTh90
n9raOPdU794GY/ZcZAHm8MrIqt24GASqbKqe338vRphZdngU8WL0cEDL6ErTqjmchYWraCEHBBm5
Im7q+05pw/gkap3nqKcKJ0UMM1oEgEUwDv2OVbhuk9BNN17bp/UiISsDFA2E2JZunZP0GA8N1wEZ
+R9o7aGZ5YfPvT3hdcQwOq0qQQLnlu409j9k9taBsw3qtEJUIrSJTSK4v1z5dZgaax8CHxVzF7TZ
xRho7WxoYVlksvgSiqCjtZlu+jmDCQuiJX7munMfwMK5wuppGu7BpPBaL6O2/D5inN1d9oNTo9By
ajvDvluSucVbKvTfE9P7KvdAODlhl2YtITLlhFleqh6lm+bxNmhNL1lHoa5axskiYDdIUeFYgQ81
BjOACaPxhvXrQyxZXPYC58oLs8jZFPCAYZd5QfzZ85aMkG5o9EQycGB+btqp9C8dBI3dltKMXlYi
ZjFup7LCxL4eTPNbb5jltwA0sqQsi4W9yxgTvRFzbEBgMAz7Y5AxkIQGtdHW9CcyE4pgBkPpqI/j
bVVa8slrSvtHRx6OtZmd0b6IwrEivscZx31ZIw+dTVF7K9BAQpkihPfeipxF/b2RQ/3o9jjpaUZ4
CksEc3HSVPejRYlKnIAkoNUspFfsnDKF/GulLWFjBYyBYGWaof8wxfR6uBnF9bRP/NjGuCKJY0kc
X5I/FFM6f+ngZHyZVXEvmyE9b6FzQ1kPi/Zn01nm92xsqscwMPSdzlMo7irtnR9oj2dJFqoRVXe2
KGusrmxZp/gpxGinGnQ0Jk4LmJ6QWS2dcd1FUf/RHAd8LHKCqj4DdEh9kToxiYa5l47mpoi9rAbg
KtTet9x82k2xmmIsn3tiNIuxtu481u69aF3FLcD0jcc+Uf73tG5RExHoHn+Q/FlzreaOpqMIJ9td
17qevnYmKDh8dEN8yhuC85zezUlFsuYZkV1ryuJisL2BeYZxDW4VQRu5BA664Qc15ZaFcj4yrybX
rcj5mwU6OJXk37K0mG5y2+u/Za2q0nNv4dE3OdWfLmfyeMD+0D+k+H8irUoSh5BKBTc8k7N5qaqq
9bboHixE8rKq8dk3Z+Fu40DgIe9C/ajWZRgiaVTBgPGG3SeCqKSmDp/tWZPnWRQkzq61CpE7CMwi
VnFRx/vZmBdDdU87H5zRiHrgXbeGwegPXbSx54XvOvvR/KOURvq1aTrCGHQtBlxUzRLIA1Cr/pwX
KQ7UedONDWJ64XwbvMyIcH9J2mFdR7av110hbXc/0/spVvUUlC1yo0QVJB81xKk1gamLM2N0smUR
KvmYtV2Fl7upJOInWukLM2z8lSEc+WgOXDCxwnCmJZ6gmy4kvV1vo62YaNd0KpKfVWAu+ZZkR35x
y6i6KhUEUHhRYfBVVOX4xa58Qg495LiEibTz5K3A0UiVTrjhOaj+h+LWyIvKxqnF6j8KKfWXYYEk
htYlize2UUASHLGkpca97j+LZpKY2cdOd6tN3MxJtXesJ2+Mw7uELXtYx10yPHD51/eBiiDvlPBC
1CpptFR7OAmEOYdS2eMFWq8l+1S1ZkOCaxnclnBav6POjklITvW0derUdjcRVtT3uk2cb82Yd7cC
9+J4Vduj+DY1Q443RjBhYpCKBgeOjmMKCV2S/RpaRyBNEOQIZaTp3kPdSshqShCTrFnHDkNc+0gS
qkqTi2jRhHmYfAmEaM4jIo80Ia1srjUhwjYS6Ot86ENixu2xwd7GGIqZSOUk/xjJqfH3IFr2R9NC
yrpyURw8CL+Jv3FLAzCHFus/W0D2j4ka+g+2Nc5Ihz1p1aACrO4V9Kn+UcRl+LIB4fkzpc1N67nD
IjMVmvkhjfBXNTvqsYcfkX1wpc6/sHMHPi6t3I5xWKmr770bZvGZNxgNxMNJEZ7N8v3k5w1GGw2e
mSYxMsn4oRW04bbcUWmhNGqIDHI8VIi3C+Hki+WMzNFljwOSINfElW5V5/N4lYQ9KTl9GF8bTSie
O3OR7kdTrn6obI5KIp9BmM8DJ03gZ9uli7oiiIOvmciKZtXmU3sZc2jnFw7dyXVG5h467VJaN33e
cm71juxMpGHukhBKZvYtDeuw3cAkgg9GggH5azGwZAp5iL10k1oKtXCl6WivMkMhpw0Kq6NdknjB
Mw8ISRJysy7exX5vVluvlfGnydettUSC7Ns0xOEHm4OLaGLBKaOljZmFadGxAyS1RbfcMPDKYgqq
s8jXxk3nBnG87hw7+o5hdoHrij1ZNyZ+aeaWflV11oUOrX8jLqfvCLTkBHwmiwq1f7C0MUWLV0kY
Gfa0TvzWLVdebYdkr4WD/82tyuJz7tYYIwTYlW6zIslp5DZF/EXr0a6JAbUJrWgLW9xbBenTK6Lk
Zbzve0lDks0hcs9tZOVfExkQe2K4HBwr+hTeHUZMNF9nEfL3Gdi2EHkbeuKqrefK2NTCqAjEsnHE
ScheFnsSpabobDDH4EsT+ZFFIFfXXQwK5foqbdr5mq1ZoAnF3pjk39LE/MDqC0x0XghDnVPat/NU
KVLFgxpuXgT/DW16LTS5HpkeEGOZjl+soqBvwl1jG0m68mLwzm3U+flwFfLL/XBab0K4ZKHBUmno
fQh8nY6rvMWhbyWbpnimJswtqA5BxwQfbTGuTGeSz/jpFjADqfmMdVTMSOlcb0aXlRo+O284BAQv
ukFq3bjdENwaad8/1GEc37i6iW7j2PQUGUysXkvJEvmdNOeHtmzxE5nH1M7W/giHcZ2qTn2l+EPL
VjuZlW5CMWHZIsyEcKO6mRViLGfs7iOVW09ZIzI2La0y0oIGQqPzDt1CYA8TnexYoKBogl9p5xrP
g0U7U2gVO/AeG0lYH2douBJlVO6sZBLjTkpF3FnaTuh6LQN2S2sl1s6jL908uDh+phunt/A0Zn3E
BMv2EcFKFeuQTM7I8J8mhebuok7TkmgU2x6JAk4Q+Vx6RdxCVMlF3m66OEdTnjnCvh7KojLXtdcM
DjFNgGY4wxCcfe0MTdhw3BVZsW2cPJCbZmjIe7EMNfh7zyqT+gJhWkadINI22hmhcNJ9MLZL2Pmg
0BIYA4HyrZF+qBKLLNWWVkJO+pNhE3sale0nUUnM0GztjCY1S4bjTNMHUbadnUULP4xB9gglCgcw
QjMFZipe9NGp5sK6sLw5vqhmz9Tk1tYFjmKBosxmqty1XkaJJUM/PQtMOaUX/jhM1yVAGR2qGRrB
CsrGUG4mPWLIMc5evuSkdt5CQWsCKDOJJuM6871iI4OZea0cw7vKZmEueYVd4V3llQx8YtX0QPkS
GwHmD1OH/RKKKn9XqTH8MY7YFONYlEf5us0dqzyzBgcOc1n58a/RS0PejWKFwEklbpzQ0svDITFs
4sm3vnN6zp9ZTM68ltDD7ys5OaAjdXFXo84Pz2srbJ8E2rNbeNlZuC3E1OyraczgLFjFUlbX5jiv
I6MnZn5A/Ur6lNFd2fbQj2unFqq4avVgRFviS8merHs8vTy3SjskRxQFK6EwidrlBKuj7cFUC7MT
SGkOK2zIUlxyInPYpIVKh229+NC04HDY+2RDXhICNMX6Mxz55saBtS7PYq0MnAcCRM732bSkuvki
D8dNZI5NswrNpiiISJS2OnOk4s//v4jUVYlKOWJCU1ytKBKJGulHo1nTbOmsExjnG10+QA3P9xYl
AbyWY0PGLM8DNVqQxTJF8ped9j+G2Oaep2KYUr4ZMg6+A+Q8iW9kzrQXsRjJdq/n8KfrzvEJ5PIt
iIFeu2fTb1wooUd4lYLaVbYFLoXMmXhfG1n308sIUkxK+99ilwOty5/qiddoMjdq31xYZBCjQDIP
b9SODKmuJS4cUElQ6I3Yq0xd2v0qDYs0QVFYJ+7wb/DWHBcdhUsn94WiewSNyQb6Qm0DJNkuHWLR
j0iStaHJUPTz+UcYExHrOiVboFk0nzIya28bFdjbwbFGoud1WqzjMKhxljPmeZ9pj772+yjDW6CL
C4cdQBcminlMyIGiKSq3w6UCWTVGkWOMhDuYU/KxRt+462voFkOJfOr9p75uGHJUE0/tCLy5gF2P
sDxhT+Y8hNC50rYJdilWK5fCa+2fWY9fnQyb8iwbpwI/hsRfgl7d4ATo+7olxwJYuKqecGRAE+Nw
HlgRii+/5PmtThW5XJOPRUXRPXVW+UxlHN7NBWBBRxLaiQe/Hm5vofpIumT0tGkLHj54ToxFLuog
sTAmXE8UN00pcAnQQJ/xqlT5F3rhpzzDX896+K8QcOjMwk41j22ojdYMcq3hb8ooRSFXLpcFTS1U
OQmGG0QU7N//dd+Y9WwuAbuLXIgSoC6HX2mIZJgb4q3XnYE/VtWn+Tayw5zMNSpOzjWcEjbebHNa
+nY22dxRGq458Dnjh2CJJdcwdS+YIXT47CSI15NlUxm//5JvDApHIbsg3BOw/2Ni35SOfh1bRBub
I9ZxUwZMLjBoSeVONOaP95/1erpDwbaXyQ7TBabwAvT9AV1PhsiLufRgQI1VdRWQR2OckXYauCgO
Pcda94EdPQ56NqK9jOkGr4Tvk/P3/ku8FtqA6aABoY1pwr1HaXP4FnDrHDdaGCVWqEgpqizt+nh3
JfaHwmynB3IIzK9zOOqcfLuRBEwlSTuGbJH4PwxDBKekv2/grr5Y2E7CR9qxMCwP3yeRvlG/yBbG
tLW2Ta6JXlyKDHIi/fsirgC5i7jeR1XjU5rrxWVANrtmCMcz3B3GpxE8EOE+YazvD9TrmbG8F40n
OFCoWo6J1q01BxKBK5tTXiA71TAavEShhYp84yzXzSm+4evNCF4r3QZUI3BcaakejgO6ENEwEemX
l5P/qGhS0dHusdbqg+VaECkq7DTDN1k6vjWdWAbLX36IMfOFbET0VtgSabcdPtwd0lTWeBRgSqLa
fdvUePyNuXdi7r0xpMw8FgHCGNv1XxHrXDfV5sI0jLk2fsQbWNy1ljZ3Xam7czRXJ8X4r4sKThXa
YCwUaMo0cg4/KwOqMAyHY21o2uiWlD5/U6alt8YfuTsxXd54lEenDXXnomETL6KyPxb3WFit2duo
b+J80Bvd40M4Q5ZZ6Yao4/dn5htMAZ7AZKHGpTPNhx1+VuShNRtjwUE9x8WlO5T1I2KevKajWPrX
8RjNExa2U0e+B1mhk7Z+WWNSbeBUinXdgyIPXlVd2C2cymYw9BbUJty5g40zY5Z5pHfAez3xzm8O
jyU9GL/wTGmyHr7yGGD8GUWspnpwJ9CwsPdJc8eiLhFan58Yn1ezmZ40P3YAp5A1TDl59DBEcllO
+smaHrUoCPHMOn/TV838I41bXCF9d8yfShf20UU62xFtJSuJR9xHY3IxW902WNQWsMA2kh6GdY8D
ICGZ77/jCy/iYMXBlvDZhZfGDuTEY5Gh7EUX5kKTPkRXUD1GCWkv66mROlgcHEDHI2NU+Z4k7Hja
97MVqE+1yHFHHjMv3MyeI2bsTVwMdCDHYAZWN5i2eXUDXO3nFexxWkHGTZT3VrsbswZzwMYOE2tl
oUqqV5Rd5XRROLK9Hoqkw9Asj+ZtF4kYc5ohFHQijGxWNx2tCuvESnk5544+HYXQ0vpmBGzveLMJ
w4I7axVSdslB7yejIQkoF372FQBCVhvtD8XiO4+GbpMpO6+J9LWtXZoHebaNZ8Q1l52uENkPUrfO
VZI5obHNaTt8kJDev3teCoSYBjaZdG7Pb7+i/hq+pkVlATSMtsq36ZzEHf3FJP7w/q/6xsSzuFgE
rEr+oa9xOPGaKMwzKk4inwXXvaB1cApq1XQisuB1YQV3gFuSdCieqSOPvb0YKj8xQ3w+0iGsr9Ji
CHCSKlUXb/LCbtED+Yb+pNqwBPBOyuKs9VMymZIBp62xpscJUudgyoqXBFps8I7Q2o7+nOoTjKbX
o4H0DYYsnUsroG2//P9/bIkugLc5L4m4npnO+2jo9Epwzdv+0zFnpbMR+oi7lqV0dHSBjDgpqxUo
KfYikHGIA+tRp0l9Ytq+qt5g6Vse2mj2MG+5thx+jcF/t7oCs86pruONk7gmfpJYi6uiL6t9Gs3u
5bj0jNbdbHcXrcO83L3/pa8qBN6A8USUDQlKvCL3TKIcZaN5A9uqjF1n43PnITjDanYJCylkj4us
YQZ7i3bh3fuPfnVy8+gAOhQ3JSixdOUPP36m+T6IxKDDOjV6PaE9uabTGD6w65j3c4iN2/vPe2Pq
LHdRb1FRYXDgHw12iIoPPi2QS19n4nzO7R8Klf2JX9R7/ZRFts1daFFoLjX54VeF3If7XI24PLqF
85gBVmeEwttg+i11Q7xNuyzKaFPG6G0SMZTjViMgVTWMsAmECTZGJcfbKumG74Zt5sRKYsBz6Q12
NZyNZZk/wiqZv4VGPLAPVB0oe2dN+gEem4XvnNd7O2tKPAzJ9WJMPPKmX+faDIztkGWjvdGsKfLj
TIOAJ7LVSZtfOR65zpWqcVnIoUXS9S8N40MCFzD86eeyGc/QzbjRrphmGWxpz4ZoeaEJ55vMgCaA
Y23R6y3wc2FjHRPhssZRP/crKFjuoxWirt60dW3dcyuZqo8VIBA+u1amoZnPY48fWYGse913c46l
W90X5YrudvdFQ8syN3FUO/MmjWNcSBN3qKx9n+mAmkLL6tYwQo8seIXz4qZjsdxHEK5QMcx5+DE1
2vG5q90aAgGChu6ppg197nh1D6ETk/v295bxXzA7ua1/lh/69ufP/vq5/j9geQJ76I+FtliqHFie
fGyTMvnx/ONfz+WPf32svj1H1Z/2Jy9/+rf9ieGKv2xQmYDCeXETYGv9t/8JTZW/oAKxCSKLkniD
LLvB3wYopvmXhLxK0W264Dks3f8YoJjiLzqdnIsmiAslIDyX/28DFK4piB1x9eAvIhAOJcaytP84
W6j6ornBlH4dwyTZY6Iqt/AOTsVpvVzy/rdUWWhZaBx9oItF1EnNcgRhYI1qGu6chURQpuHHRA7x
vM270WlpHLbYBMU2SIZKjMbdCJXO5hZknc6s2c/zrXLKRBGk4SSCxivY6dbFHZLgnmQgbwPKckIo
grDmq1raw20xNlQm2vcxEipC/CkNaWT7aC76z7qzY7aKkqJ3MzaWqiHAmt2Tdur2rlV2FF12rg5h
hThK3ufJAANnyIe2x6Fqcd93SI3jVBJR6pyHObnm56lHME5KPiPxxWM934x+AwgRNFlg7GdXNS1e
iXZ5VZQRzfq0xC0PpmcYwyGw+by1gJ/+a/JQX66tNKpuMyNOPieYpaRrq3OHz41FxhTYONwAujyl
uqJlnRJ/0rX2uZVm+kKx6+kVjOZRb2tIbphbNOQc06pBQLbGdR8I38kqZa9Hvgayul1+LDStyU2F
/c5NLAdams3kxPe1bdDhz3Qe7mRZLm322cZh2e5zDO8SbEPGtW1k1o0xZtY3FJd4JxXu7P/4YxHd
/Z4Pf+LJh+fIor4FngG78JYrGVDicvn5YzJmxdxbnsJaHXZwcNbNGqqvjIcTx/+Rp8Dfj+E2i6UG
2gaKkcPHqDL0+2DojLXqyuk8S7yHbjTpUPR2R0wYChP83kPM4bDoZtmmV3OYJife4bAO+P0KCHEc
SOoyQKp2dC4jUw3noKgN/EXi7jqfW3mWdNwqtB2TZZG4p+4Ky8gdrD9Glk1muSRwpUb0ffjJvS0x
5xBQzepirpduWb/JwUTWJSyiEzfUo2vJy7dBluU54NGM8TGTvanjMOnwXof4USbGniwKMi3U6For
FRt9v5KyxJrOIJo2W7lOd1dFQvycqiLJdjJP5dWss9jHorIab5uR996HAPzBypZjsu4hLPbrUEZN
grFloP21clMfV1hdXdZWl93TO8fX3a3a36YE/42jbvzZ9kP781+cdN2/dkP5A3esqvw/cOjB2P5j
vb469O6S/vszKQb/Ou9yzr3uzxPv5Y/+feKBpvxFYQ+XaBHoILtjMv52/MJmXPzFjRqKrrCwuBAL
aPr3iWdY8i/OOTpJNocat52Fc/+35xftor+W0xPZDegyHf9/5Pl1tPY4iT14oJx5C8EBm4Gj5e/C
JajHodQ3DpSGbTEMK9FG0QoPgAywwEhPlOBH7UGH5/mLxH854FHCAuEfrr0Wd/LEDDDjIGMGlCG2
Fyv0CmLI6N7oyfoqFle6KuzTvRHeFcUXI8IbqeV8OrUwlw/7YxMIfEx/FmUMVYiJh4d7dAhXunDB
66rqpqY50mgLI/8yaVZmMceEDT93BYkFMomnVcU5eda2zq+omz6UsFBhtw3OTel199gulftCTh+9
inC4GZ7cA2lIZ30qql1UFQ2KU9lux34xjo7G5Fw/WW4NezCZqhO3YqRex9/DhZWrDUABNRRk6iNU
snaauHDmxrouYrjya8Q7g1rJ746LfqTb2dbFIM7s/MLOzqN+1/ZneXePxWB7FyB5H+iWnznG2v1Z
XUA4btt9Vz93/lZbW3onM9Cec9Nk2aq7xmG2uuIA8FFs9jSaVljwR/YGm4JziOPSW0f2A4FTkDqI
GSBCxvrBvpaRf4CD4Q0S27o8ix/Nr7laK9jBHV0q+OUgVOfgB+o2KD+7BkkH1ffSvHDds8E79+at
U27Ib4C0V6+dfBNgByH2ZrGHMiHbXRFvhmGtPUKh4bnucpfCCQP+dRyAUmzqh+EOIoXrr/L7+pP3
JJ8CGE4Inu+wvRfdOkp3Be75hDWlm4o8cKIRrsadu/+GTWQEf3dlPlb3xiONAxGshbubix2wkOq+
Y/czckjG11qu+++UJE245nJVXNab8GsjzkiQzWDg0MUv9i/V0sq6Tq+9c2fjfWh8/C1W4c/O2/mU
JyRYXUbf+NWcDx1flZ4pb90Q2fERW519uLf3pOTB67tOHnW0CdWZbs5TyFq30+ddeB1cDZckI3gr
52N12e/yK3Sh5srGBXrdRyTpbKJvGuxujen9jkLtARbQEnlAhFt93UHOmffyDgEUBsrBBp5Pdhs8
5Xtsm5+Kb+W17+yLepPCfNiFa2s//UrDVXifX03r4Co4j7di040rwNev6tzfzZ+B3tbh2t3yjecZ
aype5Vv8d+AIV8W6/pX+IsUt/YUdRCrOR3+NxmcV7apLgFsWn75Lr+1qw4A+lXtnnZwTGFmn62Fn
rrMf2Xn1RcGEefCv9D64hit9Hvwcb/Kb4B4qqaHWZHc8s2zbLV5EzUis0Sq5M7flfXkP9whv7tnG
zWWdQoGaIHKva+f3tvbfOBD/z9392Ej+4y/46hj8MD7n355bStvf5pmLQyZdN/71eXG1lPIvvGtQ
d7DbCrEUmP8+/bi42dywOAEgTCzCJfbnvw8/fzkWgTmhjwRcxxD+/ufs8+y/JCglfkvoM0GN+Pv+
wXXvEHzDbHE59GiX43sE8sYbHp5FhjEPOusEHuEeoW8mima98gz6uSs4UdBCzQYa3w4+s6FWVSLy
/soYC9N7/GPA3qjzjzwsfr8GPhls2iidAaCPTqISV4suUItVeZvE2TqcZxvDCj8gw25MpvBrQruA
G5NX51+GxsUwcGiDRG1TN3PUGSy48JZ2jmefhxFiyrUd4+DgZi0sIaEaYgdTzy6juxPvfHg5oc2L
wwqS+UUP7fE7vmTQ/3E5SVMdmKVLJpEfjwCwslT7BCjmpsKt5nKMLGfbZ2H80PW0UY0hdc/pkmV0
Wm3zMhpdPNPTsPFgL4Z+uzrxagu+9r8H++9X4924WDu0A15FEQ+CoTMpvrbOZBaXnkL4BAGMxlks
cdvv9X2Kl+552VlQUA3TPEs0NhS5OUBke/9NllLm1YvAf1kKvxcY+XB6ZVPTKLOJ7a2tA6JvuYCX
P7nP5XdOY0y7sPEpgEKNYZuCW3+izjqsbv4eBO431FsuAMOrPjMgsumHOPf70JwFJMw5YgscUkGi
GKA8UhuH86lqhlMO00dMgJcnU1CaDmUI6+qVj0U3tJA6/VpuyyiS28KYA7j9vgUJxk89NDZT0Z6L
EgPWFpnEwzQoc6WGubj3MjiJJ0bh6HK7vAxVLVYTdIS4hFnuMkx/TFNX+62jMcLYWqSECqKUDLwB
UlNyp69E5RHuBMyeXrSQoSki3Dl/rk1tyrVbN9EputbrnwTpmWDvstAzQ5c5WuboQ0odZl2w9RGq
xCt77JodnYHwOhqyCEDVzcOnBCc80PA6v0nsUH0ajaT5ODqCsqYUsEhHVT+19mxczWnibFRgxGeN
7sMTG9LrefuyL1IVQ+uBPHC0LfZYjkYJcMzWUPEgV7NAXtS4c33Vt9G1lYf5jT3YJOsAWZ+9v2Je
Tx6uQoLeJeOEUA9R9uHvVTU6HFuClne+FmJnWrWCuTAERAFPJP0+JUVnPZpDrn9hYj2fzbA/L2d7
TtBHef2JoANredbB8uUNfHwVmEOIT/2Xd/1j7gxplArMDOYd4Rf5uMqaGUK+qtjWrnqZ64eyCEp1
Ab84vNUKAuJ5MDYdjlfJTBhU75v6vsshI1+WjUE2gxlGxHxEDi0WeGFQ4KqhhZeMjyNWVDJS28oC
8KHhVnnEyXqwKCFQzqQqnRjh5cc7/CqE5zQnbG/xlOPydzjCuLy4DszgcWc7fX82DniRmzQVCOdb
EmyaSu5kJlW1Kq30+zyOxpmPjuPUHn146WRZ0sWElkPnh5bL8j8OX4ItOUpczFd2XIdIUOv6BrXT
KFKT2EjvU1nk9v79z37jx+RwJUrA8pALUW8cPVGixKhN9E3kFqvpScglWrHPoauLvFzSqDV6o66e
rxpd1VdB7YgL5ej4wrF6776sih+dNeefR+0inVVW+rmu3Gjrjc5lbKql84kN1RmNExpmsbMIgBID
k15XGt7397/jiKSxjBzfsRBrOXtNCq3lXP5jUkoDZq+fheOup1Nnb1pb9Fv3fyg7r2U5kSyKfhER
ePNaQLnrjewLIbUkvMtMSODrZ6F5GV11SDHTLxNtVBQFmSfP2XvtPdPL5aBM1M/snTPU8XuS2nAe
thyeUdsHL1oOT6srCAYp8unQZLb/TNtLpF7pMcKvCcDJamdOBlbQ5M9X/LN/+OsDF4ItpPXBO+3v
GMtfr3iKFO4SRfhziDPth2PvsdAQ8B88vDVPRVbYZ5sX5oIqtX0ODP1PhEuK9C9ZMdAZ/TJFRGnc
huTcMjjy1YON1hzcrdNCtMi29QNsAhevYrc8VIt6F+RGfSFl684AwRvgDNp7DMY83y/WVv+lBvr9
Id5fI1qW+OBpJLxdH2wVjmHVWfMxm8z1VtbGlM6AzR+o5NZL5rh/i13//fMic6/jOOfv9Djnzf7h
TeBuq8xbjjgJu4+AR79RdJCKi5/0q5nDFvvL5vkvn8f4e5+D0FTYf79ffzgxzCSwAP05lph23oWF
V383tiW48bwRO60evb8suG80e/uzDW9l5+mi02Z2+pbDHNQVtkozX48DfOp4coLcJGK1fdElVpB4
nYN7o2DfQVw0p64OLArhqaO9gJXBepwClb86yiW0Vy3+X/altweFn1eGDAARBqUcL9avt0KrITJk
mS3HiFDPUwas7X2eYZWMGn+6X1QYpS3ct+9KzTQv7E6mf36H/u3jQa1SyfH28+6/Wbz6sXULWyKU
3sx6eWcag/XZi6yT4bbkSiipHHQ16lsoveFaVEbwly//prP039+FH4dfB3EdzJo3D0IIWhd1oKcB
C1GzHMIp8l6FO4xxM64bzoVNvkZzFzxi0biUTLovwgzmB2f1oHhVodNgCRuAh+CoVidYpvm7//Pu
/AS3gjnY1a/AKfZy5n+WRL+ZSt2ao3P0KQXOwq3shz7vi9vGHseP2nP+CXU7PiN9dY5E3Zgvf/70
30sWOEH8tcvzaMDxiv768aUce5Sl0jlWpbCNZwNs3jvN2EHfV5K3Copp74PkBDSiUllLehpl3ouz
Ze2g26WS6v8u/Xca4g5eZKeD7fb2VItbHYpq3bmsE9qtQPjQUUOIr+4QX2ENs9TtZHTu5c+34bdH
9L+0JAp+m5M5aJVf70K7uYxwkJ8e6xwUCUKp2fqhPG87ra0fnFwE9/8QBk5CZljx93oD2+afL+BN
Y5mnFAn03hvY8VyUrtGbx2AptG8Xs+8fSSKlw1erjZiWGuZKd1ltc7yK3qzaC2PSsUhq/pXbAma6
fnSURcg5ZMRuf3gz8uz/fF1vmD//vS5gP0iV0LlgDHn7fPirrSx7Co5ZTcTkYWvG2YsjsKiIYc0Z
5h2juZ7QMG5MR0YqOZwnqOjSY0qp/MvSmbOFatYO13Nk9Vt07OqV0wNsJJMg1q3wXkqcrjTBymnL
TlLb9G+7wkCr+efv8fsqgKCNzgsnWZS2CCHf3F/Rt6CGLUU/pJZVdt67JUTBVyMth2Iu8MjDGsEC
XzgSNFsWhUvS9x1Y0aB2vTqF4LWqky5z+WDB8wKzj3d3SJx1pU/85yv9/VEER+YQrsLOxSzxraoo
6H3VlC03HHGVk9TN6hEobX5gfhzd2QRpn8PRWr96Q39affv/G2Xuv/bOQtttOUwYOVvvF/c/i5Er
8JPVZRkcSdMwnusunx99jPa30KJpk4hs/Ase/Gf59Et5xQfu2ntUEAyREHn/+oE0GKRvFU5wLIJu
+joYznJqOPMmRuWS6e4Ybo/o0dMgrPswDnNiAckQ6C92w0IE8KW970mFTby8kDdOi2GrXcvRSLuG
bkibb+HHIhjcg14l9dVKHPeff6qf6NE3V89W79Ihoc7Yh6W/Xn1RMIU1p9JEMGSH946Iolerc+RN
n1v5e1yomJMWhFJxVq7qNlq9LLbylcbwMgR0jxwSy0a/zru/1KxvUI37r7hjwfgfhhoguG8ZcIKW
ST9sIO0zkTfYuNj3VuIcs+FdSaBI/2FxC7O/6NUaCmRzs98zOBP+rdqc4Ko8oJYHwzDynfpRiTti
AfLsqFtj1TcaQ6QJj7icvdvBBjfxl/u5v4S/3k8GaxTboFVpeyBm+fV+8iTYnT8b69EKF0Kjxqgl
4BvzbPRIilz2iRhLtcaZhU0yrZwJtFplWfrzJEmb2rdqxhKeMVsQSSTuZOYfeXCeMgaDNAH2ilta
k/dUBK5h/u3C9xrizYVzyYh7AhaXXYb664XrQQXFallkmo8m3M/csdQXOGcPFh7zp46AsGOLQ+Kz
K6TxlNuFfA37poq1uXT3leLF/st9/JfL2Y+mOAoY2aLme1NxKWfm1EHNf/QDvR7zzCG22l7Ka8+I
/g5B29Di9w2uYa+jaw+j/r6BQ3HH/7kE9pr/Zbb3L0svVC/eDkbI3CHv7Y6+Nn1lt3Khwin7E3Ck
FbVMO+CqcQtSJ6Fdg+Mmt1up0bzNfTG9W2pQoZMrkRZOgJdlJbbH3nWaOJJz85ey/V9WIE5AzBuJ
9mGX+9n8/98lz+66PBDmuB1FhrPnrqd9fcCFVQ6PxiKKPm6YogYfyKNRJ882tHkMjdVZPpf4ksk+
a1ujPxZL0Ft3tOvpJWdwXsFSZ6G5xgZM2Pa6IVLqE+zUakhGLyv6Y7OVlJklp5a/3ep/+eEZLOCv
3VO49pn9r89hOOjaqerZOnZgBw5lYWPszn2mW1VuZAfhye3Osakj9Jy/GtyTR0dU/tmJMnmqGzb2
Pz+Hu87u7WvBkm5RxHm4HHA6/Ho5Pr9eMXEyOBZ+u10qs+vuO8WvkZDIAR1COVaqVkfGHVqBNFtW
RUdJmo8hjrBjMc7mWSnNLBHVD7BMJ8f9CWdJmIdaeDjmypbZW+NMxmvgzfZBtkX1ebTHY59X6mvZ
L9Wnpg3893/+Tv+y5nOEtfk2MDbRHb89Tgic6EYt/OiIcNB6KKzaufMFzNCoa+ovcyDhMNfjkNpm
uTLYyKLvZa6/8kMQzyrX4lmZtf2XiuFfL4kDFhRgpkH0rd/0KNA2KRvoFkm0NIpuBZ7V25LnFWiU
uyX2bK0nv2mmjxG70j3rwposFHEHvI9+uvFVHjaz+/+8s/sWtIvPd+wdzDvvN1kW0sMRhzzZWPAg
fPgrbZkwKOrvqOn34OLeeOfKoD3/+bf5l+eNli/PGnMxJgeUFL8+b7VXzVMbcnYoxtw90fi0z6qD
41XJdjlZRdveRFzExxKP3M0gTf+HduovhYcynmG/15/qUIk7o4nqjizgjrBJ6d/vWBnEdBaJGl0U
yVPfQqwwKqO5bN2QvfazXb2y0dxKYxN/DQD72TT4343F5WfdX2TsKojLaNS8+UYwkvYt0UxlOYoo
dpbN3xLF2OAVECeGGGMexHZQTCRy0ue9oU6cyY4uKCSlg/KaI+ehqdXIgBqdx/C+s/s8h7pSrVu6
yNm071fTMdASmPMiPi9Ws6Qz44jT1q3kz8+V7eZJ3fmvHujEjxlGL0YvHdGPyx4nPxVzPA5YtBNj
tBRSt6iheq+csRsOGa8JLj3qY8Iihasf68mq6T8XgYbZVrjLZ1xZEnNWXVp0NeusuTpS5ppMh9ka
YygD2I184ogS11qMKOmE11MQ+G7TXDIyPu8DSB+kR2Fbf+LWEXxSVaL+LqbSqY64dCZOrnOezzcz
VU52tmepgbXbSkq+oDHVFyqE+olGjiB6wiaDfOXLJa1esXgyHtBhPFrNlgKZHUkvnisTvI7snbhf
DHjIk45KTOiBN1pxtRgNZwVnNW6mTI0fIf0MPjQlG17tZugetE9mRl08TT2bPbj+iKOGP4mz9MYZ
dRZooaMDNQOYeR64qTkL5yGSq4HLF3cnvLStwXRV5OFoEvHWmtlJKzVYJ6eWzTM3j+VQ1PuNgtxm
xryNtUoswv++tWPXVn87nfw2kuKBZDlH+ku5zpH1bWLBMPqiK1jSU3CjFqj9ujuS7ML7Yo3lnbO1
RGfAYhmOFpv41YXnceH8aP3luP5br40PwEGzT1p8Jhy877++FqYrNhlyYkzXalCXps7ItK88E8dT
eZ9Purs4uf8SSqOkm5qLGxzrHroUlLwMRaI0V6tPH6iU3/+8/rxtOf73qqhxfmrEfiPEDyOr/7jl
WSrWVn9vatSZyxSIx3nKm49ejjLsz5/3W+3CCsdJjQ0Wwzx2ubeB80M9F50v5iANoyW6rXRWXwVZ
Zp/CmaTz0ht5N3K3u9+mNr/IrS07FGvzfsyyyuXg15bH2KLaAR2raJ+Rl1cvXjtIDfvFvzPbiTWC
xPfgEM1wxVxTWn+z97Ik70ekXxY4CkMMzj/dJibl15tfMnIXb7CnhmQca9r8tHcDEYKGG/0GfpeC
ROevRXHNGha0k9k428vI84cCatrM6Kg9S98teSj1qdYYRhJr5lAb+03ZfyplpRFABeQSF13txBbx
2V/yuqbunrsSNgr0YehtpTmo96Jzb4zMy9tTFqCgvo5Sio5Ykb5Ynoo2hBDV2xM5ndsQdB8Lf9Ms
fEoO3YnmXWgRvGCW1VnqXMm0r5aMZJpp7rdLHjadeoyybBVEt4Qe7tKiiBLbFJaXdiLv5wu5YO3X
YcCZhZcPT0macZL4GsDVac6LrADq+5GgcGxcMcmDX1qbe622zBYHKxTr7VbTGkvqnN+Lpp34xgLR
qFeaMOIrpk6fX3LKC45TwEPba7d1e5jNzFgvwRzm3Tehg78/NEtEGdW86S8uLBj76C5V1bKk+ZY+
Tf4+YELp0uUXxmI5QDDGtm6KHVNJUCFRMx0GMhOItgIXPBzmBg7p2RrKprsGTeSud5VoJ9KB9Tac
tKmzO9tmaV9Bde732n7O+oiCaJWOqEkIb9x/WIDCR7wO0xCrqgS6s3RGxLyxso+t2Tpn+mLji+uo
Dg5nD10pdtAeewePRu2DNrDixI4H94ssYtMlC7U27U8haIlHWeVBFRdWX5spW1EEyKqT2ytJhEKn
W+M1j0avZkHRPs93S6fJLCgdvmOv/U6em6XyqkPWB4ZIswn7QyoNs7OP/NMoOngFjeHDBAe1eQlE
W95T5wcFMKR8PgGBzruX0rDHNoUAJMdXO7Am+RgEMPlOo8vGlK59YXyrK86ul9xjz0xX7A1+6mfd
+A42YTQfSUjojLjHUC2PdMubBUKLS5dMlaW46Ydh7dNmdX1c3Db4UfYcGeGwKP1Ij49orYmDccq1
excRl4nILuQmJKA+TRF7ZjWdWg766lAKN1QnMFF6vp3n2uIfwm0SdPWI5DxWRhlW4JKH5rljm50T
BydHQhhi3T1KC9YaEbcTUBBzsWxoSiaPrq2nIL/rXNfGurot5TPhvlBaqj3S7taWzja8GNvg60PD
u6kvpcAejJhOrzguOi8EjxZOAeOxBRLU7bYGmUp5wVu+tTMszWmz66Y4Wf4MJpCGfvu99oYdnKaR
5V7bYUYpR3c0HM8R+aNLDAZ+cmK7HK3pAALVc1OYMvUUaxqy2wOPHk7vVrvoL92iEcccIl5w9EOB
kEpa4XBujWxkUefUwiFPR58hb8AQbK1sSYoyELf8kJI5ez0tlwnIqXfIwjJ6EYjyg0cWlHmFHWEt
qBq3fRSjmYK+kiUs2L1CKZM8Bx4Zzxb75t1geXVLdi+l7NFyRYZ1fi1waay5q91DNkJFjRu7AdpY
umv00srJta7QPL0XJUv9zRNTz/LWz20UQ412JI66pi3ObeYyZTPoPmIUwdH9ybVh38bDDKgpneVA
AriBfBkZJaA6QVEJT/Ji2tU0pVqL8n2tp/C7Rtb23q1FN8ae4SnoUB6ygJux6Vr3QCxWiJZ27TpK
5mkmecuFSTcdnKCtvma9Cb8M25t87zPuFSfEGxra3WJsG1JPwwWg2IMkS60mV/VjwROjYgIrBvUU
YHamjwEfHpe2XZcyrYJluRmjuvmngm3apiqCd4bUwdvcJ1MNWIXcjIqvcTdLM20T0r8r3Kr4bLQ1
Kh57Klkneq+gWmGwDqV99PzmLGQeyENODBcvkA9jLslnRXyqR4LJkzlO6t0mRaYQewPjuYvGSg4p
pibXfhc50v3B3fW6m5YDlp1KiqT3xgrPLUaLtt1CBJPfHUdI2s3bHDapEyhlXgxj2wkFZSH8Z4xb
RpZgb9T2aVl49U8LFfGcVs2Sv5vE0HqHkKmdc/HzDEN6VTXTpZ7G/kXSB7B271S73kHRwdXc4lyr
j41haQSu0dbWyRgoirTQlFBUR7JqUo9emorFXPj4kRxHBYdWhEuBu7/3kro2xvxcqp2ameVTaCZu
F/IAFzJ3r44gQPVqUJ3GXtQK7n23Deq02q0LIngw7dd615O/ZEbJVj41OhLXvpg2de6oTanY1PQ6
RM1ww/g5f1pr3tEU44f1WBet/3FWQQ/OiYTQCa22XF4CRxZFKlvb2R6wTmo/trbARgQsXZZYoBlE
2/JdYHUSWqKDRNWioParehis22juHFoih6+wI1vNHl3aH4ppyiDCbVHp3PAcyCztvUY96zkguxqN
ug4PqPAawaK/7Az1xRnCJ2YHS38kSCD6XlQh9yW0R1qUdmgO8mBoFxQ1+Fr+FE/1w4VUyOVmm2c9
JeG+eh3ElrMLKioCG10jMErC70qab9FE73vVSOqSWo9rfqxq0s2Oir/lnJvZnaNDJCrrCipv7NNO
F837dcBZc6Ppe68XEQZo0Wu71W2imUxfS9VQ64SN2yGX9jfUH8bUCDTEHZSggNt6XyMuDOOgdWyK
H0qsmzUgF4E6MJgKAiFh/sei9a0b8tM3Rp+5XDDjDSGz2a0R0xHkzUqDbKHBfM3qhY2wYxJCVVDS
8HLk5j8jO4Ir53uNGb22TaHN+5axWXEz5ZP/Fe1aNDDytlVxKIToCBoecwHI3B7Vl0K5CK+9yeHT
OOVvnwKjDYZ0niMxx+Geq5C4m5YKJ9cG2XRexvW5Wv1Npc1mLN+mJTC/BFbzlPO2cF3jZK0xqwsN
pskhTNYf+hp/SG86TyTP2lO8d7mR9DGBsu6MyvSARua1cYd9mH55AOyPoIAlMluIW5jmjsuOyz2U
IWbddpxXxORrGF4VsFWQRV3DvTGtNn9X0n090N+sp7N2ZZEjVCd0iyelXdrYGuDPHiqFquVCT2a5
9H1uq+dt6YhWC7bR/R50xWLhcBgM82kzRACwIc/87Ah7Qz0B0FVrOteSJ5WSguqo2wrKYSkz6GB1
t+UQR0cVXdlXXUUkY9YSaYMSdj53ZhfMR1YNX6aimf01JqumtOMA7lp4zvQKkyqbHPdpHB0tgBXX
xll5epzikYWcGDI8pQevGcgXz7whdC8Ev0DlKw1hMBAMlXGeRLipLzQ+zTssnbsHlKFlcwCfKvvH
vPWn7GQOfsFY0wLzeJCehYXcGcqOYzXYxGPZG8t2CptS0YCQsvBO2eD6bWowFq0ufEE/e+6nyr4g
QMu2u1EDvH5wQ4ynyPoswzzVq239oOnkaJC9pI/F7p49OTdua6eBWhhQthKPhluaKjh3peW3vKOl
86Xm1DEB5EJDkKil2cS9NlYqy35w8/HsylrALh2toE942fsg7aM8bnMMhSuIBai0RfMlh/b4ronC
Tie2P/nmAYLpaD9GnWRNZ46GWcE3luAT9Mo8fByGrhLHIatZh8KhKuZzOU5+/tFkVJafPd0VRDK3
9njDCk4fhvDf5V6HbVRfHe3Cje4YEW5xsIy6OtaE3hAYmG+Tvq1cXtRbZ6PN8aBh6zWXsiWKK7WZ
NDwWIwSYuBjIozrAe++Za8M317dFNLmYD/AKVcih0TedekmeDFDX0kjGfmVNLR2nfeaRR9FSIond
sSlNwCGsHN3+CCC4ubFsDprJ7K1+kILk1be2BU03YQ+2rLschmlG98UJv6iC/PU0W83+W5U1eU/R
2A6XrLPGPGkqWuhn0tg9gq9Huz8XLoKxlANLZp2LrsBYz3gl34jtWghZdZXmSpbAr3W8ttX21Sxr
g3NIWeRX9KYRsedDxS0EVqxi3U6hik0UTiMkLfgAackIONXWWlLvqHz8nrszg6+lMbRzXxm+cwbD
2X51cCP6WBKHEKGU6klu6ox2/E4WQJ1d+rKZ+pNXdFh7lnGZ84Pu+3JIsfXn7TEy5o6eobtO/THE
+XRw5Shx79aZNJ7bTm3Ttd52XawHn+R1fxs0xhlvAkWu8+E988rxxeKJLhNvGyrg59WiHdbmcDHj
JucoBgqtrPaYLrf0CBxw1En1S1mmqkAZqC0r/6FrENg34zTWknGj41xVE7R+arrDUF6NKtL6OAaN
5yZuiALEZ+WyEyKBOxRrypgec0j/4VERUfnFAvtQnoYS3+kNa6960hwl/JQkM+/b2GnLyBMT4v5L
NLvAzVXenelzdzH1idUzgHTM4EvkbeZ9uVB5H9pGLDjMKh2+RgqtXxJuA/MKaXJUSOnoy/6Hv2Do
TaWEsHwqjSFv0il0t9c5n4b5wkQpu20HX/hxZVvCTQpksPJoWSPnWZGXTZj61RQAqIi2oDqWOc9D
kgE/+jIFw+jFoSVElCw2/41T23zpNgjx+WTE030rJ6N8P5Em6zNBHpYX+nbFsxh78x+eihrYDhUS
qAsvG7YLpbwq7vNh7MpEeHPzDWa5PLtr0DgHkF7UB8Fa9GviBlouTxm1hZnYdq8QSbcFcGjPGi37
hOVh6g81BVxwW2ydHd4GsJqxHa1yxgZmA9FORMBMJPYBk+7qFMrUB6f1owFb7lrNVB6r5SULbbtn
F00Xwc4EurFOlAB7jUMk7ax9pAqqbzs3NKbbIjD8c0QdZ9856xRMVM9tVD4a2laYwmZjXmA/2fp5
NEsaBo6by/XUs7UE75jygLCHWo8xipFSpFIH5IDzMNSrd1qqiTQi8PNReeaNiT456EBTgCIRmwBF
C2xwu/booNvg/XDTFyJ/V+Qj5YANOZ0Ssw2uBeb8NTHHPndjsUozSymvLbhcxC8EiUBBwvLEIO8c
Bgvsk07QBXIac3bvZb/15MiXKJPinrQEfXRlVNyYa2F+0SoIjXii0rmiPDL1dV36xo1pOpS3GJ+9
HAdZaa3pGNqN/wwA1koby9eoVUCaEyMaDFLdeCYRFKetFRkTqS3H7eUWFhR44gxFCt3Eao5F1+xt
X2SUfoD5ZdZBzL9InAR6v5LsYFGHhPg29J7loa3Wsb4Max01N94QmfTJo26i44xh/UnIzAiPWQHo
V+hAqKTKsvlzsdFgOI5M/IEhMwoYH4o+avrXaJyM6J4IPVDe9KoDmu0IsNkmQ/1JRB27FUUWZUPH
0DfpiinnYJM3szpMxGJ1j6FBxXwRVZeRpQZbSsbG2rGnjJYsxvOy7Wum0Yw9brSIA/MlrCcPX6Xf
SvP9wll2TZWm9Elnaxi241DV2PHkUGdfqipkHVxazlPMHFDeJ0aYVS9sMpgjmT3b05nHypywr9A2
uzG80jEfuMvB18LofLx4WVatsRiHpXqwFhwfSUt8yj+tRVc+bsx1m5+yIStJovW6pTtXTemdgrp3
qsu26P2QKFVzrdyutg4WgxMJ0tRaPpY60iJe+kWyDzY72jUqeFpjYMpRrDu6B8kUon9JysAVHza/
KNd9yogpb5Eja0MPO0+cJpS1xVEgkmNv8pZJ3atpQ/WOsEYlGhZRebcEs4ZjHRbheAkEx+GHrjHr
90tfV1+cufYIHyEKMD/blR/OcYPJebzMgAPyQyF18ZHZlIqV4898fBSur1vXkJlicuperpx0JiZ4
/ZSl3dI7TkKnqriWcNeNpJwKx4q7kQQMqNoQog85SRl3WHWymyoQwXALZIaDezbOg3v12Dg+KSam
JSlf2v0a0fHL07bKuuHOdeiKHEktyNe4MDniH8ythuOw0p5cCJNZ3O1pqCNk6QEUADuWdOQ/6jao
IP33kWZBNvwZ16oU7Udr5wUcOt5R96E0qs2LM7VO+mLlfX9XF0YbvhfKrlB6+IUAtlcPFlXhqNo4
miW9QN/PodoviESbk5wHvC8LKRHf58AP8Ea5YfWDg33fnYahhk7vLSsz2K7Xzte5W0yBrt0K74uI
P/bApdnhySoF11PmRZ0d7MYznpAAggmjdVSmTKgzqral0eadtZnhmvCjUIg7geE8dTR7LMrjPPqO
GG6y01y3lXmuhorh4DwHzWMxeKukT8Gd5GSoCRattyni/NTNN6LdbPpdQVGwoa1Rpo6RtcL6MPhG
azz1dcmJe0QedmD0LftDA5XoO0qbDRTkZH2lOYiOpclCPGiEOSSEZPoYUnvZfVy3urY5Nq1l9rgV
g/2pIh2uSHwEjUOyTNLABg1kbuGEj7mDYssA7l+Y0sVm7Msf9Lp18BQ55YLTNtSGeHbYnQCGow/p
jmILMPpaOnOahKZE5F7NabObvdYlfzsywra4czq9iEQ3IjcS2P48YfzW+gLOPCqSoA8HBOZqo3xb
OK2/yJWGxjVUpNZeh2I075TTly/aGTiRyXDF2OwQ0R6rzSCtwRZhnQRlSIm5evCeb+1hXrLEzWuO
kRxrisd8CFr7MEgSHg70MYI7EuvL8cp8GrhM4ZidvidfIRD3ZrB63qGZ1pkzjTXW6stkEE50WGHX
nPoCqXgzmMbn1iduCcWlzk+UiJ2iJTIMd4hT1+hCVk5VUTIYq3eM5qrpE6AxYuTVV7O7Ny2CkCyJ
efNOI3rr4MHsamw4aoMhzn+1rP4HmpgDDH2nb+m1lO04nvnG1UCCDTi1NMNoRSpKY3jGS5U55nZV
tjWV5xKOXnQh/aeClx6aZLyFsDmM25Icpfroaa1Xkg6afLuZO2pUZ/BmSm2sqiOlRDvZJ2MF90e3
IiKx4WEgFvpCYQkEkXwq8aApm6yzboG2HAcrogiP6H3Kz6NEOnOvG0c318Xrh49uXQVfkQPbBcg8
VZgnvxmt18wR+dOcYciITWFKzgyirtYbXJ6qO8nc8YjbYlM/jOaAemsd+8Ikh6mb1luPcu/DZvrs
TTp3KjuRXh8yXgbfUxxY1tw6cWmcfYq2MfwQdMuukc9oQZFSFfHwG5Zc05py+Gtft8VXs5/yz9lc
yfUcwghDhOO35Td6fNPF1ZMVHIWZrTya0UhaVRFV0wt+odwiGfcnxo5fhp5vQfJOyDiIdI0sx2fv
jp6A0mMFH8ba3L7VpVDiIgevJ+Wibs3qyPs8+Ke8pEWeWLNyljO8AR3c9NHe/qQzrIs7a7HnPi34
VuGpm4X5fY8DyT6S19X7nxnertktx0e3xcxvTdax7uouJKRiNhxOesEyf/ftFXqAXeYkL1jaRbla
8SQ6j9tIURLXTkkjnGpOusfKD5o7Wc8MAJkP11/6qEBv5K1FlxB5EJyaUkNAKDYH2NjuDTlxM/iY
0co449ueoJcghgiHQpUBKDp0/DjNfRH4uj9uDKU/zwvWikesQiVUxwD45g215JT47DnpjjgyjiON
Nu0dnDHL/LNXzO03iC5ekRju0Klva68mFD6a0IDDJvLZjNFLcbBfuxa2L32AOror6Fw9QWv0B4Zk
CD5iuDHzB3ccy/U207jqzgu1FkT0hh1B02pzv7Y8sO9lZk1DajpVc44qICRXsm+Z7ztlbjv0dl3Q
nXUlzObH4m1VHWv0mcPR84iruakAahdbTIPczVArCX0ue6ZliUb3/o3jdLUmq2UbP9iNOVANxiSb
hKDi1XzpwHGUAEAMZghrFA3nsnQD/7YTDpqlZaRjHwdNTX6S29SGnRTdOj7LruOFbbuSRmpZDGGY
QgMnybYqMxtyQLEQR7WImkc4I5BoOhklN+BgZbPGFotcOkiJoXeuRptH/AGm38FBYDqfeGvlOKeq
NRGemsgmg6TqmX/HGYbW6qMWGzEwXps72TsGcP0DchHlHYpJqPpmmgdS01oE3SXZy3X0gG/Mz4ib
8W0j1ioXU8rfkIcK2/A/IV6m6FBsi3uuLaJg9cjCdRhacuUS1mjoudxyFjWayzD5NJKO57xg6Axv
NHMuRqMJ7sI56vjxJJ38vlStqI6w8JQ+cZfYbtaMMCg2A8x2vGAh7TnHJzP8ks3LPMWNu9LplH6N
0EVPcDxPrbv64GnDwaiYE6GJT3oGwVOyAYSdjmA3QdiCoASC6YqWRLhRWv+h7syW5EaubPtFkGEe
+hEIxJgzmckkX2AcHfMMhwNf3wvUvdZksIxp6rd+kFQqiRUIhMNx/Jy91672lrZK77My3OF9x9b3
2hvFlMVYCDuTidFo3aam05BT7qv1ZUk73zgjCE4LZgrSypHCWroWW62XwmqeiEndwWb0yWrJ1uYr
fQbuVUvAOY/TWMhqV5oZqXJVVfqHIWU0F5G8UgaHESEz56kmE9BIhkS9kCrSfE0GZ2agytTSi6zE
S44zAuM+qjnlgSfxvZ74uNm3L7JrV0axGg0zkji1mULOG1L3wNM+2ReqVYx20Nnc7xyFOhWN/tI4
nDjK2T/jwEJDkjQ5AzdPbsHxVS7QwihjymPGSv7WFzWN+5LMmyVCvslGmbkpKgO6zP2tjnhbj9vZ
IIyiDNplnxLlAXCF/8tjVRkk5nhNWaSnuSnTG93LZHrjZEH/HXwViVBSlhpAFz8v6Vvgx98X7MTT
vq5SoloqSQOH1hpz1F1KMGJ9n3o6QqWG7+kePDSs9p6YiPLAECHrb5gf0iisl8T8kQvyQjh4l8p5
V/ZWku0TSDklx9hqPRrZxDg91EhyaaJeWxJ953JoJSFv8enEGG5pcaYCWxB3k+KOV8pJzoNqdREP
nat/ymrZOujJZyXf0q5d+/5tqOqI7rF/+Bu51boyKAjSs8vAmIK4SWgqDTRVdqN0prOuZRIDYSO+
CT1RjKoNYljofBh71bgct6fVOi8u2aMpTOvztK7usWj6MqrlmD63PLMU8EJ8NPTSie2hIf+uSsrh
+e9KlGvhNi8bXHZcOAhDNCnulYqjrJYSfLRS+wb/Z0gOYHZKPS9griOtUzkATTdqUDgNKY/FG+rH
nxHgvylIPHuTWjq2wXiYv776bKZUK1EJzbqXjjncTxsxKBltgxDNMiANF75gtwHrGX/nhyHx52TX
u+7iHojnsaw97gYYDplZucOxb2vdQeru09vnlI1Gbh4Km22HIju78KITj8NMLEnuQSy9M7Lchwgk
8rmgiG9RMCsjmcBQd24lKPTo0cWAmmW/T2Xi+6HJ9IcJC1MaJ+4ToKGAqJf0Q0akGCbtbs1OSiPr
9nGBS/1Msixt8XodvxF+Q3rhONQfUMFOD0w6+lj3cyXQtUgH8ckweuSJoS0dW05p3Gp+JDd7pERZ
u89pnrj+Th8Zw4XYGPLPKyC+ZoFRlGn1K11nrOGDTaJRlDpN8a1aawTqZG/oD5NM0L0wv83lUyp6
uR4MG90VO3TSfHKUj+V4aGbtE9IV5OW6SO2JXrY9N3RZS42OtlUkxh6CY/cxd4FavCW5/0M4tP3s
oJ7NjRCx+Rp/l4DZNHtpv3v4O0uCf9lj/bDAj3Qyuf2xNZbGjmA9+aUPio/S7bLvdlJ5+1qst8T/
MG+ubHk/Z1zz3x+EP7S4WMNJYmcIjsXopz/898tK6ZmY9A7VHhVKe8fLTH8J0nw82NBZ3jXM7g8d
q4GUOYIzQzkl1ovjgrK1UO1GhKkDfDTnynpDL7fprK8eER4N7pHpocWBLfL7RY1m2006Lv29Vrbi
3AcNbK1k6vIThPyVgI8MsCySm7dsCNuT9/vHOnj5oMCZ2GEhCV/pkl1vpHCymWYNLV3trB+oPAu7
v0NMj54EwzMjNE7P77SuzM6dLT/wj6nvgdSvRwHndN8Dbn5wCn2I176gVvr7T/VPVwffg73WxVlP
HvjvN8VADV0wBjXIy87u56IeBiBLVXfbmuUk31DC/2GzpNqzXXRumAxYGUg+fv+wlCkzhE7Bpq2N
9pdp6GyB/XYZ4lHq2TdzoVbrssaMM7tdbutGpyVeth7j6WSN/9Ov7cEtwu+JbFL34FT8fiVjPraz
DdJ+n2Tz+ESuEoGoQxYEkd+t+be/f9afrwWyZ5ku6ug0cR9fb800JyfkFem6t7yWg7mHPjSE181Q
sAEbyMZTpK+Tz4l/ohh447P/EGMi0Q+2O44yEuu+d/XzDspPGDux5qfMTp/migmAb8qKmOahHGJI
gkTD/v3bmub1esdMT0vbxHOF7YHgi99vbcvBRfMzM4lx6KFd8SEckToq9SYerYqa3someZqES1py
jWa3icbaaA40sDjicyTSTySkUpHMa21MX3StKIbI0FYalAWFAOuFIYAFp1p4u6QsOexl9tgPZ2eV
HRSFtWGw8vcvZFzfQycAYuKRkLQxaFg0V3bAsVCsoi7lAI/W+QvnnZUUV2yL79n+a6IqnPlj53fI
LKuFPa3yCDh0ioBuRr85ZHn9OuFkEZk3dEK/nSbN+qQ8kb8RkvZPF7kVHhgW+Rdi79/vOq96VVXM
uQ9T03jGfgH2u5AkqBF9rY/KGM6436bx8xu35rpc49awRMnsQMgN+v3apol+Se9tkD+Htpm6E52f
lsrMdp6o0RKAx0N9a7lbGg8o4iGc6+3AOHuWODKNfsvv99Od/Os+C54VkhX7y+Ybxf9zVQEJDQSl
zvzpACIefV2DPPDSDIN56xRi9W5a16yyy8qZr7jjiUiMAxa83DtBdicdofCYYoQBtnhrh5UxkDco
XhliICLrjYtsiYeKlnLg7+j9wDZOCJ1zx4ClXPeu5Q/daTbZzsKGlNr0aA5tchNkKDhCdx1oG7fK
zPrbCpWDdy5s9rlzbhRmcuOQtgtFfqa/Ayd3BpCQ0ZkzmTNYhPxxACVCHoq1tG5Q3w+vDiyZ5aNY
cz2/b/qahq4i8v3SyixwL5bd29adOaJkypxcd28ES62M7CnFkNdoEwdj9Ljus4fJO9nNQeXMD2jb
SGmnfYk1oscJe3hjeVxvBS6vW8KbwM2zSNjxr3bZpRxr+o2KUFXJEAvIQECIO31PfGZC90BaWR3m
v6hzdF/ifEotDUUgeR1RkGRTedGVPyP66fRevlEKXL/12IdNy4PDtLEg0M9fOcTweerQ18RyWMsx
3RFV3OJMLXhaxWZVfcOPxov0akuEvoEZBcIIRxvqD+/qvdcsuVYN7igOSNe8blOAGc190nTFj8rS
2iW2cEWg5cqRhz1OwTC/BOTv+oTOMgG8XySOlEMxCUf/JPyJ87ZyUBs90n9L74j7tddIBELalwJR
kvGx0epSve/SrCvjjjJZxW079HrskPRh7ZxZp9wfiCOXt0lDvx0ny88b3kABuyP6Usho4u7nsadm
UR6SYtZMwR9zCuNlyoRajsNgl+szIaPI6uaOEL3QhmhiHIMCjqqt4WnbbfPR14Ac+e9jk9BFEYYH
yU7QlaOwq8eFGIOurD6ZlTAOuuEm7rk0FmS4uLQSPeoKjEs47UGaUPtbwz0a7t5hfk5tdWAiBi10
SJeJrGdOBUM8WZpMngem9geXvnsZOUvVfFWWLus9IqTeR5jcdu+D3sSR0nXa9KNtKo8QsWAuv/Lu
oONTBdYEpdaVZheNaWa8X1QG7ZlyyOo/tIUjTmSMqepkT458spqWLARmI01ysrxEfbPYWdniGzzy
RJNO03vfqoP5NDM9JKE5EMPr9soKQgK7CR5y8tnoNx6tX4YuwQw/jJJcSdCE4/KdTGf7nVUWvfet
KHz06FraueR/TklS5Fi7Z6C+2UBkSmiwWG4WGpIAr4dZuQTRYy6N0duUHQqsZNrbXkWeUdUr+ooM
fzjFoP2ZtMgEpQ4+ragKQlytpmu4Cge2bVJyxzGw+Lk4uBxY10g3pvqjr+gDh14lTfpZbpt84gW5
NlvZlmr5gbBZJ4b0bjhHofLFfME9i+XYXEd5to0+O3lSW/0YYZ+PkZpxHfvZlLf+sQR3VO2c1B++
q1wyd6wMwTmyA+dABthoM3dAuTbOl44XULpXAuxWqHH+bY70Jbz6kk6tuMzAE7szPXYPR1ZGjHLY
WGn2ZczrvMVrPAOBM4wMxH3RGw3TC7l6a8Sezc+Q1g5U0UUutbljfCkeiLLDCJKh2Ct2Ggm5Q6xV
DkB9yx2qdzpaZyc0apVdfFnY+Ac61/m+5uTQM/DQ/Taam2S5r/jjMGjZVv17euQoYcSqPSji/D5z
+neDrTO1sAKq4YtdrI65p4zirONhOY9a21bgc+2qJcQdICPMI2kEpHhUlE9zmpgiznsrO7tGYRTx
FsCnHbWqfh+4+XKq0RF8Q1TSnVwCgBgLm0Vh74Ei68GptvgFIZiUiC4xyvjtjkyNdQWk2ixk6bWF
dZOZTsBbWtYogUdnaJHqYJCl+AaucCZkNn2hHTv1t2Js1RNwZw+oZdUaN2g6tX63jF5X39C4BBjp
rZ5HeLu5psEll0Pu7JC2sEj9fjU/1oZOR23IcBCGNNS43TW6RUxlhtBJ9qaMVbFbKMXwClRdz8w7
KR60skyX46JobaFky00ClAWdDjw8GBXC0klG7oazZiiNAsEuFGx6Hi+xh5u63UL5wF5moOg56D8i
2+9ebZpkHqEFjvOUSeX2keWL5rJu9vlQp0Swdl6BeCTsVDF/mJEDNGffhwpc4wV4raZmraNl0ep1
V7ck+5xk7pev9LTI3KL7YotoZShTRfi2cqBOAUkxC9nD/tyawGWMOvtYFjhejkHVZR9xMeKhSQJB
UrFZru2LyBEGQm3zFDsf08SaVUFAQsg/3n+esywTDISS/EPTwxkCeOYociGQ/uzXXFVd7FVFh8WO
mKNkX6d5tiK3NPPlcbSrPoiT0rUf6lYw4qjttHkaEtcxd71eb/qQFbF0tM1yxrCCSkMYPO25ry1h
M3osq9VrT4Y9rq+zm1KGWIS8EOCerO6HEkU+ehM0S/mOFj62RHPUtuDcmQE+aTQLicWFZe6XhFZo
ZKjAiTX+RhN5rYciN9Wd7qubOtRIqskgfaCa9x7nQrH91OmYfKoqZvXRBKOI7ccPUDqOs4PJZMnX
5xW0VxUqwureUbfVeeRKcAAnUGGboD3AsBStTt/sVMoUkfaVqZmh0omdCFNT98oLsyb1kiumpezj
SqVPjhiKb/28Go+l3nTp0a17YC/ppBH/LFRiOB8M5ipt6Pdggs4AGDSMla7gdcR07YNRkLMVSQR9
Tcyoc4v9YNQjSkO1H3qSROWu92tk6WxTTJttoIQAPsjyXR+6WicnPEC5FK2rnmXHZaRUClFyG/pe
a62KwylTAPNQSnx+s6V8d5/aY+ru88bwuygdzOY7lrcBQUzZcp/TDk0EcpvS9dEkejEepvPSA2DA
XjlhDVvNTG097Kb76jOEJZUEggZQ5UU53lG6VmK/bwffUgiuJ2k8KHP13efEZelFmH95qYHZorcV
yITwXQcBxi7PE/Fk5rh5sIBLdeipHgY2crxaYYCqjTtCFlXstdMqHkrmfnfBgABox62dPllLoSU/
U9qlt8/YJfgzsxEAwRNaGfeewhyqK1MfeJt2fXKSmVZmlxRS+7MxL0F1om2PAYx2/fi1QKhVY77o
Ev3R1ys79iaI6zvESGmPBszI69Bouw8jIVx2nNao2faGl2L3WHxIWAhci83iQZBFDAlQPBXsyl8R
f+cZN9Gy3cM8YOJAv1tnpLWo6cVL9eSrY6yBOhKSqeK0qNrPBQfFdd9lVfPdEz4qv54nE3y2QICF
Z6Gppl2Hubhmcyrohc2EnuioPXh3YcRwxjWSODuncJ47dfE48jANNlY5HzWth8szcgTmTAzR684s
4fU8w+tNmN1qqvP249S478YirwCm2zn7WOlaA39eD8pnb13mgddPsN7IpgDQCQ2oPpVEmyU8eBO/
2lgLZK2N4960CTDJSCdlFsnnSvAVAw0fr5+vTLTPWj7msHnbcVkfcfO1UAeHnigpmSm72vVFtTBn
d4M8Z7rd2N9UL4hoXbLWtA+5KryedT7Q1F91D3Hn6LMOAtG+M6rcJBIY5eOzbBdypgURIFFlbh2i
lOeMjLGlZRxe5aPSYpvWWR2uQae6PSuFJ0hYHPmqYl3kDeOc7jOEK6wHhtKlc68xVJ4jP1uMuxVF
HVvParRqV9cGEcf1WIPad8s1+eRI4Xzv2E6cUM6501zqRZoPuOEY8OB+Hgv3otVWTZhV26n87Gew
PndFxWZ9AxijbTfGad7GvA8yOzZnw07ueOhXH+GcVHEwsmndaszgb5UlRxuCcea47+xGkClmpNA8
z37Nj7TbjtLISFJfVpGloyzbm3nv3FAlrwvxXLqNDidvfJIVVKqzOSGBCGvIMP4xFUWKBXjJVo1y
AxpQvGjIe+vQY1wT3KUJ54gdGTIEjai56Nb7wnFVE5JpPfkxVfW4HinQk2Hapc2E8R/2g7HLTdQN
MYLJVttJVVIoCh23ymuLhARev2w6Qr9MTbN2g2mPtzCltepMck/2edUnkzbw1GVfE5ffOsJeM403
jYFO9tJVVunewzxy5Y/BSaSMC3T88lTnq/2o5ZntHKioBnZ9FG5qChe0H1VMaRN8NFK7PqqUWKCQ
f4qNyWmAevOQDanPCEKatR57NC2qONc07G22k4/iJrNFkD+V7pzqe5fdS55mvxTpew835uaHbC0R
Z0VOMGi2oie5rTrllnvsIWJ+NaRoOY4Pi5/WiKBh/3hlmsgDQ7xGPJXwsfEHdNIyJoY+7rDsXbdK
ciSGqvQZzaYGvku0mAZVf4dKBSW/Nj8AaCXXHjdu8yjGAR27B/BujqyZ2dWNmOmXfrBTu3lE/YjZ
fU2RBlBeZtWrThp7MLzR6fqzh0Slj47F8D2XDJ9rUEktMgd5gJgOSNWaOygQn1ocfHPIzFjftZl6
i867Nc5+7diADmFOAEiEfGdW3HXIXsDhu5yXZTrkSyFfBivLIt4E+dOcjtOeaUUyRUE9vwKamW6p
d98yjv/Tx9MAgC5G64hO5dWpfPJdOsw9Uwk9m5EvTc0WGDXYdv882+nwEhiD+FGODcqpJhtuNEv7
8ff2yPXnbxMb+iOoubkR9Ge37skvmDHap0vf45Y60K5p/BALF10Y6rET8qcxBuNB6rvfyE2Nh6ie
2rJ7Y3p03ZbYuiDMZyh2DLrSpn11A1qqCR3K+wIvDDk5mmtx1rJW/xDw1W98d5IfHd7Fb3Te/2An
bJ9KKwhemMu4kjL/968t8OaZfZLCmteKF9sysrOc6zEy0apmOz3H5SBy37/kBnSNEt33E2yJ6o3+
zx+3Hgye85OeAMN4y/X5/Rp8f8YtzC9zSClDm7PjQnW76PMk5wgCYrdeOtBR9VPa2f23KhD6PUyV
cdj//ff/2Tj+df1TVEE1gV3AHJa4X/3qTgBmqRtybaj3ZrDHdE5l/0Xv23n91jvdLJ9QrZhe1NNN
cTaP3PjDpBDP9iWwpvF2zAejvCVOzdQeijpohh/z2JaYgDPXExfeLoGFt5THKZTBCAFGtmsZJ0nr
KfbuFDmSnbrst1q/THHRoYqJtNEo9cuqfPS0qkubed/aupscc2BW1TP2C7t53QKyzDs/nzBeOGky
iSMt4BbwhQue6lh602xHhUsTZD81ZEtiIcdxGCrNrnWCpx2n+cDcfTHiaTKrb1hH9TGce9SDUQs4
7D3dd9JbbKgp5YXotMR5o0n+x1zSI3uQzjzCHNg4jncdx6ajoV28YsZZBtZ5pxDG7JPGX3cOkV4v
OTqQG6ds1HlqqiZsKK7vock7h6LdRufTkkWN3jbHv68C449lwByM+ZsP+ZLEXnoDV/vAuLa10ODQ
7YPBh/M04zTTzmOdG9rLuFRwAfxE4oxERtlFwgrWOp48CqO7nnYZj0gNK/RFkVDRn1C1LfoB8Y7R
hbak5/ENb/Xw4mObF8cloV8Uz7XWffSIeUDsqZTz2k6O71K6et0HbejL/KxyBMAloNxuLyp9TY6E
sJV6OHUmJFhl1mgz4GQgeKmShdJQ0PWLyyxpSb+dCuldsGvM9Znmh2M/zlau2n1pQ5d954+u6E5U
naPODKdJ7T1G91kLRy33bwr4h/YOlL3zwezWvkTn26meXjlh1B9bwyMeYxntiYMuAI9+3xAViNsL
KxwnZDLNKTPH0UFyYZhj/rBQp3pnTj/MuwFPr3m8qLyf7l2zr2kg1l3/ZOdI9XExGHI5uYCA3JfJ
gJsltNxCO4U8w30W/FAvs2ysz4PmTO1lINEui9MUXhsKWDNJ9/XKdAWB9IAsNzWbdd2XqMuyu3ns
Z87Hw+q/t6W9OFHRivVp4MGqowaIiLvLKQ3SfZVoNNU8p5ozjnNTgIc4x6aAloFZGGPCQN45Mg+I
vQ56GubwIfuYX2FNdngMl2I/OP70uS2FTU4HyJWzMgSa2CnNh/2kltyNKOL4CumUugiYZnid6APs
IQySytDiAax8dk+stmmeG71imTvoiWTkibaZv8I7RbwfsgBgM0NbHUHzMAfTrBvRE4MLj2jQ+Czh
lgfkq/7y0BaD3oaZ5g2vnMiog1G+IIQbCjNV92IIOvfJmJryjJbJQDjuu2WKbSebDmieGmOfGIVI
D7WmDOeCE5AvnQGJy+4AGiSvWN1hoAeFb/cgGaBRVb2RfLfTET9UuczoxWaojeehVN5wXrQeJZPm
1vNLVQyTF9II1qc3XmLXlRKAQ8peZwu/2cJTrKsZJ8TzVk+zVUDXAo4nVNA/rj0pL1Qz66lmof2H
Y9zt8ygTNqgXv4fhXb2vqEWnSZp8nlVp1jv4xV/h+CA7RXDyJXX6+cvf96Q/Zrh8nkuiT0BwBLIF
GKy/vx89LWhLIDG44TwH34zXq/tUBPseH+THvIIsA9RKlpcpkIRYZbNthGNgqgOjdv+j6YrPhafX
nI9dmzGuB2IWdnTuR3UyZ8kuQCgXUQ41N0Ur65sUWzR+08z+8PfvcD11374C38Akn9jjr/WrXZXj
WZJOBdQ9glJpE5UMRT18UTvXW2m5ChMgmk4X8GbClXD4+0df5UUy9iYgBE09+DXe67DYroaxTTMh
i5wSd19nOG5QLxYAcoe5xkGW6M4U3NWmxE6E2hil6+AKpB7anK+vauycaWeOUMAjakbITgNHbIx6
1mQeOWNibQC/tX51S5e15q70JXB6coaJsPcE6d53JrTMojO02zbzArA5tJ9k+Pdv98faZwbAvUU0
whZE/OFV1aLVMhEkWba4k5d859Lu+SFyeK6GgdEUIbqWv1GmWts07tc6aUt/2SD2iNAoGCmZf1+N
AtYg+CHRHeZFp+mdCOJm/KmCUofzkheB3c/ZxaMbUR1M0ZPKmVNXWTsMQNYU62NWLJHd6PhLoHME
jHXcvnqph9IeESAQ0UmXYMaH7KUWHqOVWfWLVk3qWZhdJk4oiejVb+GGJYdi/Yibr+LIaufjqUDC
8bXlcBjP2/CY3Xd4+Xmr/6NEsv9rOdNwLn9ZT39kjT008KrE5/LXrLGff+T/h0v/i+PBtvO48LZ9
3d5yw+bvWwyZZhn/Mj2abOxHFoeV7bz2/8LGbPNfqAqYu26yEx0VEzqFAd5jSniZ/i8ewADJ0TZ8
BW3u/+/DxvgEg6ujwoV0vGXOXnPi56YuV4YQJCQOhXeXEkL1KAcqJV+K7LyJ2DEo2za6ybrIbvXJ
Td/9cq8e/r3mf40T/rnU/+dR4ALIquDJC1w0ZVzGzwL3lzPj3IqsZl27EVeqPWvDSAE1mTafWjOL
6BEUt83CI2/DwLlzKs0DFaPR/F99yQQOZc56UbBZX6rF/ZhkpKUw5yD60qRyWA8aIBy5h9WDnc4d
3tgUr85926UDo7SQiqAK4MTzU2bzy6V37tJ4DqpLTGyLqo6LDnpgP2SIJbc4Fu916SCg7QPFDhKO
CS3qU2Mpo7gsyhzewuv//nLgWlzTszY5FOfejQ+97XG/XAvOigEwgVKRchzI+qKeDPfoNvTLI/AY
Nj7kGtU+nOosmHf009o3Q61YrL/saT/vBnMYQkB4wW5y4e1//+UKumUZKkq6mfEI5vo4kJM/hLjk
C32vKEW/5P7o7D3DzoEuFNXa7OtByuTYB9WoH1RbZem5cRq57E3NwRxRanpOMTSLLgBoMGTDxdRp
H7+xE18RB7f7xhuJx9KCP7bdvau6B0Ro4RpjjkWfwx9TCbnWQCAUmZAFbBE0K10T5OlZT2ypPeBE
4AiI6qRRApdtA7iiMMsZtZ9dam5sGSVpclreZeO/t82v6r/E9+YfnpJ/ukyWGzy9LfWJU5X9+83F
9OZmOseiiCepUGENJfGd3jfFvp10XUS62Y1GxGyjMY851rr0rl1Vmh+UaHGLmvraATZbe14hDN99
/JGDNZtviEKuXmrbrfRMUkAckkhoQPF++/0aWeYmZBCziWA2if4eHF0LHy8dm4DpFu/2nQPODOUw
1XbsLRVjHtQCJD4Rwwa2A///FIo5988rSvkvQzp3e7tlZHnpnPJL3uUM4Uin758ah6ZwBEQSTywh
VhpxQxjCdM5wQBHjyc0red/j43fwF5pu8oxHcn72Eqd0ENV7ILlcWLLirXW0FV+/bWOceTmAUyj9
W4179QN5a2nWeO7LSJIbTl/UN8XEYUNPinDWK6SQaIRLImVxdsXzYuofaIRbN4i5RbLDVl4nUWfm
5lsxR8j1r67LY2e1LJ3F4zjku12r6LpgnAEsAAKy+6b0TkYzo+waOT7ugrnp6i+5ifE99JKsni7A
GE91NjV5nM9WEjLGAHSiMzA0pJpPBD2qSEqSwvK+f5n0aX6/WMErcwWsAIhOM9xHnDmjkXl/PPS9
ugnGeg6zWoWovev7zLBBHWbmWJ97vxoPlt4DJml8HdZu/a2uOflaXvmMz9G9o42IYVZfFmIaE5Ks
HH2Gtt/N8aJ7UcPg9l3LUXvfl8sP2bnISdr6E3bgBTZd1bQXbK7QnyqaPUezT7GzAu+79IytQl8j
wK3uxrWIWC7pNwIpSTrEMtRvS9Xz40FXOKsJuHMg5JfDnhBEEZneNMEWUE/AKZ2DsHT7uAL7f2e4
4t2wtoj1KfE2luB6i+ShI4wGgxtyja49tMr1PyOEBigrrPQ2qSjYaRa6n9hKz4MF42JLGj0uNG6P
Tm3WZ9U1w+YOKnCJjSjRo9IRm8WItuaHzgXUWHjaO1iJOKjykVmXsWBlHfVqXwGr23VLyTx2nOen
tgFfxvDv3gRRHmKLJtAQ9B2gkR7LWX2zCM177SulfeqljbEGuyOxbno+rvrZmd3ZOQd0vb6rqeu+
Vdi1HTXEvjUUBw6lMBX9UcWdn1Tv8EF9oqep9vpUf6fR0A0xAyzh71QxWE646O76qBl9Th/QaNdI
IaSBTTcn+Y9hHLxvyK2ch8Ce3A+9Ql0F9ZjOqe6ixHLHVLuzcxc8yXBL3WHa1XTirENUc4NB09Hr
i+4MwamFS8ghn98hpjFt7RjBWbjtVIp81RXZ4zyO80msTFnx5VbNYQYhdidROQARdXubeRsIKTk3
J2vwXebXjATJTkhfrCU5cI6xLrlIEF0Es31mEKUx+tiC4CaZ1qdRivK40mpm13dk89x28qsssNPx
o9X9Z99w+i/mbJksUEhiezTE9TtnJNR5xJruhjOVTQECs0k/w+FcDlOKdjkj6BAtczt+0DzPjHiZ
A3wEF8t7xzc1vYmkm88PfjABsDMMBJl4PdoK6qs95TxJ6N334Lu8/pQO6NRgV274vuxVEOdHx6pP
wC4t3Rc21gKMldl9SnFxPXRyZpSogy0y4I7QzckgW6H9gQSqae+7XKAzWCDyxCkmOYgwDHnQRBXm
swMMIwT4wV7uKh7ZoDCSU9VNxc3CJO5W9AbETkcvIjPNbrHjTyGW1eBY05++WNIDxop+4dDNwGv1
dXo2TFYs7SJTnen6YkrxhzyqKgLCy2R+qGb5EXQsxC68PaeAuZUTbRLFTTEyf2xgTj8yAksiyN7G
o8/I40kMUjuZtO92i7vUh77ygiMMhv69QqE5YOYp7CNFzQP/jW6pXufHwttwQbXUvJPILPG+9Dz1
RWpMBseFgDq0aVj6oJc1d9BEMJ4R6HM0VNqXYQ8O9hsYUiLXvTyvP47FIo9g2cuQm7Qckx7TZziW
iUvcc92Xz8WqHiG+VfdKc5cvwSrGqFvGL5XtfA+6jsFNayHcBItfvqv6rribzFz+UJCSqH2ZlN5o
jP4OzNzSI3oP92iuFj+fVcz+vMNPVkcJ77nnaqD1nmXTq62NzRNtgzm0S8s/g/dSDIy3m6C4j1+r
fF5PXkXcN5NYP9h5BG3E6N/GSNBE294e9oLoMRUx3WDriFsW0jCQrbmLh26sX8zCt5i7Yrh3INrc
AIN0j4aOo5B0ks9w+uRjDcrvjBJLHWCIAOB0tOKuVz99hj2EhLofXmBTJDfl3GMY9vPlRSVyfOjK
obgfSK+kq65IN5SQuYC2pWEvAZR4COYPgrFBRAU2f8iKerwr+ko6B1cgKdrjiHPX/VJk3b0PGibM
elqZYeUI8V3PWtRWLXNzlIPZHWCz9TK7I/Gi1FD8Z7BXa/mdgStDU7+u46xy+4cpZ3qdSt/HoAqD
W3TLC77neofKKIHNqtxXpNzBHgE54j6ClQDtJZiao0HPLS0EpmNwsJKPojeLW0em6ZOxkULzJima
0KhKt4nsQKIxVI7+0nEwu0HR6t40HW+9LZMwC/loRDNZNcU4Xj3ijpT2tffk9wz03inJTP9Mxb8A
gZb8G3ZK3w0TA2BmUG8k44VzANgV1DwDAhTV++b7VmFFCHGUftMGK7gBl0RMoz1O8j6bEDllbZhr
7fQ8VDSaHam771ssHvtRtdNpLRrzkxdU+8H3Wm7LuBrfId6w/BezfkhsaCoUoeqjmtr1rsW+fcc0
loaEyIaT287tGnZtgZSzbNXFytblfuyX7ijHDmmai8+PHQCQYyXFs0RwJP+bszNrjhtLsvRfGZt3
VGNfzHr6AUCsZJDiIonkC0xKSdj3Hb++P7DSphmIsIhmVllVSsnF425+/bofP2eyrL2g+MBue2PM
gXOoYmsDFwXwCxlWSN3IntgnmyoiW69mSrdNYfpDuDrJ50ZA+Xehq/2TQLp6rc6+BSBCRHPMYD5r
kqKjEt8lgGEGmeY2U82fONnJzVRWUAVXVewDtAAqr6LQBaRzUqH21ShmaCPUV3lsvA5Kamz90pPo
MfY8ywGIRQqxi3kIlVJnPoteXn2jW0J5EXrw2OTCo/63xMP0C/K7wETrtPVX6tDkoEXM6YfcqU8p
LBAUkTxaeBvrCU7G6q3tEv+pk2X1Tz/l8W/fKoKHMPTitd4I+tasPQrzXg0sKIbXjD7nKRx2ut6Q
xS6CX41OF10cI6+peCIiIrDKuHkVxIdmXjMUAZAT7+BrtOOwCLdQDRjgtzkiyiiWT3mY17wsVKIL
SFloQx8mqIe7AewYNMT+gyxXM9BOi8NfErmLGyi4QPkWmaD9BYn29IRUTaOuGogbqEAUwkNQEOC7
wpSCQSlQUHqZgKY4KcWhp07Ryu9lHo4as2L+ok9bNF2SyXgAithwxWTi+AXCipqndlrQJKsk5r0Q
grK3GzgWfYeDlbiWxamfqwbBLVTG+SNsIKLkWuL4q801gJEDjP2gVcPSeJV90Eq2KAHXswn/zK+q
5Bkw4ilWBIooxKQCdQKMLkI6DHvo9CLzG1xhcPgmdB0TRcAyADAWEXULp11Bl4pSgUXzvleOfKEa
8tJ66MJiHBV2qF4E2xJwOyLbpVxQqNKT8Qu7I/ZpsBj9fh2Vum5BtDx22loOdRyOL5v5tq0b66sU
tOkvWWmKbcdj749f6gSrbZ+iojfD0NJJim2TzHppV9GEdjQgqdZzQG8gV9Bm2SEwwOVDlm39ysQG
IuZI6Qh5fKN85eYNbgtDErdwnlsUB8lfd5tWRO/ZFeuGe2NuuNt4lNO5xZQiuI0s2AGcKmqpjzbE
Ny43T/6alj6oOAkSya86NCPtWjSnqYAHNMl7KJJBptmAbkp57cPe/KvpFfNrUtbC3dBX/OI2LynY
VFEu/PC4thKHEDOfGagN/zkeVO8HPcGUe0fAOJvKS2j2TpA7BUga9/QJgUh+zeKK9qpBUJpmI1mj
VbkhYXnliGEAVV3UoBaRPBMR6m96KHQFV3kjUnXI6/hOgGDJJ0jWQEplgxyYa72v8seBYJuYxFR0
SJGFQIQEmy590S5CGTVHaNXuuplx2Jmva+DOZK/7fexl5lepVAZtM8WWJt0IbVsI0ObFVvSWKW1w
y1HOhL0oCi3qk93YTkBGNBoFeWWnLZD9qkpuoAcCHFf2vRk4s375N7OGhACSR9lE/sMX2K9yZpgK
sXsJ6YIkatA7Q6ysI8RH3BLeUOU2vmloK0auMLCiK5PiKFji0iQ4zvo0qBwvbyyicvqLH9RCCu/G
vk9W4NxYrSQRI8umWWC0NbnMDkI7mK9BNQiDC7IKJXU90x/zadj7eqB/KUVP3hdyJPyQAymt7Uad
mLAoiWooJgpdsCEiCjYUDoYnzau4GiCjhZ+tUq3vRRvBgZzrMKnnw1jdtK2v/Bhw3nc5fdbQcnQQ
zGA338ozSPQBWmWKflFKmdFuK7kvNrHe0MI0BlMk2JM5I7j46IoOtWtXZI5QC5ngFoGWXpNAndOw
R89+Q6PpRqbPFHFJcpfLTjoaO7q68yRoGEvEWJ0p4PUT+lARxJFVbKw0Gkwy8IKlcMVG+o8uAiTm
QFtQjVzRMHRAH9L4zX3uTYK6kky4aWxFmrRm1dMkwIUWNu1ri8izTn9Wn94AkioMdkfX1zNbZo6M
ggC5n9PB4rXvk0RFCaODTJaXGoRBIMon2BZKFLjQrgAfCrF4mqBkdDmFe5KcoshPapukI/uO1iN9
nqSPmb8sNHKRN7QNm7//lypaaeZ0Xp3/HnvDf+CjALtUCunBD1oCfi50Kq/6JMGCRg/OIdFHaOAS
ujkhc1GHK0qEJ0laPpyJaBDZdFOiS3f54cTSBEVSEvXVaRl9pUuOh18lTlbEDizT7ranS2OTqIMI
weYEPHJjIIUJVZ4KnbZzeaKO60xzelGc6z4WfcJAw8y5rPBxnvyCRvCoQ4xXQqTeLbuKNp12WPm6
0qxhXtSulHTnstXHlNRsDl1MsoYK9QNlKVysZvRdhSGdON6o/miEofjW6PXk5I1u/bg8sLOWLDpy
6Qk32QiLymTq50CAfeiXBJh2nHC0xH2ZAraF2OZvRddPFZCec1S10/+cf+avvBgr2Nya//rPo78d
wr+qHDrRZvldRz9U/9f7l8nBzlWdo7/Qb0J/0kP7uxoff9dt8m8Df3/n//aL/+f3+295Hovf/+//
/pW3GRHs428/zLOPxaJZauw/3j//37/+7x+7+5HyY3b1YwqPikvz9/9dW5LNfzHfOurLzL3IUv9P
bclQ/oWOGTAccpI0+5JE+v/FJe1fFHFnKS2TTIhIcEvS8O/ikqAo/6LmRGs3FEIoacBb8pnq0nJj
UAejyklSn7SohKDmwjPQ85kBgMbZlVqTgNIPmgaKRUjL870/AWBdf5iZM2nyU3MzwYqEKZmyEn0A
xwesEAyvjRsiRSmuR+0XsF5poiXHCwX1yVfBnPx12d6c1P14wiSahUWVE20gdjrXD47tQaMaVyO4
Hp4EYvbYGIr+XIb6NYV16DaO7ZBWpwZItyntwCKK3eYCvMC/kgQpkB5udvfr+627Xtv2+uawXrvu
+uDw94PL/7uuY2/5k3u4We/sHd9zOPDXvevyta2752urPX/ku9e73b275asHfnjHtzrOjt+23tj8
Sn79/C3rnJ/fPa/vdzt+m82vs1fzl9e7tfPGt/ARbGf+N/yZv6xs29k6W+zyvfzGL5t7fv2N6/Kr
3vg3u5W9WvEbX9yDvds927uVw8+sVitn5TjO/G0rfp7fN/8y55Y/HBgJn+hxNr/ZOvtvq/38rav9
zl45d47Lnxn1dpMzeIdPt15tbx1nvTus5w/KZ9vwk4/OD37rlm/d3z1tt0/zNDFR80+7h0Nqz2af
HP715Y2xwEtoyxWzFgX+NKpqqqrSw2F9/7ZbPzOolfPD2e6dpyuW3ouMH/bgiaXFEWuAuEG6Lz2s
3YeXn/e+fW+vXu8c0b5iZ1ndObGz8PFwXBcBLeUPa5boZff4yDo7zDdLsr05uDeOc6WctKDWOJ3C
xW3pSU0ZTRg8uG/P7BbW6fIa4ecuHytrPnYf4paazLjXhVh4uFnfzBt6fXj/L/+8f1tzNu7Zq4e3
w/rtcF/aHJzD2xtrad9u2Fi7x81us9msNptb+44dtndutmzn19vb9+14azt3W9abk8excJ2HG8fm
fK72D87NDbtvv91eGc610czO8cNoVJFqKlIVD+6L+8y5Ycau7Wpt4V9P9sD8ET6YmPDkmYaJm/Xb
vb/iWHLc7+cDz7Q98p+dveFP86n2bUa4/7OljdT+42632z+9/fB0bYu815Qvbf6FA0aAQonSeVPe
757v186f7S6015v1POmHNT7OfTrMbpKFYSFWNj7Qmf/q3q+f3efd48F9yfFtG/vl5ueaX8BQ7jf2
5vlLx/S5eJHH3YZ9t9qzzwt7dfcjsvdPLLXryrb7wIZ4s+yvqzs8ydq1t+7qAT+0P8wO5vLaavNe
vzTORWk1RkEBWDlre9ge7Bd8bmfzuV83a/vx356Z4eFEbxz3Zs2HWOF3L38CYNxXPsLiDgL0Nusy
MNUvuPcDs3CY/drhyb13nZvdDm+9feO04Kzx+NwSm9WqxL2u18w5V892vgXcFxZn/ebu7u9x2Oyb
+0fftr+zi9asCbfEas8pfMFr7+13X7bb7O53j793vv37cf6lP5/v30L7ebJ/+vYOZ4cfun/kr79/
sxvx+Vvn7gkfyz8ftk+rp+0fB5e/fbKfuUUG2/btDUf1++3d3fe7/Xb1dbff/np64KZwHrgOnNXq
ybV/3HIRbR9u3CeOqL3a72/x2fstU+8yq+/TzMj/MN1crljkbtkeuJcPN852dcdRf//Gb0/869kp
PLk3Dy8vbETn15UVuXzeQW0dH0bTJzdscMVwS97wP/bu5uBy5XH0bcfd//uSc67sA9D8F/cBhadj
swCijS7HLDaZjsM955+jNludb+/S5hTZP+e7HnfJudjZfCPeYf0438osNAvPnx75gZ19R0Cw5k/z
z+52mzv+uX1i0ty98/Ae2DCt6/nW5ETdcXJ37+HCdr/nQM5bfT3vwfv17E4De8sWYvrx1msXf3wz
L6O7fTkQ6bjbe5efubwA8+3wP2cSDhTiWRPkqs6L1wC7NX/9gzOk4Zw2ihZGAspyHS3jBUVIBQTe
ZSvHq/y3FYXwb34wymA/j63kHswr0ITWqNpFdDy36I9V2ZC80WtbumFsCVfey6ejQncSjiOTiiL0
N++sfB9GhWC4oVkD1HktqOh1aPYD7I+dZF8e1TkrIISgIAJ3OSdwj0clQQYSQdhb2ZEayN/FsETN
saB7+LKV07mD5sHS6IogA8D7f+GyqjIRg8YgRQsxZUAFBXLI1o4rTWvhCR4ps0tlHzxftnl8Rc7r
RQcRUAtTNGfsnrgIk2D3K4u0G+HDKDNou4VSc7s6joDOUVz+tClefrxzQA/OV/NiEuUiFem7jTFF
FzU9MRkk/fCloqueJvvLps7MJLAuyucG00iiZzGTWqFnppDBm9yFdbRrwwhsGc+3W4RgrXuSpMb2
sr0z++OjPWPh20aIQ3My39AmZNKERJ/kIfgTdXp4xc6Z1YISgI45esUsXs+LKfRScxrDXCsh/yhR
PY4iuitcMPzTm+J35RVj5yZRIx0F6BcANU0ox5ueRm+dcvZY2v4ox25LBv8uoAPdgXFwdPXBVK84
qLODoxERZCBUX7o+BxUfjnJHq4nZhBR0qFOotmZF0NA1MlS0wPyvnOdzpnSRli5OMxRrS6VySdC0
WBhgWh0pV8/oBv2ujibZtlK/unLA5pDu2O0ylA+mFgcMwpOiqiVGpU35fRAYUBDFY/lthtne9mpc
fqvM9uXzu/GjyZOJDNFGmjuQpECEsqPytHVYN9cgZOf2PD1B5FJ56IuA4Y+Xq6aYV00CxbsitNov
cQ6KTDAz5f4fjIXNzmGGw4MU4bEVT/PUMrBABOV1CgMqXLPrEPzZ5rKVc1tdpyZHUkqCumz5/K0s
ZFHCGZgFUhciaNNKYgrTqfcHGeLg2ZpZH64crrM7EAy/SsQCBFVdjAsYRFJRLy6pOxg6tBLtq6aq
P+USrojLQzu3TIaoivQMzPnuJSkbMObA7zVcRuDBrtqntemqidRcOVCL1+98j5DUeReH1+lIkeSF
xwVnBF8YICIIa2mAqDNwtdoURKuiKPxNhvKSXegIqXlxvFG0hq6zsstaexLV4IoXOR3vOw0EmWtN
eg9HjjeMFaY8LDtuGQl1Mv0hqynC7gLYpeorK7hsZXwf8gzHfc9aa/QgHVsaanh0pYFifRACHBET
uVtDPK8AaoKnB5W1fQWPz6qKc0Qxse8MYzzT1DuN1Fi7FnDblVDo1NNAk0imnjyorNKotPg8/Uh8
hGYSZWzR7CEj961Uh+239xWqsz7UamHV6Y9w56XDldU/nXMsw06nUrpQTsOjUVYQ10E/xB6U3HQq
mgOdSaF2cnknnx3fByuLLTZCUjX5JU6bZ93c+TbDU0tPgG+dKqj1iozXNbT12XGxwEycTil52R9u
Gj3UTT0zqowmiswIzTidCuXF5XGdOp+Z3lIhhqW7gaz44p7NEMOIa6MByOBbFChNdJeVuI42YptE
P5uQzsPL9s7NI4UWmt+xJZ54BLA7JPCpkNoA82AS6UpTuJE9UNkw0dQHuRutxh18osAr47xmdzFO
nY7lssxRAUnSrLqJ0KjbFeixHqJWoIZKYcgR4+has/u5yZ2jTVpQCOABZy4OaWFCglGB7YhDSXtp
qAm3Kxm1lE2fWbRLou7QfL88vaeenQI5SEYKrUTWELAeW2wVv8+02odY3qszVy/LylXSqLOFbPh8
2EkoTQQDeFwUdW3ZJBirEyIHuopgS98mKxF5n/XQaJ8PpqlDgtyl9kLrDUWb4wHBqYSAjjwWNr0s
/UaBNJ9qsYEQMXLnSSVe2Z1nztyRtXkXfYgCe1/WwaXhrcQQvUW4aiEDcxCan8YrF+McnxwHZvSd
aLQqsTugQpAW8QvnOEyQ2YAfthNRIDKBaORZKu4RwzFXhaF3z0MPcwmcsvDwfP4o0CJKtYr4mgf5
kufDiCGujRtu/0kAK5WUmnwviSjBFrJW7vJKnyB0D7zPFVjny3CuefJQJsIGlyEvLgjeJHqjSD2h
KATxwDXRwyukCAiv2Amf99UUsd+ja9A/MD0cr6JZ1GOt+gUBFTIGN9CbtrtUabR9SDPOtvEM9JKA
0VxjPT+zpKQ4yDsQiIBveK9yfNg7VVDKU0P13FZaXfbhrghN2BhyuIlzpb1DNxdqN9Oqobjuwisr
erJt50tXpzdYglCDO3CxbTWvz4qyxKNAnVGAf86UNbmY7gqV+YlvwQrZh1kcEIjAiW+Brl+BHY09
C9AC5oG6jaCQD+tki/RHdoWq4dyI8C6En7C4QUmz8GMIDqDnWQDGg19goEutFaa3DniwcWWrnB2T
Cgu4OQMeIIc43iohKrpmL7YFuzIe3boY1RsxadNdSSPMFd9yzpTB/hcVONBFKsrHpoDzZTmYekyV
cKOR9gBlM42vQS6OV4LDc5NHLMQRgHzSkpas32VqBuEg04RfqQA1KoFYFzhRubp81ZyxMl8zXI1M
nkiT9fF4kIkPrDIE85poEzKsOiTGZZ6aVxbonBW2NnsAGzOZ+bEVTpFk+omHKks8QoepW8LPDnqu
T7/J6dMmQ4lo5gwBIX49NmPIaRkIPsJ4atl66yYGyBrDHuuQDrlShzk7oA+W5q9/cBNZDjfdNCIJ
ZOndN9PIgIYB+76y1+Zb8eh6YTikJmffh8+lvH9sRGqQ+cklmsAkSI5uy2gon1JYpXYWtBxIB/fD
sLm8Gd5ZSk4s0n5L15Qqzd1TxxanMomSvsQiQHsmsJQCd8gyAMVWB6g/gM1hmyEOvBpDzdog+Cv/
QQBhX2tZgTJdHz9e/jjnJpmFhOiF1n+IvBfjh1cykMyBXRMbwZuBNvmqhO7mSp7vnBE6JuhF1maS
a3WxZ/SyhyWs0CCbDCsZ7qo+0puZaQ+e4cujObeahgXSge5LfIc1e5YPW8ZT40yEJLGwsygb6LxS
dFvshbWkIWjewCh72dq5YZmgJGZ2Lh1ui8Vl0g61PqRdXthGo3k3MQ0wuwIP6v4DKyQ7VOIfYshl
UttIjArJObxhVKfVbd4GdFBo8Nt+2grTxgMKb8hCLWcuzmYVNXTFiFGN4C7pLRU9Ky34bJoI7A+N
HuShFN41YFuP18ecOqER5r0fh0p6SOlYdgswrVf87WmWYzYDNggMKkll9R1Z+GEbpKgbaGBUkQtv
vfBWGE1lLYFkzHvNspFTuDN77bEQUAsuA8O7Ide9Rxy5uHK3zKu/OOecb1qlyIdpMMUtLuapFFsL
4hWCACCZ0qoZgjr7otKC0aFh2KPNPfRWEu6qDgLZKxvzzDHgJQAOC2kJdJaWYZ2AMKXYplZuI3Su
IOIu6qPbF+EtlJ+q09Ye///53TOjo1hSNAVOaFdaiHhTONHxaUGApjoNiGsjna6dhNO4APUAg+wY
O0iDkn7xFCDf7A+VwbIisusD0Tby3ZhNxo6+mODKFjqdQUyZwBt5d8/Uc4uNiq+E6UxjBvNYQ9d+
zBN4OUVwI1+hddV+oUWIMNTlOZz9/vF+AUoiq3OWEfelgpA78l1BXGqDj8gn7Q2p4KpWqX0r2376
WdL+60qw2v4kBTLcFIGSb6GQrt8umz/drjSA83rhlUMUiVc7Np9mpeh3PbzjiMz5MJgbv5LKeNMy
klOllaV2q16LKE/d52yRByuVNDKsyvz1D6cUFGkUylKZ2xn0ThulbNstRyW7spInjw1LUukd44Zj
f3L3LDaNHDUg4PKGDiUouCfHzMLwpZzGlP5uen2+lHCd0/plBuSLjCSpr90RZ/asJuqEsjNJB551
sarVVBgxkrM5UhXQX2hQtDSINkjBc15XSnTlGJ5xfJRJeCajokQOhffA8ZQqshCrfQMf4KjXX/CL
8bPkwW7TqRUCV2odaE+xAoLWHry+btay53mGjbBv+RXoe1ZceWudmfl3RiEGDgUYgNHjDyMndINN
ZY+zLwOOa9c2P3udWD4TBzibRy8+1OY3qfSDT19lTAIldLJmYDW1JamBmFqJVhbsZA11clRzfE+Z
NlYn0fd0+cicW1seXeBPFZ6SQMGPB5hmWeSBOkV8tm69rx1CmsZqlCzvpgnV1th83phFyorsI4SQ
J0yMjQrKW2ho6JtUXdwXUt7e9ZkBy6ye98+XTZ1xfvpsQqSYSOv/ssIneao2GhnjQkvS+xU10vjV
bIxuE2dJsqWYGXy/bO/MPJKfB3E8dzuYwASO55H2AjoPxxy/nhumKwQUL6sKnoOcn/n8kpmUm7kS
GRqZ4oXPCfW08OsmgoxrVCvfVocW/m9typQd7d7kAS8P7IxPRcCQgeHlxDnZeDywCFLHxG/hUZdS
mgK9PKBJQigp+qHRWsu/mrHqxE3JXXPl5XTOLqlGTKLjBpBkcfLapkcrQzGwC5UWrW1oWt3JI0XG
KguDr+iD5LdmFwhXgrszywg4gRDAIPiaKQiPR9sZnZo2go+ro0fZ9TJOeTHLVhlGrV9xLWd2KNS7
c+8F+WIRQPqxqUnpW6Pr05y2RAQaEsTFN6PemVvamSK3hyXySpLl3NB4Us+lE3LFPBaP7ZU0nJSD
aWWUN1V9JwuT7Ka+lj9OJs1kl/fMvAMXYYBJFEWdAeIP5nJxD6s0sTUQ7sOZgML2nUrDnRupWrD+
B1a4dzVZg0HKer9IPty9YlrEqa7hTcooKVdwwJs3sAT0n86DvXMGE4mSwNUgJDuetjqg7KaPBVYS
bTAcUOjJuFVhjC3dUTPF8oqLPLcryE7N7xiCCliUjs2JItK9LTzjbMDmCfH4hzSHy0wnnrKRzS6v
LNQ5a+T3ZvgUKWLedcfWiqyOdKXgcNNe7O+RlUUuKPaNnTgMxc3UT+2V0Z3ZGHhkstDo8WFTW3jJ
2JALenzFzKbTtaAmG4goJfi5hNbA5b1xZrNjYk6KkZ+lrWrhI4dClYIm5BwPXWekbgpuAKmP3Axp
7vWqp8vGzswik0hZEoACdMlLY94gDRlKp5mtW4GWuXyc8q+sUjW0HgWSuGT91WsyU2e8Izc2mVJi
EkLu5bWN8l1K/7ic2VEXek4s+K4qw0ZTtxpc+fAp2MMg9VdugnNzSlA902Cqc55pnoYP5w1aUKFI
Ife1jTrZy1QSV0mq0MuvonlyeUKvWZpH/8GSXgAJAxGU2Yhoht0OV90kSB3HXeGEccFSXjZ3bjKN
uSg6xybcKYuBwS1oJkEtZbNoUrOZRk34Mume5ZZaXa6EwRr3Bvzk3/+B0ZkKaj4OvJYWRqsU1YsQ
8SioIpnEEBjIV3javgbokKxFvVTWfR1co8k88zzD8RNVg00FsrDkAKd9Pq8jpcqQYC9h5gmyvVUM
yffRC6K/8lRJ37QUuShNEKud3A/plTN5GkvPFSFcKBE1PVfLwy+quTEoCeISrTFIDy2kUHYCP8oP
wSvbw2QKEGAiFnsQivrKzXfqdebtykkhjiahsLyOska1wob8pO3JgIYoZ6CupETyw+UFPfUCvDoh
uwPxyt1HeHa8aWFsaSH5DkjYeG3w5k9Bh9gcjXgZnBdD/ta0mv/jssXTCZ3fuaTUDJB6lGQXTi5o
UnquYe+30yakC70MM/iC2gl6pIqSylpT6NY2Ml/sbBQV0Ib/vPX3KB5qXPRVtcU7DYp+SP1UwlCx
KGAVMAQOpo3CPc2NiK0hBRNCVt27xSAW8OmUgvT7sv1TJ6Fwh9CjR0kCer/37p+PToJqBGEyTkIe
YmXH/37E0AtuaE4315+2RIqUzBBlnPcE+/HK8naQkS/glsw8y8hcWClQ5rVi6vlrvdPG4MrEnp5S
VAN5RhAXsqakFY7N1ZEQo3aCwIQuJ+UvLhA37qPYlRCXXjVNlm/8dCxfi94oaIxX1G+XB3t6WLBO
Kt0k+KYZ11zEO02rw22FXA/8IVV0IxW6aGtRJn/6SM5WYGQh8OV21heBACcEZhKrJ0LsBWsfjepd
Zw7C7h8MZe67BqzNA2KJqanB+Qkg0pjIfiq+AEj3RgrQYncNB3bm5JvsDFKVhgVscFlOonYKrXfW
ZnDtq2iglbQ5WlLq78D6DeiJNcKnQ1Lq6/QtUyOji/QEDVb78piX8xIJUJivks5M7iBC61epP6hf
Lk/hub0I6nKW9CRhCSb9eC+mUSjy3hq5842+3sGDpjokE1JXHvtkN0tN7ktq7Q+QgBSv9MAVV47C
GQ9HGMeUknUCDL/EBSPP1wH7IPj2BiRf7ZKM4hfVTAzymPBUP8vwYXa2poblsxr6Y3Vl8KdxAREW
7asUe8iAw5F9PPhcmArELdAXk6ZcfGUxQh3hGw6j0wZ+UgNzjONHXxi0f+BwMAy2gEXG7Sxz/00Y
Ih/c8QgYpZJ+ez7hrjOn4EUy2vhK7Lo47pw86GVBFPIAwIcT2R2P0YOrLbXUETGOvtZcyUzqjZR3
0RUPukzq/W3GxJ+JkEDyqD82Qy94KoaKEqKkVGwbK2ndDrXEVS5GglPqtXhHPREhAUX4gmDtsC6p
dj54bfPJ7XzyMRbOTS3EviG4Dd2wqlCq0IxqQ2DYb3I0O93YmlY5hAM2p5nEG0DG1eXDtLix3q0D
7pspF8ikksE5noQKpqAwMtrQNX2/3WulPq5Ev+3WedhdKzOcW9aPpuZz/fFynBRj1NIudFvLgr0B
HiBXHuprojoLx/c+IGtODMPSTH7UWhwQoQvgNQujwPXCyuj3IghYz6nHIq52yhhZ4pNRNN4no7nZ
KCh6qnz0l8+9+ItZVEa1rLTc8t3eC/wD4mCNm7GDrwSrZ4YGaTCXB9AZ/rMMlVsaRTyBBJNrQQKX
3rRSosTbBioreUurfk3/j1Hg8S9vkIXDeR8apcsZpYVtHiPHq5Z7BjIII4oL6YA2DgXgog0nx5jq
HhVZFBkGy2lQC+03fgvp9JURn2wZ6vnsfXARAO3xtYsrueoaQxW8THW0svG3aORA3gzo9YqVhUeH
ZATA8KxQzwKicrCE+rRJSPNKLkuOD6NT58BQld9H5QC3nI7MWz1yW6dZgZgvAghX3PnJ8cO0SfEZ
LByETKD8j2cX4h4oZ6MUmVgxD6QvslZ05bewaWRBtcG31M2VatQ5e5wL7nxiOaDqizMYQAkme0Ih
o3OlIl7aT6YL5QOMre1UuZc3zhlT5O4tUviAmziHi6EVdHNVMXAax+PVsfJKFEsH7mVcWlldWcBF
RDAv4ExkA/ga6QPEgBZ7FE7oUhranlHVYn4TQEy4EbwJEVTB8B+bjhq/17eRE6WDctsr6I5fHunJ
uZzNUxohqAO5w049XkRZsCxi4EB22KTmRpga2Vb1isS0KCjEB7n4cNne6alQiLCYVjYP8eJ77+8H
R1r4Q+xFHm5NTiDEjJOsWyED0lyZ1NNRHVlZih7EENALZax4DhV9+OYRK3OSAdSdFECPBuvbFT9z
zhzZ2RmYDbM94zueRC0jdxqaCFvjxGD2XBdqNSIwEmiJkqBfm6mwFK7GBuKh9ednU6ELEAgs4EkS
WMeGA1KN4PdlAR3eXH8NYsqY0Is9ftYITCdcDWR0qABx4o+NJPmYBChaqM7IcF4tMc+gvM2KK/WJ
041B8wOsPnNLhkEsvphDyIo8KLkhrJVlqj6aGeYrAfja7rNjwcqcI6IkSmJqmZpCAKQPChOVjUKV
icxod12HYn1tP5y6DxSjAFABhaMlVNLnr3/Y5KTqvVEpkWaBABc930DkeuulaDt4FOsvD+jkipsR
TcRUCo8XGoWWV1yVzx22YRi7JW1if01xmz5rml+uy0gb3NrMhb1PEvXKfj83PpAQEH2TnsX+YnzV
xASjxh25URiUlIyBsdfQw9nwsvdXTvI5U5wo7hfeK+RFFttCS4IupO2LCs6kNPcFYrPIQJnSqwrA
8NOHae7cA4NERn1O6y32Ocz14Vi06FEhIpdvEDn4Uyn6NejB6XqxHyhHgPmfr82lv60VyD5VulrZ
gMb4FUXsyYWPLbil57U+iEGRHFDGqq7Vxk4P17HVhZ/wkI+gXcsLXUXqpm1XhM0mrzt5e3kvnsYi
FDXJoHFt0n5OffN422vDGELizKNEMNvwSxq3yKQZQ+akaiHfoMuA6EHYe8oW8Snvx2XT5wbIJcbL
Fl0PciCLAQ5TjdrmMPAe0vUB2n05vo1hW3T/gRWS2lT3yfbSrLYYYNQCtfW00DWQIForqF2AIZOu
5XVPtzxvGhyhMrNmUYuTj63khggDbhNErtiiOL3J+6KWESlHGHhbpnLTXHGJ87b+UFxkGJijGQXy
LF5RvCaPzXV+ppblhAS5N5XqBrWl6SHTwsSNqjlXZbWddWWbnDkCZP2A4Mx5c8LjxVoFjaoKndFH
rmkQbTSNRM3KEHJzy0OlWXdgym87o67T1eXFOzOt+GNAN1jVuTMXi9fASi5KZYeqLJfPWkMmFxbj
lpRuzmP+WsP8mUkl+NcpyXHwxJNUGVoGaIz5ZeTWTeNDpA7OQXFAH5i6E+pWHWzRSQnTT7tlEo1w
ds0XHBRhS1UM1ej7um7b1M0ohjrklrxnvW+U7aTk3V+XJ/PMeaNw9a4DM5dzlwiqpjWoAgSIBYCh
N5xOgmg/maxf/8QImWjyHLSBLZ/DolT44Pma1AUA3aM3Lopu1lvTlRv0ZF+QPuEao+5HzmYGuh7v
f0QTZIqLUe7SV14+JKTdYaGt+k0wSvr3ywM6cZDsd20uiM36RyrvtWNTWZVVfpakpRvlmvLsgczy
drBR0+Dq5l4lWi4398zAqvZFGb9FfQuZ5+VPQAn1ZOl4PwGVJECekSA00h9/CJ5zMQ2fcbkaIcun
B1yYlEROvnTJVPuxo6dqnU62HqZTYqHrXtVRYotmKuqxI1G680pYR0UplZ6mVBmDHyFCXpa66xOz
EL4FRkaG4rs3xhH89oaAFuevLI0Ez3QENGWQUw3jLoujldj7oqc4SDJ3qCM3HeXeaINaQaU8Q8Bt
CbkD23A/f38wlcpraQRp8wfpiaL/PsmTrtxVKTobv8pYbVpHRlxUQqo6DxGKi2CgTfdtEYV70Yh0
uIiNqBtfhiBrKJBnLZrFxlpGkr11RinuesumwmZWBzGZmRIiJUjMb6R3ZPVGp49S/GXV9D19jXkQ
Kgir0BIlZQ4zkxpulwhRm/Hh88HbF1WUNg6V26xHlF3QaZXMm8jz3JQieezAbm9VXwdVqaL7Cjpv
ZZtYlkeCkLHk2muZjK0yuUrZD4a2rcrJn5RV06Hd2ziJmMDyua2CWug3TQrUCq11KLcNl86UMDSc
1CqtFBWowhPdPIA1/DFvJyn7lRRoKYabBpbA72XNc7Zzkyov4D+ujNy7a0ILibyyleqQhwpCXG6q
gyx5kVpfpKFVmbJseip05DNcxG7McTXUYtk4raEl0UM9c9CkLrLOrfUdCSWjfivaKgla5FPUrH2q
84ikKxzfUVKhVyh4lrQNFLkZHnWUsGNeEf7UltQrI1FQIzuRq3b6rg9G4n8NNRPB1jXsAX2X7JK2
a4MHI2iLrrNpmTHRRe2NPOmRN/D7EZUpqnnE2OGIDvv3yqBbn3dXVljNt2lUem+ww06bhAezVvzk
L5UbW0ZzSRBMv3anvopkk4o/qoJPuR6I2m95Qik6Jildl4HooKZuRJCMml0l1c7YlnnVuL6V9z7m
OcjWc+SNKZj1ttDNaTP6Wpa9mlosovcJXiKAVjxPWqN/w1d2smgjKBFPX8rWBAa5EWprrBVbjrIK
lcjYb5QW7nhzkr3fdZXJGlvZ02vaFoRxlMQXhHWmmn51dZiqzvEj9FVei8CapH3/3xyd2XacShJF
vyjXYkimV6hBozVYkiW/sCRdmYSEZIaEr+9d/dYP7WtXFWRGxDlxttfJ/VWaYS5++0k+mRc2W219
CJJckIYr/Z3YemfKDfCfcnNADBQ5y/4M4/e3WuAemQ6w6vnLh7WP7uDghPJtquIZiEjecgJl2O5G
5RzGvHULcXXBvgRFanq5bR9GNryop8bZiGhII+3sWERMJcwAc2Pwmi7J9pw8zvVslAhAFjkqZgyY
7p5GC7idBVucSeYuzbz/FyhSsQF2qREXUOq2m9PKExYhE7MtBzlgc9PK2c36gcNSVEXKRnlu7jyv
ELhUyfjBlpxubVzoz6AfLEjdqHB25zlUHcEJbO1seVIRio5FZk45YIMZEsVWXQg8XpHAUbn4Icbx
JnLrXoJ2aJ2gHq6HqVbdfB4sa8FjttAUROGh80PoysavyM8mt6hURl3D9ZorPNJuMpFTT35NkHlS
iE5n5bzGnXe9+w3H12teB9s8Pxvt9zo5jiaJVvd1yFt6H6q7OPCriyYpons7Qai8jTENjd4RBi7M
gTXZZvc4jhuRQIcE6OXw2FT91l/1ZHmAcnGbqdVVmgTemvwXNx6ax2mqtvDf1JVrdOs6YGb/RqU3
ti9NxDY+rj/MShgPWSJt/wNe7wDwWqgWstWWy3LrhKQWvmw0yPObM7VDfa7rIvRux5gsKgC5gfMV
TQ3hRuW8dddDvtdnYFgQ6Pq1L9w0LNbiPsw99ZCweXDy6kQ/oKt16D3AUcbgJS6DRh8ZNw3WSxG9
W/UQdsvK4m7n91K8ez6z728+U+m/T2E1MhZgGSk5889CcnCVnrcMH0Ltn7FbO/XtuJk8OIQrZXpG
KLbXv/uzB4YpFU3Td3ci0En97Omy7u9cbuD8sZel3e4477r3XbqbeitM0uff0V7GzVOlRRw9TT0B
zu94gfr2NEL1jQ7K7ZbtTK26TeliDabRYy+a/KdNRnd4xLZaNidblDb54pGF6AYVA7vL0wAq2fyX
5LIKWSoc+B6O7b4M/g/h90ynU9EOHk81z4hjnwK/QZ4SZpvC32bb+/1GiUpe4Cg2r/VbXsSTY67k
OoZjdHKCobDulaVRyG22r3E1/FvibXV+Fi17uFhqgoclMniH0vvyBmtnn+15MIX7gQ2NZSRKHhoE
UPIkUWXArkarLq7UQfm9HTNoNr35iWYIY3Xaxv3IpqwqvCn57GXldG9RKZuSS6nlQYftxLUSeplu
Nz/AmeJCGoUCUMR2OMfxUrN/ju7R35ciWP0UowxxQXFrOc+xHozzR4MvlPxsAD8zRyMsbhhUFyW4
dVuBkGTbEluRo0sZv9kC4fQtX0XzX2E6orZ7WS+aaXDnvrmCiVnm8yz6WdQXQ/M9znv8fCFwm0PS
OMo+wTi2VwXvV36nla+Ibp9V/x67CL/p6C/6Aw5J/1xvbfVfWAZTc9W11n/q1jV8YukUgs7lWvgo
Yhe6jeeO4Y1ZezX/plKAKBuoIGnOPSHl65kwk3w6OlEubea3yRBc7aODrQW7b/PWuhE/1raL62HY
oEYwG1VOqjrSDjKMeEQRBH1dV6cK9PMd3Q3B111T75+l4P6+7iavl8dOjSsW7GlqjkPvQuiIN1ee
pGOKM80HiSHdpjsHU1veq0PXmNbJFkzjhwH1Yj6vfI4PHy8mBIScOyYL9MKPUm41qUALrlbC7gfo
5NdjuUQbZPQY7xhJcUlBepBdl0O5iZFgfiIvthQYUXSlm2GyxNWssXtwBNcQ0fv8VRnEQI3nw51z
mYFXD8UBhpd1MdkV6pnjzvsz+q1ZUm9LxldZRcVrUNj8n0LZeXIHok/4RoRwTqps0ZGcaHB4H9oq
WdMkHilWCY3pQmAtjdVPbbub8ezJsequbcuOzmn2J8++arbM+4PsI/jcVTCuyEAtj2Y4Jo085lsM
9Krizzxcfgcm4Ztul2zKc8/LqFHa6CB3ahF8iVvDJVJFDewwM3ufyRo0t4UPoeCAs7nkMzh28s+l
2Hs2yvey+tvy05RZudbi5LP1DfaBEIMT48MOAnwDnDij2WlOlaz5n4xhqcELHRuC6iu3eBt0VQGT
hw7mpRGVChaMKk7AH7p196Dh8KhT5AEbS5NxDqcTTCQHST8BCJG2+wg2VC04eyGHuUry6jcOIKu5
6Z7XaGyC340uKjdbQ1HBVbFRN6Za9dbeB+DMWbMufCAdplgj99Dye3a/+t3xrtqiagIoo7XN+UNC
Ul1Gs7unPptBSzpFE4fZuJeyPplmEQ8e1qr2C2bVloqYMzPtQzsXB1X0/Gd9DW/5uCQLFV8Yge7B
KW6i26SuInmOa87wOa0To3/07tv1JyR05b2pO+6TSpWlfzBjkgynaS8cPos7moxqCeqJWbF73OR2
CN68YBvjG5OzB5Apfyme96gwgDVw3t/aJae4BEtGkbfsXeIdwlZCvyN0KiFyUdnyEbyq93eUibor
67aR6eT4xcRhmFQlYO6Fg3HdXfk6eM72V7Q6T1KxyNJ99uaJuIIAi0PzroceotRBj9NsfvFabjtB
i5abL8xLRzwq6tqXfRbEujitV962bjAnAE4H/n+jbnVxKAoV+1f8VHBm91mtI4+qSZ5hsJjqmNsS
LlSBRq2uylX04Ulj1dFwgQBwnPIpZxy8i7xRqWqt+y5XcTFEsc1ZnRhCgpLwF9yguVX5efcWhwwi
yFXNWVBPd39U5a9pF0e6zMZi5uxC2Yh0k66sSDZXQLDaR2ZvXg1lZ1rc6z6aXDbEBD0L79cFfnIm
3NxWV0bGQ3dLrULXBmQoqK4YMvDfcao5GA+jlazCs8Ci/iDrNz+euxf/qa5d/yP6RX2uha7vTIA3
7+TTpT/u1axfTC5qe3B4oN5n3zjj2dG+eRk0RNdT1bi7f4psWFMUOHkiDgEFhX8OXci4137djC/o
7EGxZ/T7dG/7ZPzngR277cgGUndQeRVyFwhuLZBzAdlYeS3jkmLQ0KAutR8+osoTTLGzzJSc8Og7
w0lEQ2RfK5PE+nqSmnJ4WpzouNcL91A6lsafjh1ZdSU4DaE+qoLN+RTTmtO8VKBLx8PS9Ll/5ihu
7zFR5Kz4+nvI2s2chKncK3ICMFIk/5zBs/+cSST/RhnQ2S4VCKBsduYA0TIeuc8w2IGal27jHSGS
xh2+l0tYpHWb/nNdVzZdQOg2Oh2T3f9GLKEHmhKgPvskhtc4j9qvxmzCv/HZTj+7ThiXGePsoSeH
gynwic0V3WVVkOM9Uap335Y2X3hd2r34G5pu/RXuQHSSaRNPs+/NT4mAlXfuqHiwT04BW8VRg+h0
LKuqP62yGctj4to4T9VcbvdrX1vnBGjLfkXEkeo0ENv0XflkJJDyYvwQ8JwXnWtnWBwGN8X+OTpy
YVW+i429WvTof8E/nSN2erb2s+Pw2I/RHFf3kE+df97crL8WmDw8Sv0IK6WoqxcVXAB6s6zHmzks
KJECxJQFqqQnl6saE+526Ney+Wd7R3yZ0VYe59u2/S4Bss3p2O61eqhKIJMprA/z49YjsLl1S7Q+
bkLWNc7Ner4F7NTBzjNb/68IZf5387viaeYKfwxrNX2oKYibdOFb+476abi1Te9S6xt+85T8FQuj
UwvqwLpWl7VdOWJbcORWwyFQav6VDLThaWX1RFe1qUubEAflo+s11pw6pwyYyLukGZ2WcVvmFHxw
EJ1RLt2PcNJBSDbJKB7kEPC6e6xdRgyq6OEPlrV2cD+RjehKcRLEqE1iS46rb1nh0Na2Nzuarzyt
Ho390esnZM9JwkWKKr7rNJmaKcza2ZuLdB4jHrJ8kfIhBw70hvOiflm9mTkQjd88pn6X9E6ak8AQ
QtWM7bOui+BnaZP6foXNXNxYJXx5TGKKmNNgm3gCdnRRVJzcLa7dHszNydokeeFOb8vDEpTmtmLD
e7oGSxv+bRdf3NtK7MHJjZX6A6V6n2+iYkieVZKDsuPrZcdgBKiUg/np+2Ps2khf9a40VVbITv4X
Q1vCBGTy+lbuw/4m17mbsiEYQ1CI3iZgcvPLnBukyPW0LGp/zwu7gSrcqqA5JZ72jo2MpwsIulso
Z7uC5i7nw/PtbMn2TtPtvwTaL37rgUVfOJ194KWFoAY4eHpz/tVl1dyy7nc5wplehacB5leUsUUz
PUYTNK+Un9DlC9jXMNtZy3og082HwtjtoUmXGCrWsaBsDzJRS+c6WFY+ZsISBDmQzQqNjfdZfqPw
5a9OJ8c/Ejv9X2SC7bao58pCBaqTP/G6tP8xCawfh7lrvqpg969hKtkhQyWn/bWoRKRl4PnHB7cm
MFHNWMf8vfPGEyXyaT3mjr94qSvznm+WM4M5iBeMzzXhHjT7Hq4ITs+ofwTjpteUEN/Kve2gZv1d
tjG4j8Jq+KxLLf/4ERJaOsp6+oKJGekUipHvZ2PThg3HXlV76TCP8ScKM0XyrJLibg96O6QbX+I9
IA+nZLXKznfdXFCkOO7sHrY8qlvWunoRpht9x4fAmvUBmk/y7/Y6VkIwbrRn2VVwl7dlsLRArJXS
/O9l25/zRqz3eXyBgoRIsaCRlBdB3FNtPB+pmjaTyXGv3rHp54/eHK5L2tAf7VlTXKq2Xi7tlQnJ
I0yXLozarAC8vN3EwzZA7NvkS7gnkrNb7OapNVP8Jyh8d7tOdKFfuqlqvycs1vfER7TbCZpgYtOW
FIx3iMPNlHrcwCz/l737XC+GKyBXxGZyxIbRE8i76M/sd7RyuIjlm1oWro613dj6CQdt65sJwORt
PdIkU/v67XzwjSvey7gllo6eIachjSVBTiNVy10DY3dMOwnoKOUVD7+EWOviqPqV4KOKjjirC60f
jE8/wRwITflc93l1N+wEJYCAS9xrSGTRT9FIc4N/nSqmXigx3Cm2L0yWo/6ADTlfMxuLWB3ioMNA
XzMQIyqTvfn7ErHpe62nJDxNUwuFL1yo6M1U7WXmDcP44fRr8hhi7sNrb4gkSXXQ1EOWkP14i5TZ
BinCW/m7aPTUZd0EXI5A1oXaKyY0yk8nv2h+z4mI1qxZO3/PJunaOxkXW8JVOJXP0EV76MDdVEYn
P57dE78xbOJqZNW58UbxgbmIdXeW3r3xADh8vANS1a1XGpXoJRLroG5IjeRyVJTVKuUsEleJcuxy
duBzRYchiNlSDwoOGcmw7CZ36x2Iad2DbrVK325mGwIasGDz00Rs40O5htxqJiqQMet5MFdlhFB0
3HEevgd5t3/2iXX6A7+hvpvt5EEyXEce7lrnzZ9J6O4rAUpcZCEVyjciw3ZfReukDvTM5tdkN1E/
OkQxTMVz0jEEPtjWn6Dy5HM5fLj+1lB2lLOcf8ncK8JDbOJ++9K7cMbU6Im3ANwzv4JDqU5nOPra
P18MAKw4l0PyHQblYI79MO7rx5rP7u8Y4fBqW6CPZc2+zO9tsybfzdzW6hS7xrwRnC7/zK2ohmz1
RfPhlNy6qUPH/bqLKiF0KUzakzuEPKVJOAOkE+OcxEc755ApB2bdI+A76e53RZ1Qs+y0xb9DOTJe
dK1HMoDPALs+QCqMbUpUaWuPcVzBEcSC1PzWwO6gAurdiNQO8EknWVGGepFromNT8485tEvPX23j
PhqBHW/2nuIZ4LbZ6q3PgOhOUD4b1TTM1Lr+U2xLGBff9X4ZKWxO3z/FlYjjoxfjOMnWtd/WbC8D
w2QqmicnE5vdWy6VbuhgmbvhP2+LHGJ/+R1K7ypI1u5vn8+knObR3PsZM2bami2C6IbWEbbdzSg9
URPR6ftMhwjWY0o8dKrJzL4Hj3O16rvFETCP7bTSCsFTD+mv7ECIvBqmbj15HjUGDpgCG3DTNWCJ
K5b7nqth9hz+70v7y/Ur6rat2uGK70x9ZRaaMnxqalwDkKDnjombbqJfRNL5UTp14fwfC/F2ThmG
ON0h5GfuDs0gFAOrLikel41gHHjujXbOC67d9RBY0jmzoEnigUfHk/d1no/PiCoNvf3WGmjly1B/
llbOHNPkt/HHS6rpVOTu8uLtMnnoGjvZM3b96nE0hesdAjIinqaE8EbyvCcS3024eshVUDOpBJzR
c8VpThgZvTWqKvB4VMXiZm1ryv1eS02rFnANNmk8zYE9dmD7poOo97W+LYfYvRq6/xOD0f9fFE/V
hLOmjhWzCgm1dW1LXqgSrwzcduxeNKJhUJwhGcb7gWDiDikzr6YCNHwT51k45/ZTmnpyzoou9ZqZ
qv/QRmv4T/nQ0Dm3imnLRh6gKA3qendOei/0fhhyb3lZgYKL1HXLbSQbQ9YRIkwZNVnXQB9NN7Kx
bIzpwt9Xxrz4YfWvlfy0IEOnXXuq/TW+RyQaXnMscg6CP6MQsmzXnamfOyEEQHXeBQjbEf+oW3I3
1dDHv4Qqd4aSQE5fchT67thEItkyQX/wmNiKyontokGljjPuzJm3Wl/nvsde72SRZdKAZAZziKhc
h2xG4wMWl+8tDYCVwZAFVSd/J4NLXw2JVD8j+biMMHp3phCaZ5CjOkaT2qKpe5xLSt4Dedz6utGK
GmMpxNIfllUtX16+OTX13trdgXWu3WtvysXLsEv/Ce/v3qTBlCdMWB0zDMcGte9+bwMGYKoIptf/
iwxpsiTdjzcP9kGYfHoTedvXx2Toq5/A11yn3WL3r3UTw4O/GfXTt0R40Bz4+UO3mZAjKG+9t6WW
5PUuTJ+uIq/1vvOZI4+PyjOGLrrPh9ma4W9kBIP5fV9I3JpjVbOSTJQLeW2wALnn5AMK2vhMqwpB
1S+C7R2TtPhrUCa4yBJlx7SeXVHdk1aKnlRM/fK7g+a94fffwR50XjT8DA6ZLVTr4Y8gxNHJaEbj
X563Vkx6Bzu+CttQWatpdu7r6nLSWKXyJ8P1OWXr5C63iCNs32JkjkSal6Mb3ttglyHSTFM/WXej
3uWvNA+eFSGxhgv3XRwtHFZDFDrPfWyq/nbMIw9euAeZ+1BENWNKIrRj72ruJVFZAQkrwWFyzfaP
b+hyWFFq6qxjnPrmrophqSYfb00DydijIJokuOIShCzfNDlCuLc37ZO+JA2cEuNtdxx7vqH9oLxP
w1i0/3LRSJkZq0BUxovfPlc2GdcMvbwcT4k0hL54tnSfBkoQJwtx+TyOlP8Dx0GsEJ9YH5nZjLew
widVWNLf86ZbUs1Zx3rSUkbbtWQj8CcOqkqmjTvLJuMh2d6XuRIvhVsNJVLwMHwanTOtXQDJgbq1
S/cYEk36PXDzPDBpdh/J6229xx4vfM7IrtGgNy4Ksa2MO/zJmfw558rf5sfGccfmNg+nHYY2r1d4
YhkR/a8Sl8DjS9bwsRlHank/LmE7T9MoygyLrfoymtksS5QDDa0YtEYm6rR69NiGBSk+LcOxyEck
fouVj+93AwudDbUTPmlX656vuqBWaHGDfjkaYfpoRo7ibKssT2zcOtG/yXe2Z7nNy3jbxSFXzsbO
jZtFS2A/mYNHMhsxIZ9DYm/VdSmxx1+uOfIwu671Kf/agrkdMTRenjHW3d8ru7gfG3BnaNqeFrcs
vbc/YbQyeCbkmbDVCgn4z1xHS5TWToOGHxRRf92Mgv9yMyw9Ja2M6iDrdRz8Q/cIUDtwEVzE4oad
KyNH2ixC451vZieMxQ2H2pJp5EPvbhsa57UGBeodBbzCMltLVH7myDlifKSY/x7Ikmuf9epvXxYn
1wcfCEILzUZtjhHbIWEmoYlO55Xs9BsGPs4KB7ewv6mWTH0o/Fw4WRvvwj9v7uR/OKCp33Cpqr8z
s9kPojxddUanbt76qgx+hr1VNqXocZj5o819dW0v720S9+twDJbE/cY4DlfdyytCACBRSH3t6Hr9
Y0B3BTeeMvlwmHCD8CCz2PmP99H2TA97dOJyqTdKPJw3/THUQnXHcSjl7UjaBHKTNfIn9xsmAW4b
5wc1rCEc4XLHTVjOgSPoGFoxFvdFUDV8ZpQBkVme1+3UzrNfZw2/3Y1xW1DeOQuZP7pbp6fO7BS1
Ih/zINsYV/tH0Mu2yjqn9p3bPa+HPCWYKPgQnkURMkXsTaeKBvY50sLtsiQQYrsuB+W9YIclGcBx
FbVB1JLh0k4u05niUgekRZ53D7Xxu5rDfTW/xYA8xi0N7SPd3S56csZwKU6rmJq/EZDWKisNw+q0
FkXAfebV3cvU2+A/di6Yzxg9t1E6TOzjyHdJkqF772+bt9/pQZYi9XXOtGkpgugBr26nDzH38H5Q
U9xzKIlgZr1uIR3iVABvqc953UfVrcfxweRZ9ZN7hFNZvlS62Bj3BKsojy2+JMk4z2Os3EFxz7xt
xj3s6l2/sdcFZbkhz6Lgjw/7ITTePqVckWgcMzfNz0iArjyg+Lg34drkmgzLJLwJdXzBOCO3/VZ8
lW/dvrNkbKukbCENc/Zli/IUccOm7bsTI6HicVSXfI56Dd034aj5D/sevH5mzjGgbE1nx4OS8Siz
QnRYMWQee9djxfv3iU+AA1JGBqHL8zlsNWUWL6fxhi51S0YMhJtgjiQ3caSJLcN+ggvUuP65nsh9
4zaI8qO0NBGpJDH1ZJZJVHfBtuZhGlvHlmmxkEyU1YaB6lW8hcFPF/Tqj+FIgY5eRvN161ISHWI8
UPJ51/V8t0mnLe+ozsK7tXMicw4Ws5RZEDSYaqgcmNa47uJCC188wQBmL3h4VBC0H7C6+SC9D/S+
oen6Y+kJWPERLQEHe9zlrzouuo1tyj3CBsTVUR2ReofbrqNMOTXM1HVWA7WdWZ/1h1/uvLbfohZB
eWu9MLhi+3r+Dpc6ODqemvtfjO7RvCaWIjcOpT78lyxN+d+GtvpTM319k12IdSLvSPTJfF1QvU09
pfmhXDr5MGH3wCGGBkuO0rJZJIdF6mzziCAndHMdPqOq5RCcFdNybpIpGrJKlyM/xRrx6E9xZ2Rq
1CjfEqxHn6p27ZvTR/GcNp6xn4aAaPdQqUU8UU/sOFR6/vFR3LxKOQ9v2rZOknJWuxU7UPhOcI7J
gaIFinVJ5FFodnq3fZzSkgAYRg2kxzPm6qIhTt3Zys/AneSr70TzkxQ0qOkYL+O35xSGeoQmqDvk
yJrXDR+Qki6f/duSkjTM6nIZWzwrZFYT9ukTTLt0mCx49ZvuzF2oviK5BhPR0tvuk/PUl+FB4oQp
DzlfoJthy414V3Oeg6z0/BLbMplh6Ocdhq30ciaztMIPDJQcpNSdiRl3osjp7o2Aqfo/bZehxYW/
1w+mpvI8bkvRIWsh7zaHpFqkPdkKWbu3YdNnW6QlnyxnS/S451wwaOOx/dtpR3/SELDHXTZif/Hc
zWFrRfTriyy26tnbFpehkbuiwnF9tF2GXwNluo6n9mGZ8v5XIz3/dTB0+k+MnXwJSD63fzc26z6K
dmt+j6GmxMYBXuEJK3P/TQVbywb+Vvq/BDK3umpN0X+qpb04EOlBdLoS4zadZ8dokS5zwn0htrlC
TkJMfAlDTC2VIuYyXXsz/SwsXPwNaUEL6g2f99OnSKCaQONKjm24llPWj3vx6k4uZqIORedC1FDI
FUG78j2XDdHT6Tx77pP1V/vUACbrGF3K6hNHHU3INi3/WZzFTarGy1M8jrJsr/ZOm/cWQZgHOqlt
Ccl75NtHO1BJytCJUdQeanWvps5E2SC9gXt45Q+deiVnBdpDMRyvHbHVV7LJMQ6NhZ2eijHHYlFd
jPaplKva8KPN4p3evH7wA0bdfPOVeOiGqXhknYbw3Nw18tpzJ2bAw8WixAsXBARE6naODxFDtTeG
it2HU6xecIycmrnsMpTuLzyTJszYK2FwRb8WokpXbrRlnLOYNyi9zNM2g4c5iN7nB1cTUvKBV4At
jwLH3rtQfmcPvtqcq1Ugv3OGF/Yz7oL8JaCK4XsKxfzl+jsqPwvxJYgZN9ho1MWq3ty8DPIbIlnX
B9OTGHPiVeBgw5rHXdkGcJBRYJe+oHL3B+ZNTRdyVWztcCckZ0saQbPXh6mW/Z6KcMsf2LdYnhcv
nr4WOcnhyiUz5NbUSPFUbm2OLCmDT+Z4K8dfNBRXrc+GPbPYsj07a4+zx0rR3fJRR6wNkadUtrFy
9VPy/PA3kN9+Gp0m/NdJVYdHMSzm83I80KWheZDjTSVxHeW2IdYQvfSjj1eXfQflF4YbSsSMZ5hR
/KoHlguwx4T5rz2qofntDOLwIqi9XQ5J3hYdJZEsb/bAMMHucnzqDDBwf5x6selfOmm5PKHJrx6P
z+Df6ADNicwbp63poUL97Ey2+l7bPfqr8INjyFS+82fce5qioCZ1R1qF26bwHHYMi9nJKcvDxf/D
U1jdYcX/tvlY95lvOqq9qKQ+j/bYIxHS1M5V5XX4meyOyMmBXfXqWMWU7Oki6ETTCrkOs1GyeteY
clR8JOkOLlNohP9pMMNxWvlcw5VZnCs19rwSDP6Tx9Hr/MeOCbQ55Ku/fvQetyYPn1y/PANqKK10
Fd4uI96v1CRt+bZuyGXMpNbgnh3slSccc6U6zhj7BrKhOkk3H2lUjHBwnRt+uAGvhrbiRSe2wMh2
MSC2AbSh89IvJQdubj4GlkjfV39sfxmntP5VVXfOyQg7yTOHa6+zaGonJXFNMBIEBcQ8oV5utEH/
dC9KIp66OI3YKF2ubBI06A1NGY6cQB7DXiApLDqQk4+8vfia94kfIR/wMU1BiPCxxPd6LaGZjT7j
8XuWypgeGKvDCK7MgD+XsQTTCu4NNR2XLqr9E5QgRtrV7A/vbeWtP6vhDiKRC8X5UE1b/ztKXFHf
YfQtbytOiyaL1ktXhcbMPwK7TFmkEbXXOzmk4patRWTsaF+rT6nk+oPGx9866FEnB+ZWdfwwyIaB
MHTDnX6A/FtUVxMHwx/24LrgVgVt+YrpYJoouJZuxjJTCjwjllUWnQ0dDqyrgpHaeMc67Xi/YDSf
s5hx134FHbEr1QNaq/VecFjsXxReC354G8l8fJsKzSrIcSCCK7oWSPmfpHyv77bw7XxGk4/bQ0JX
jMdiFqRD0l8z3C6iXXwkRKIR2xWHyS8160ThBlMxxXXb/h6R8TFWOaXzJbBHmMNe6iA/Yg5JsEbR
mjYHOeIRQum+vABy3ggr9Ey89FnMnRJSYUc4zVD6kpep7eOnffZXB7Fy52Oyodyfcdqu9/sy7ozf
dk6GA8LI/Fxgmp7Rh1zdM9OM9VtJPIJ/mNt2IPUHFyBFpm42ZsVjwJEzuJqmP8YY4mIZm6YJX4pQ
GolB8Nig3xLjqLs9yq96ZsslIUUUuFnreEiGSHAmPBE71pHNRJRafGJyr7mbfA9pTmIjJzNu2GmX
zbB4iFa+KH5TPK7LUZGgekOYjMuExTFC0ByPPL6rdUhV6Ktmy1O9cbyjIzLwuSYVnGYaw0mEt2uv
3M9Ae5r9YUOMJmmri7aHxl/kf2o3nIGihESTCr9hRptUeIDTmcP6eaj7+hVjot8d/0fdmS3HjWRp
+lXS6h7Z2JexrjIbALGQ4r5Iom5glEhh33c8/XxgZnczwJjAsO7Gqq2tyjIlD3e4Hz9+zr/wqh++
dn6QBmcCiTe9jbBQbg1fRmFrkAp2ZKNnjUTXUJIue5Kb5zLqzHvkgi3ARzgVeZvEmqB0TorcXFVm
KP8IctnQ3CgaxLNJ8/PiurLy6rYfM00Eu2GCYM/n1D71lLhyVLEFFUZGLsC8zvT6WxYkvHMjZEEJ
8oA4PZfKuHpLOKCHBMcMSK6SJYIA+E1obwhTU+coUQzGsYhQNOrLt3tAbazOzsW8uSQ00icGR+R9
h4mR7EeUVQcXwAPtQWA+5dMIP652SwBv5TmeKeJvf8hMZScK1PgcygQSV4mo4x5JcBHMjdQrPD9R
P29eUl+uexLq2P+Kxm53OwZVxw1T6P5z2Yzjb98AZreNKyv+aXFJVxudg0UnoozMEgmayAAXOpJy
Oux4mt1qIHBuYDGQ+PH0jn9Ro8+e88IIe1tCGv4rXVxqNH3djJd53lvPaL+A5qFjrJV0AaYIyLIi
mC9JlE4/Q95WzEpKwLS1qdGpThRGWjO387TOEUMj+RGi7YppjzRBt1ep1NH1DGdOR91ZgEWzfEoB
n4giH9+nbXde96Pc2KIh9xrnQBUCUEaRX23MwgJ2zd2CnZLpq5Pv0JAtr3AdE0fXEHXxQvMzzAZC
qU/yHflj/K3MicokcUCPWrkg9AN4TH8BN41u4LU24AxDORU2IMK9m4b4FDik+RLPtDBv72Ww4o8F
vZsHTaePoHI7XqR5otxFiaJmt2XUt0jtWGE37mWzG+7roK6RQZ0qBRmgImm83Zgr0V1bKDWVp36E
tDKKE9VGchdEUyfZjM0NryRB34RqznNxqEu9cuWGU7Pxm3AgPlp9lZ1l6iC30HF71bSorWrEB01p
+McBdJ5fRTgVgoPWWo6iQSSN0U8zBzixQyKj8y473jgAunCpvxvAzb2qPA341NIs5pL51No9NQBO
NoKAAd7QiMnPvhq8B49M/wVRqLnMOg69SiAgB9xAxVGe4IOA9EihBz2V4cBFXjWStSuTPqbLCkMo
3Q/gO+94qxSYGkdyDXxegxzUS1MpOXUCE9GOZTlJQJhQJHE9D5oMeaRh3FCbJtvUYAV8iSrgd26I
vaRJ86DlegJco3yVxzL8OZgge50kMchyYf9VpVOKpneTRSo4IzJ/klzarkG8zZVUvxdSGSBPi2jI
TS1IzeSUptf2NvQ30EyFIeYPsRGOP8xWl+51GlriRvImUXADy6I5gS+UHzpxlZKaJoKS3UpmY97h
3Jg/iUKtAVjKc192iIeUD3GGyy6gpAkZvOZKeUZPHsAncNz0rIJ41W0kdN8bh98jPnhwns+nqc/B
iFBAfanj0H+SqaaBqC2HNKQTyxazZSUVRpCC3Yy7BOAGOAAI/DcvGwPVBZE00YY3zGIHwp4/qYCt
y7n36L6RHAPJt1sFnbSNXzXGVRNpwkCoTiSN2l8Ufa+KOHywvNi6oW1IxaX3vEmYC1xDbpu6ALVl
CFXS/ZHI9kzSwFNDBmVpNzlkBxtilfdTDyhVbGurjFR3BAthgfNqxnN10lO0LsT5honEMgk3ahdQ
lk1AdCgbKTWN6/ndqRFU2umszmu/cry2o7aHfpN8UXeT+ujHRDEbgcsQ9yGeJVuzKkhnEG+ufvcQ
/i7CMm1kt6tE+uWhCauAlWZDOlpT+ondTaPwHQIi33gYkUQ3w0l6UAYDqZYS3KVMaYwUDQedXIZ4
E2fWbRN7k2bzWA9IGjxJ4kCIsvDYh8r06IVdKwEIn+vMiMG1z2pUK6Uz9dRhnAkHCm/WFRxpuFEz
uknHwheAz/KstkfFkC6hi1VXpuUDODaklMzeV40Goyir6AciPe15uR5p9U5D3HtbgKKqv0+k2roV
sgAVDcuiY/9F6Xq6GbTDa9cj7NdQLLjrz+RItQS7bvBRbrJK4C3a0Hbf8FjNImiIUZ7fyqMELADM
WA2JxhPpd8GRazflEIyFW4mDpDrmBAXaGcS2fe6UXug3fVtJ0dYKrJgzFVg6mRYA1An4nO9HrkRJ
MHwZfAozm3YSpM5JcwjwJGZjDOTCKuXwHP0xK73su9C80cI4KV2lmxJoWjkYu2soPzS1W3gKLEap
pC9SnEn1dgwmb3DHgZLV1g9IjF2JVazciSBObhHRpWJhk0KQqArJ3l1YGuQSJdYXAkDPjiRk5Ky+
JtmAmXoI7+Mub0YUXmYbgEsMEZrvYGZVmpB5rV+WGn1nR5nGAmixWURoMaqeBPKWyGULNFKuJE8C
8jJQSQWJ1wPLdhP4Qy+5V4yPeSJF1yqodHEGDFI7phpr8BDNi9+m1/H4o65LrZDqIRlXpNGwaYxE
/EHG1zcOT5SMFLSrzGupUEpp56nm9MMXevESimknfoFMprz0mqTMxZkEeCZeQv4ZheFgoj8qZteQ
CxQJDL/SBrTZMThwAAFxoowhEm8DTA9iJ1dFPlgnitpDW1e0lctWp70bi7V1Ngp+0+96vvf9xA0+
7FWqGWcR1ZPbRumoIaFx1l4AiOCWzEGfXJEdcF0kYp139lRTxNiZYVlRwJJhE9xTk0xIQfJOBi+V
xeatnuaAYblu/OsyAUlsd6zyNxDq3fX80AOKIybwwQQhr2/gSXq/4oIKstMpAy8MdTATYCJYqjxZ
wchh9otgNMBnJZQr0ghh3Q1qeOqvhGIbyrByETwEatbw8hWt8gmdIT2hyJYlv3yprEBBeDElJdjc
SQEmPSsepBwEAEEW/IWqoXlshzWG5C6nePxhjfrUkccrYEF6SrUaKBzSRnDSanKnhnAZHLpQ+k/N
rIxb7qBa2eaeT5+brVttxMavSPGrQimcOTqPWzmiuLOJhoYytmZOACMDM72eMaijGwzlcEnmktX6
3qejPW4CVTJLpOVK4bLuuDX3cZ4rZyY1Edk2EZjnCZ8PhXRdQwZ8qTxxutZDM2nsHmBFu28m6m83
cM88tE0FI2dtAlXLN7h4NcbF1OhJ8ZV3gfBVsCiM0gYqRPD5ekSW2/SF9JRkkyqSA/I8+mX5USfY
PL/AKHoSpKldUYIa/2bgGGrRcrEyjSChUBoDZ+tThAcAFI6PoEs7/DYsqEtbpYDLY+ftiA/tab7z
rCXwXtwA8wCkP5FrEBE5owq5IHcn0qhZJcAfGsKq/ENoc89u47LdGXE/3AhCgtir4Pl8uqZ1k7iV
dqeHXxK+5+HxaYWObyJjSxfskGsNh7VqgK2kNtQrnkMJUOZ2L4ISVGB3Ftf0KCx70lT/SzUkwIJP
D750FcNcjtFlUaTrqOizfsrh6PiE6Rqtu8yOPa7cTSV5HKQUS8BNzKsiBNZEFc2HmU3/PORFBUd0
E2egTUhiKHiXevN95RctuefLX7SQWAHw7JVVyufwc5U4TAvTjXxLdkiVvpakwgQeeuEVbLRN0vQa
+l7muMsyKgBy7wMNHyk5gCexVlZqKQHw9rMwMJxVbyXlg7JYORChW5UncZb6lFvhzvkAOxKqkXGd
67l7ehWW2hDzaLPChzGrm4KJWcikFL2aYfEOEgQ4sPlTDQ0FeBx0KdLCQRt+YvIrr4joHNuGSO5J
ujbvQUlbSF8AkKzzuKYPDx1QvtGBmZDmSmBxG3E4Az1n7YoM7nau6J+zf5jtDXWQxvq8AxlfWuxA
M4eBCP6Fdh9CeFCuKP+GxWOqchecUQmitX16aT9O9HC8xf4adQFiSlFAPMzEfhZVHS9Hxv0CHkMB
K142bmmW5Z2lJf729MgfdzYjIz6jIWps4Ec1/7J3kk/1qOVSqLKzcUgSz32wrVy8Rf5JrZa39cQk
kG0DI4MizuEoDB0qVsmJVnqpOddm6JuZSuc05ft7A7z1yr75eC5Q3yZ80D2mIcjXPBzOVC3PSgV2
atVwmzWUhh0qjt8g10j708v38Uyo6GwYOJHT7kHfd17ed8sHlauqhpC7wSvl8owMBi4W9OHQAeAJ
K7minLtiuX50RAUhJhjwUBOW6oUSL+wybTnzRSD0v7yRQpfVRHMlsQriG9QazRWdkWM7BOsEEyKE
ifzTUl28xxFCpXNLNK5a3ivWVNSFWxh1l/0bWxELIjThJVXlqy3WMgRMTkbBWk6lUYJ1biwwR0O5
Msqx9UOuXAI8hQsKmPjDL9Yb4HTjgFEaEAI61EJr2keBXG0Gaqx08KmFnd4ixzajJVqgB0jLiGaL
E6bnleaP5rxFpM667TOEQZzB9w1h0yYkNSuRZClSNJ80SzFEVlFFNWJpU5JbbUIODPO4kvz0OaSh
Bz40BroyFRdmnc12xELTfT09xSPhi4sBETKJWInxm3y4ppNnTooGSNRGUwBGp2R4u3qk3qqk0bZM
PJMqhKLuVAXA48p0j3xNRGDpNqPJRHBRF4lKJ4d5YJac9NprzScZ4nXEXSx1e8zK2q0PP3pzeqpH
TsOckGHNokhcScvQUvdWA8YuoZcFPNTVULbctoKy5kh+5CsaMopuuoRKEdLPi2khV+NH2XzmPDmW
BlDvcR3tlLqWxK3UzG8JqYYSFUhtZK3M7+jIXARQ2DALRC/98FN64P6HBjcwmiWd+B22VUx9J/bC
6xFnjJ+EdrCuPUxObyWQHjklDCeSXKB1Dbxt/l3vAmkF492AYMq6xsVwXmdit0EIVri1KKCsBLQj
U0T9T8G/hJMyO4UfDlUmojz1WsoUof65QgWybNAqeLch/aPbApTy91iy1uSKj0zQmqXhsQ/SKKCI
i08KXxoJ5o4zEvLtXLECjQSzxdv5IiSFT+9RC8iHhckGrjdoYB5OMIJzTjmJCXroAblWA4ypL7U1
ubePJ2E2XBDxWNUQfNOXioBiZ2LiUWIDI6AfcB33MXC+IOpWMrEjo8zSePyH4ImC/iJ6ttBV0kyz
6EUbQEQLKdMA6wT6yq4/Mgp2hkjLI6Eoi4ifHa7YIAbdQPYOxgLMSHpdoa2Tu3klNMHKNj82EAkl
YvYidxw74XAgGkqqn1E+taceYdIwlSsHvOKK4PDHoPjmKIpcFu7wZD+L2cjkK/2QUeNkuvE5sTMc
N2EN/KMYIP1vIFgX49NntxxavHg1glDXZmeVRdgIQXVTPiBhVpSCF1tgFttiHAb39ChHJmaYhEVV
5G7TeeYdrl6PfKtfxSUvcaukY5gExgVeMvXWNNrAKQZ/zZvn+Hi8APAxJb1biuJ3stgaBmUdEAhC
TfsPN1Gaq54P0SYSo/y2HSrl1+kpHtkgTBEXMy4ZJP8/vLyRx4e0wkKOQRZC3M1pLuTN9Pn9jiQP
dTFNmaOutdD4tmodijucA7tNRO/GHOA71VE8rphXfkwLqERp3CQGVyWM+MXZ9fQAtalZPVPB2Q6g
NqIskGb6exD71s7qTSi4sT/QwaubdHd6GY98ObIt5AI1rAolSimHO6ULxbAs8Suxc131v8MA0r7D
zFPrbZKj2mHrMYii7ekhP14r+FKwlHMjh8tzeWcHvZxZPSbatqdk004DlPUjEWhIXggyr/MbDwKv
ZOdlQDn39MBHtoyJqqfJATQ5f0upWWwvyV+RG7S7oBGuIk1N7boo+k+nsUzPQvZShm+F4vfi/sqL
ASq/Ce7LSsxsB63RQ+NNyAyOQpKk2soGPbZ1uJopBs4rCmbu8Pu1Co5YwFR5lppDuEPaC2hdEgqI
0ntGdIkc4XipUbPbKeTWD59fToNlxGzEZPto89Z6l4kYIaVrX9cA/4NlupGQfNrkSCquPFGPbVBD
5klMCqnxUl2kzEg+FQqC8wCT9diwa/AKP5QBUU/gt+Uemki9Pz2rj+kHcZmXNDq3vHoI1YezmlBT
yWEIwu5JAw1opOrTktTpzgL1QihrZUsenR0v/TkD4f+bi/c+6lRAQ1FpQMXFg0eAOzBNkzq3hmQf
p5pY302wf9aqYUcGnY1SePuwotzji9thkoEqFxNcmxHXNvpU0LhGsPA52jZ+mrqfXk+gCciV8lbl
alAWASbtY5i2SOtAi2ogGDnhNJTJd/hfRjnAEh97ee1l9+aNclgTnm1TeF2ZrCspxOITDqkV+Drt
Cdvi7KWbsGvEy35ARcwKm2zvmbSPpLCsdwHoSHwABVpUtj8aNAVTdPJW9u+RoGMhfkJcV3QC/DLH
DHrQmThE5eBrKn+DmS4wPh+1+NOrfHzO74aZt/W7wxjpTdKJHg443jQNul21s8AWdpGq5qSK1Vyz
m4UzsafHZiao1hYJ7WjEy02ceSJxxavq2P7ii/9lrkB4WBzZHEE5z1CZsg9+3FFBrL4qVRkDCxP9
867mnXZ68seWmAI4FwrX52zsdjh3VZ/wp0Ca0TY0pUR7DRaRMab9yqyOBAbSNtohCOQrfMt51u9W
GHSwmgwtjwVk9MonL/LpJZay/4z59lo+cHRCPLxmlXLwveJiAVFIBiQgkXVUGIm7XgUqkGZNsJJ1
HB0FYgmBh/oHQfxwQnCbvELGOhWrYD80t0gVqa3LcwsW9Onvc2zlsPDhfqX4TgFikctXZPgmxFYG
EhpxK4BOd428M24LWMP3/85QiD9bc3aND/jhnNJ6qBtL4CMVQ1Ncm14T0OU0gfKCKOqjx39jMByv
KMORZ0vLpziSNgEK0WS9HU2Ybds2mF+CEne7Jkm3p4c69q3I07gFkWTmml/MCxyTqtcp5RtF0dJb
5CzMK93szJVYNf8ty8CJULIxl4i4IZZ6zFnS6WM4se+yGuyk3YIXPSM49l8DqlTbooXxc3pax3YG
BT9giiCW6GMtrj+lgTie6rTP0NTKnGiCIldFGIWR3AcrH+vj3CiZqGwKLj7KGcu59apkJTW46plR
Xe0Cr7zNzeocuJy+F6uwW5nYkdFMtJexUMD3ZYacHe7DvlUEHMdpsWu9oJ/7qSU8YO8EfUdqpxtk
+ryVpPPj/qC6LmGeQx4hw3ZdnOVQ1AHtCznEdvrsT4U0jdTd5P7u9Oc6OgpOhxxj6hn0PQ9nJQid
PkwoNIFqQ4VV7fzqChjnmq/SkbWbcyGaLbwQKDzP//xdoKVkD0PKBFufdWN3I0neDJuA+Xuupr3+
TS695Penp8UWpNIko1hPl2cxLUVPqtAPeBegMkbGnsovYWZ80qea6gKPApWwREDn8ljmlbKA4EQ2
dbzxcgUl3Rr9GCrMauYAx4CkJvLNVk7zx69FXNew4ORhSYq5bAqWXQELp7PA9CVle2FMkXcptr3S
fzq6Q6sQDdzLDaK7bC6iu5mC+QEEEqOO0eSbNE5fpxluVunRmhXWhwnpisQz3BB5J8s4mC8OFWq/
ldCKkBGlcgyf0lwoNnETfLpGzyi8T0knZsMEJnS4/QCDgvg2kByu4l4p7TgzkcPpxz5WLru2ALoX
1RZAOrjyHH7ULsvVXtmxec5hg2c5EYSu4+EvSHjuzKRfEExVAl4mrJTgQg219LP3P9fJ7LPFxczN
TGg8HEZEIr5V51oe1DDTtZT+NQNovD99tuZc++BKoew5W4bM/XBr/r/DQaowq6um1n+08ISLXLjV
w30qGttckm1cb0hwIH7h2bCyJz+UGOZRIRxR21Vn0aDFNwRPiGLvoP8Y2nMrMC/SbiPnnpPokTtN
309PcDkUBWSRDgRGOZRdYUEvgkeItsQEPBRmsD74VyieeE7bp90XAc31jZl6AMq4Td3Tgy53yNug
9Pnpa8qkGMv6XoTykNbnQ2Cj4RHfwhFINpM5miujLG/nv0YxyXkVZTbXW5w3GtE+ksBMLYDq1AMs
EeZ6LEpKDtzyNdDEkcFmwxC4aHS9sclYRP0qz7Eq02ZEYuAxVl+Yd1xo3JhD431y4zOvg6EWG1/T
Pc+YSoaCn9hDZEi9HQIrn03Z5lEo/+CPQXGNSLKIi20rBaDvUWgkyGi7ns4xDbfJ2H52J9ChhQlB
nKLkRJHk8HzBOpgiTYeg6IVFwSu2DlBZTD4beWn/HIyyOMU8SNAFGHg8Igrq2WhnPYmx9HR6Jh83
AOUI5FlNpF0oKhmLrzIkQiP7E3JqGBfpL9KApkMCSXfWljDW7JLetu77sESCwWCUCGiZ0GRautT1
6CSoY0cri046SjLkjAKEbaO+qIS0vAKAm28bvW33CMDKzhBG8hlKuclKbPxwinkj43sigeAyZx7n
YsZpicp6GhjfrRAWQInUojPo8Vo2dXQQUB6sKW0bXVwOgvQLUsL+UzyWqbVRSkU7z/Crs3af+noz
KkblIUQfhYHwQFnEijZJBivQh97GEC8AvVyYj2inQCNVo2DljbeY0V9DkeVi10ofG0vDwy2veEYY
ZyS3tp5CAK+ZoNsmgvS5IPE2Cv2ft8lgg7lEI0x5jpRUFsC2CbDiqGBFXyjitNa1W0L4/hqGFsNs
wMdzVVusG9o5HU00ASh9p1X7aCjHC5Tk2iut9bVdwIMZdtegQcaEw9XHGKlAlm79Mw3tFodPunbQ
F4fw7efo9APmI0hC/KEeaWYyMnrIReTjkNi1GidfBiQNtiH8thVT7jds2Lsz+DYWUDmZjUMDn9z4
8Duqaor888h3DKLqoYXgg3yWspu8eI9s8V7Lqx9t2P9oJSx0VO8+09rvA23okayvbOIztOnX6hRz
rFz8IC5ykwvdkoHSLRFD0Cxg5prI5ItSZSmvKRqw8XlW0+q8QT8zi7dxOKXyHbpw4a8pRJF6BbF0
ZPFnK1sRuBKgCQT4DhfEqya5RQK0s4GHoeOr57kLhrhwyyBK3NPH9cgZOhhq/inv3lilNMrBOG+7
oNGFs5gNcUEy2n7+pDKKxRkFzTbfhYejVFBbvSzhDLWTH2xlaxC2hYze1L8xF55VEn1AOhH6Yh9Z
OC0kyK+xj/Io+gEzur4SOkG/Oz3Ksc0B3IMjQX2EBu4i6oC68IsuhVkdh1K0w7Y1MGCFSP7GV/3m
QixQdpDbojhXuqh7/PzQ3FEgywB8fDwo0KszqU+hFyoU5y4HSeuf8UYQzqB7azcpynLIp+n6DbF/
DR/4cZsAnue9BWSJZJqQcPgBhZ7+jlBFaHiYankZxVm+D6x6reXycWlN2oB8OtEUeeAt6/WBWHa6
WKSjDTXvTtS15041H7xJP+9QcUG3tdkbavU5bAvBh4qkjGIAZVYZmO7iWoSD1PPszkbYpwgWfLcK
xMH3haSEuoPMbBGg21j7NGGQ6Yy+nv6c8045DDOmxL0FqIH2C7iaxdAgaCCUxQxt6oCylcGLNnkR
lBv8jiA8NNVa5eHI8jKeSisEXDIA1sXOHaXJU30ZTRyEkGNnyHJ9b6Wt4A5FXOwhfD4g+Ffs0SRe
8wH8GM/mviBYJeCl7J5lxTzAcxCCNDqLCBsJTizmghurtbUt0NlaiWdHh+LdDhkUTUNu7cONipxQ
b6QCWjlZQn/eCdA4iK/DokMnrZkFP05/wQ/HAus9QBW6yq6de/aLS1sYoFCbGkQMbUDCQ6iQuSpi
/NNOj/Jhn8yAdYYggAJW5HF5OCfLA3c2IUWFXl5q1puxD6LMTfRAe4EiZiKJVkRrdsMflnEx5GIZ
lQQeoImxgQPjs3AlNX6NDKlx0zLpVib3YQnf0PhAHUiw6F/ri6shmMZARBkJSdGxbM+QLEkdKELZ
yrb4OAqlDbrx9Dq5VZFwP1xCxEW7yCghK1txrW3KoJsQbtKnldx3/lveH2jSFw4WR4tNLpsIkh6O
AkFLwvoJxEvreeLdYHV4J/nt2agYnY0P0XDX5Wsdog9DsmK8XWb09gzeXj77EslQBqWGTxHWleQO
yJhrjpU3wo2EwNK1ZTazbN3YbE7vyPnzH0yUtxmZ2gw/ZFAwl4cTTYa+7cQYP6hmG9qt02/ynXIp
u8HKMMtmJjHjcJzFtUPC2OplwjiF++Nr5mLBYb+c3zyfnszbk+TUbJTD2Qx6HUAAZBR5B7DAxtJj
I12h9uJig+JoG7pv9pfKPkdF3x6/nR57+f78MMN5477Lv3hBJ2o1O2sJe9XpHbDw9i/j0jj/7NW6
XMn5wL8bZ0gyZCEyxlFvvV0Ju/4ruOZzb+WDLW+Y5SiLGwZWfpQI82ymLRYhDvqBTuYUK2f5w1Np
Ocp8Jt7NRQkrSY3m73VZbn7GzsOrtnv+er9moPnm8XtqWyzCLnjmZJRChik3wE8dZAjsr2huXk+O
8YiM59nKTpj38qnhFiHXwriS8MFwvfMT7Vf7V2af/3buv64McyRgvD+6y/d5Wme1gSLoPCuEsBzq
RQ7WQY7p6u7z7ql2H5EMWvtgK+FiyYNqTKWwgnnMzuVtxwELN98m+9fjVWDf1O4zzwIbzc2Vi2Xt
+y0x9gpaHXIyf7/R+TltxR3GWJt6G1yFZ56d7Fp7ZWHnu/7E95MXUSRWoVLCMpwnGTgp/1FthD8d
NNpWlnM+qqcGWoQMVcCRKKB5aUsZCt+dByMir9rzLjbW5rS2VxZBwzSi2szmg2Zq31tvHyKZXMh4
nmUxiiRrPee3UtupeS2CR2QKsobu2F8LmFxj1+AaW6zgnMfQDd3fcO8JxKL9e22Wb+nnqYEX8aT3
UywFSgZW7uXz+mt+VZ4rP70bKo6obxfP40N2Hl4rN9rDyo5ZW95FgPGbIdTzecco7BkEGNif3Z4s
z/Fswyk22cZ3Tcd01qDbH+oti/gpLyLNKGdxUs8Hgx7kNtxL7kPqTParZxcsb76V7dV7/FgAoCcI
mH8mzcGzOYzYdWymmThvWbyINxLnQ3EtMgfVsb6kDk5+t/UNwta7aqdeWGcrq3wsrr4fe7HKyMqM
CT0SchW33+hfk22w7bejG2/rM3m/VjY79klpKdC3AFdHX3zxIIjQq47GqqjtChF4UYKEi0qVOr62
WeVG0+3pqS0DAWk/pU/qHYoC2B/cwuGq6k0oe0GiTo6gNMoWmSTElaUqxGptnFZizhxT3h8RhgLh
Sa8fKpJpII91OFRiyvogdxhoeZDVv+RWloELVpKVGLpcvXkUlSYWr4GZNLssraiYVWMLiepRAzn3
Gu1J47zqktoRRzm9joo0fYTRJN18ehUp4vCsImmnD6rP++ddNpGjl1DVBZaN+E4WG+RZialqk96i
Wp+s7cXlS44J8oajdgMgX4OFtTgHmPJUk2UIo2NkXWY5SGDUj2jAIaVUabkSPyRS16D7mhrI11Lc
rgUbicT0JolG76vWZE2OjkDXdWdlqsu3AEpKrIaqsDDtQsQ+6fS6fEi+abvSHtMlqk1Aw2hfHS6M
ipdG1hgGXpZS12E9IiT+SDREujZwhxq7V9SgtW6Ithidds8Vzcdffm35pivRIJy2UaHoa0T3ZX45
/ySF/UGHC8VX7IwOf5KAVlOIWfzg4LQQozesyDaeFOkTtX80CfqiM8/HQubaDbthJbX9eNgUPhoI
NUrCFOmVxe2EoKvQj7BEnKoxf5TgNx4bNIiuEd5cA4oeGWlm1Oh04qkqAOc5nKRfz853ljyhqhfp
oCngPLn5GCEaSqvq9fRH/niuqWJS9kI9AM6GuOzK+4Y4pDmKVo6BIs6mqQZ8nkp/pYPy4ZHDZ4Nc
qYDKpIfMFTDP+N0R8+lPKNHUdo4nBJ49YCxqR6mv2Gyo9Dxsp3xjJF6ykcVIvaShn7xq6SitRLCP
R4/fAPRmZi2BNFsW28ap6/285HSZSDrrGz/3hHs1FoEFWg2SOGeoGKPo8unVneMYRB/QPhLF+sN5
p1qQKnniwbevc4RwRjXepqmh7D8/CvjmuV8A7ADC7OEoft/RnhqjDrUXbD0RREJsGE/tT6+fKipM
RKKwRrvy7Ru/+4bxqMRGAzbECfsiu0zUWnJDARGaHhFRN20Hb/vZWc2wDUCVNEHYOepiz8ijWCdY
0iITP4X+eZQL05mHNcvKI+FjQDFlDeomk6Lr9gF3CPmXrt5o1g42sZkrisjgJGi170VTEwBtaD0C
sUPdnXlC/Tcq6z9+Df/Lf81v/ro963/9J//7V47m04wcW/zPf12Gvyq+/e/mP+c/9t//2uEf+td1
91o1bfX6x+VzUf+xbbOX5ybMs+WfOfgrGOnvX+I+N88H/2OTNWEz3rav1Xj3WrdJ8zYcv3n+N/9f
/+Efr29/y8NYvP7zH7/yNmvmv83nZ/3j73909vLPf1AK45mM7ps5c9TnzgWJw3+8H+/vf/nqOeXv
+d8/x9dw9c+/PtfNP/8xpyD969t/M/6ExWOB0Jpb51gj85GzvGqCf/5DEv8E10TnyQT/Rlthjjwc
tfkfWX/CIZl5AToIMkqD8L7/63cdfLv/+ZZ/ZG16k4fYmPEXH4YXQG8wp0jFwHe8kX6Mxc00+CjA
CEXzY0RmSkfaDD3cyqkrX1QmtFQBhThqjlnmWYD9DuyOsTpH4klN0JHDX8e8q2PNT6B/k+4U1Q+2
TIV+TR/GFR3nxBBRTwGmohq/3lb3U1vwunjN7pvq9bVhd/1/sKWk+Y76v2+hy+eqDp6T5I+zOnnO
Xur3u+ntj/61e6Dd/wkxC6wC2A8Qx3PW99duImv/kyjKXUhvD9KpQm3zv3aT+icgOfJsSrvUqmky
/vduUv8ktWOTA1Od9wAXzWd20+FmotNGR2pmHJkanXcdQt5hREdGNEl7MUzvqgF7GKmU7Ek077te
R7VzKM3duwX6ey+/37uHMfCv0ZT5hgZhyHW1hFHodEzB3BTpnRHWXFC3+LFc96gFIvJ+iXI2uCXV
CPefHlMF4IVJGNwjmDnzb3p3m6Sz6XaLUNpdNxrXQ2jle2L7rsD9TuxyjErl+EuIevbpQY8sKzeK
AtGQQMFNtljWTu8sHNCS5I5uyrTvGvOsGSyc7szZH0LanB7sr/z4f95MrKtMlkhbEfoG6/pBkQok
DohRbG7urGt8nE3NxRPajF8QKZcGlBujl3CWYc++t/49snFRe2U210q2x7278hzRR/bTmaRntG4x
A22DF9N/MfPHofwWtDdid9Z0vxX1zERrr3GbYIutrVpf68GXxHRKDaqTYwRIyO7M+mnCICzzsVir
HPmhrc7qwFUvolvEQUflZcwf1O4+yK7wtJ2MJ13YTcXONHeedqcYWGvciuodFkR2LaEVJ8859m0j
Crs4cFtjH+4GeS/4gSvATFXuTJw/d8Y5Gl82aVVuXFtfp2c9cFOtcbCTDJ/Ub/FPuXBi4WbSflEo
vgx1rBbBfeY3GL4iVvxqik+jea+ZSP1iatWh81zcyuXPMordGiWOQn7tvB+NRoZvob6/rZWzWSAg
ChNbKb97062XuXWwheFha23HjPE9Hb8bKKxKyjfUgarhXNdxOETF3ZK+iMV5gXjmTYZFkIdLs5P7
vuNbW/YCTa8q/qJSgeqfWsHR1Z0vuGF+hoXDyjaZL4blLoGrBCobmgCtnMXFUaJj6+NCot+ht1ri
Pu2ptorwozuKmJBVnqduzTpULjJ06+1RKB/QVFxrwX04FxwGXjagtiR6Vh/6i/ifNXE86updYz4j
jRg4TU+2gxYqcjLgXD+VSL4dCzrAnAks2edDqBwefbyXG3zIK/0uaa1HLygC29Dbwsm66ALnxGZl
tA/BDQrETPNlRM492PvD0bwe1fNWGZKHAe44PfbSVRvj0Si8s6ZPv+hW+DhWyC6ufNTDQgZzZNRZ
hYSeHBcMsM7DUREjyUQ1NuKHatSeGmMfpJ35aDWeaIdmTOGddrhdgZLb1HG/BzXNXkawMEy7W73P
TLtuTeUsBX++GSCk6EN0d/r3GfMaH2w6ih10rWfE1fy4X8KiQxmzv1j2rfusuDTaHV/bUJzG3Gsy
8G9HojIn7sd4L20HqIKbwnNRssW8SXhF0Be/U0xDECdW75t9JDjRNr2svkjn5Zl2buzgm7SVG9Bo
vdRb5ujwL1JR4c9JvYs1rOToOdBAWzjXt6KNs1kp2sKLcFGf53utsPWr+ify5Ofyl+pHcu5vg523
KTfIXeGriTeBFLnenfZ0ejXemMMfV2PmoPPMmPuZh1/Lp3iijWVs3ZuPPT6f2CE7WH7nHIHKDlTH
+218yR9psco3yRcWYiasi25RbXHvbKnIfC09FD2c8r647L9Er/lP5gFTZRXL/qYxcOp3LqpHJJN9
P3WBdR+dFRdYSfWmE5xV2/xLvhf2GWH0t8Tafo+vpv9D3XntyI1t2faL2KA3r3ThfVq9EEoZeu/5
9T1CfS9QmVlQ9nnsglA6R1IpGCT33svMNYcfXIYX6VTs523vGbhdHlMZ+2cnOEQbC+d6R74qG4y+
5tiHbmLBKaZdV7sZMKXIXdJ9gvvr9AjrtVAQxtoTVXg4uJo7mHbqIeMy1sYu2Ixn6TJdcbHvDPtu
KV27CBRjOEb9KtNxvz+p0w74dhscrPI8B9/F8rXrrgWGlSDGX7IjLrK+uq5WyaU6lCegQuWtOSQr
wf/787Xu5/rH+3afQmUmCpENuev755syQ5IHEdbx8ZO4lU7SZjkl+/aYHy1bWwvP6hOV8AvKacxM
MVNG9gfGZ2mdwfIFyUkgFn7LJy9Dv1867bRpxnPTrDLBKSSnwSYNPE6z6k3PiP0FpWbt3a3aSJN7
nK5XpuYAiobaWKueFDntPtlpqVtA4rHxARCibV2x6PzsW30Ttv3GfE6+6c/SYTjmvnDm4FEAOVzg
cOfwb9g8br1oa+rNGjaR5rIe6hIQnSuUPjRleGDW4GUphqN2TjvtC5Wmci8jfL6LRC2o3pDnf3TA
uHPnZPA/5i04BIf4qd8qm+gxoLub7RnuFSdPoHlQ+newW+EwNp8f9E3vZ7tiF69q17qUm8mTfdWH
dCA/z/A/D+UXQSUSsQ/XCO+T2a27quo+sMME8PsnDcZvqu9Co0tmrqB+lNIWMKHZ+DrrMYQNrky7
tArs1vLycBOG2yreZMZFHy5JsREtWGa7tnpVrUez2+JEaYQHbXZEBUL4GuZt/aMy/fDudb3tfs+n
6O6EZCsXELyNaMuSrf5Ma9v6Hp6r37Lu9eVjOL+YzUmaPH5faZw7jAzSzOjABdcMGL52KflAnWL5
tpRuW7vzuC2To5J70IOCeAXZOA7XncGsJzdYYtlZyikrt4P4aOT4/CbHJT2AoIiS+yZL9Bcnhr2A
Zka20xuWKxePunK0LKyM3KH/xcXX3coQveRqtnb/1iI5029pv0tkv0wvg7DS57eZWFEv1sXSur2O
i7KheCluwo1m2ZnKV+Ri1PJuwU0kCPoBTT57pKI5vKJFlNpisqw7M7Q1VwetM0YSfqP7fLoa0Xno
D60Z+4P5FBsPcjFh2svdGr8Ipz6GMlSG0fHdl7pCvo826/0LEADa1hem3a8F+jkm7anr6bPi1YHc
OpjkfXFyfPo0RMuWbt5nBZnPpnfw/tPEPFH1kiT9Gprmz7YhdFOwu7eBmTEqU8lfzJ3/Geb55wq8
D0IygoMClPSQatV9hf4jaeoY7mzp0YS3RIeP0Es1EOCi+MFI1z3O30aJKjqxsSmAcu7DunbTEVMD
II1rq6KRUipfNbv+5YKYbEOezEUx0kiT7f0FCWOixmI0iVeMwp+bMdJ8Akc7MvR9eAdLR2Gw6hQO
VSG/WKlwxJn7otHxJBsRL8asZv9hIkuER1iDfwZRF90B60Nkyd6E+zhWZdegGVfq0juROna2Xte+
tUiCC9EVGDOx8BfR3n1Tef9YGJmnW0URkZo9Be73d2GKlc4wy1689nHVemLagpaRwtaZKt68vx9l
H6NZTcM6QiJKoW7Fjf84SiSEmRrdEY/Xru4ETLi9bjJAmy1RRGb5TVFwrMZh/Ivzk1D50zdkTJXS
Oa5l7PsInz98w0au4DlV8jVNt6Xp5MkmUn9amQLd6gi+WU0QjR6N8HtBs1MZLDtZ2BTEoykeNKZO
q/JVqx/U7hpUT4V4nqZdMd3m6mlu32rYDhG0yGw/dm+xvlO7PdFyWuzSBebiuqgP87KuwFKrXgI6
VlJgWMHBfckNt4PpnWyMep3KJZsfGZ55wm07XtYN4KrqYsSs+nPRHzSdQcNXsWYDV4VjvazV+ZAK
v0tyjkXWnJY2ViD4Bkev+qKH1966GuVTbZAJrQ0uxDwJoS8rP7LySZu9cjoCrxj1NWccxgWZuLG0
XZO7UvHbMhLigb1unUyM3ascyvdKjAd7yLbs/IvgWcKzmTzKy1GOrmTYBqAIvlPMXRS2MiTUfqUN
3yW4VMolrh9w9vb1bptIsLwrd5g3CfdK4KBtXEPYx7hYV7npNXBTFe3AlFL/IyoFRgy/S3daifat
jWIHVkelrzLJgaJVtpdiJtlZN7FTapsKlLy6IX/WjYehf4j4o3GqO41yA3U/mU+95UuKJytrahRx
QOJ836vbylOS3ah90R/6dGoTltF+wjlbQVr+qT0EJWEMDS1Qr1EcZiTsOtTxih4RmEFGX9GdO7FU
GV+s2k/RNFNcGmtWxciXZizRwvuXOlrCEV62qFwX/SfUh7xZHMjhYg1Nvdyl9e9WOIrgYID99eFF
6XD63QbFSgoOav3U5T4bSju9CqafGYd8Osj5MZZFoFgXk1RAu8zStwARt2pX1BMIGpvtmHkhpR19
OyfnVk1cJeHOztu69AfLHbaysb9bZD4S1WEMAE3KulgAGRhOHBVXC/1BgffiAsVtze3C9E8lbgtx
O7W/wsJXNa/LvPJnoK9E7p24tS5DejjCoWzGU5S8lDO+5xlMvhjDm36/qJfKKG2jeTKUbQgUoTkB
GjNwzYy/ENfT3f60dVAQx+GULg6aCPQK7++y2dZVODOkdY0h2EEwobm+zzbaGXaTM/4eICVBz7Kb
F9Vwpd4JZhuXx2TWkTVdxGU74V/t56Skk3Goon2mvt3/TwhcMs6fAh0UqouxKJMxsmKXE1AMX7jN
x3LZJsYhKg6nklpbCp0cPzpV3aiczcr8axo6L1VeegCRRslP+3IC91n5YEys7JsVf5+Tg0XNx3KC
cjXHtyj25GktvFVnqT0YgiuFu3BwC/0pwNuepqYZwrCev4fqRQESobUHdVkJ+gnnd4U4QJTQgsHT
qZrTPH83+71ViiRMVwFbHrHfD25ZO0F3FQVqdmBy+21hwhCa3FCDV+I2+ipS7Dx8aPHsDyAsxqML
vcXWmgfRgtDYOzP5YJ+uRY6BBpwFcD5yeDrzIUyTydYNd36S9r18qJXVfVJOPKrxtfk+uqF0HjOn
Wu78z0OmqyA3TlpwDJIRzOtKa34q7G3RQe6ndUzXNBi1fdGcW+1JCoM1TFhbrk515wEBixytfysn
bd938SZS+AsnxLPTWyK5ufFL1CO7zgFeLpEvlauCSb2l9o3uhxQ7Rh6wr/uKUd5ToaBZzYvs6Q17
ZjrbgvqQV9tg3kypW/XU9fr+HGKgnutvVfZTUx5A7w2uMK20dNXHxMxrQFmhyVlAmO/DCHrkYa6K
b0/ym1D50bLKwaiIbnIVHnvRlX6GiW+SvNS+MnpWiTDca6ZDGq04D4ZLd5wWUmB/YJW7HDTZKtrM
iR8Yq1K8Yz28Ot3OmVs9dumOsqqfZfbiTfCfAayFG9HdV9lqdCCTFqz69hD3XmT4jFu4rcf+EL2m
AM+/hTvLL4/pd+Fc35U79nCdvH4zrnuqw6eeWqq+Mai7XKNvOLFMgi2u61uccHUz3FW8MDfVLnlW
bTFw5kujuupz8UXO96GrxTAOai0WLbVJ5inIoD+U6Uti+Ty1CvmaNInpDXEF/wcwMQkijoCKGru9
ZGHsWDAaa1DXCrPetUprx3y9ase1foxU6bEVjH0rpl+cGR+z0Xv98G6wDUOTwQFa+u/3FQu4QCwE
/XRNoqx3IFKUbgps+T+NKPnqfwYy7wIhlDAfzgilA2WIv694TWKiikrrn8RIPKtY7RYAejpxOY+J
9cWeydTxxz2TWiVFS2xC7neeHsL77wa2QJCTZJauOQ67iyMabg5Hkwe+sBP4zEZQ/54UT5fWhQzZ
lelQf1ieMvZYqvDVxvwlxe4b20/V3UsWfbYzpGuYlM4kvBp17UzDMdbYM3Zz9KvXz8v4S8pfjBak
0tvQn+vkXCZPxfB7MX0TYWLiSI0DRraG/NG5aeL2mkPMKVGFt43a5x1IIr+YnWZ2rMkriaSSbdxs
CiCr+PL3cJNBvtHKZOcFPeJGkNooK/ugCdfyjoLGmkDk0nokkw71QpfS1UryZ6f2Br/1wqN5Cb6V
vwFg/65eSnTY5Y4+Cn+OrpEPU94bXtPn/E16rXfSRv42XwR+1s4jLGfRNkXaKPZYuvwowvUi+ely
HYT1XGwUYz+Nl2JlKusqfxvSH7CAJnknDr4wHMTk1I0bAV88ie5XXK0H7ZbUe7F8yd2i3rPAF9mP
662U7vA1FcJNFq8LxbfS1cTIKPjyEMajw7+Hq/hQv6aVnb9inmCUjkG9U2JnYwu0s8k2XuO3vycI
JLqfXx7IbvchFyogn7ORuWPGGE7Pco0kV8EYUV8nCSOdvgSo2/IIKvl1VXdlVNARqFIQz0CHvlm1
26gQRx8K460vj9TizeWA3IwqoyqtBnyEIy9afA1/PNK3BPqO016zV+Glyp3y2KJZpRjKJqjfusAb
wXfnnnwKbvOLDtNt9vEW0S7qy/Ak/Y6uxVPO23AJ99WaC9rWh8hP+Qusb9noTo1d7oNT7xse17gp
nqrv2tOwKn0crwTNSW9s97+1xgZdTFVZ0kH7uT2IZy5wHZ2MNbhn8XvRusZa31TwRaQH/aT71Tb6
VpROBq/NazfdbyqBHJzghF61A+502kE5aJ7lCF6+Sle62/rhXrc5TBzRbzwyGOF7QoGGBZU4yjdq
LeIt2AcP4ki9g6qP+BNTgFVCjSdxTMzUD+V2PCrrYa3/bNmtPRS1b/JzssPgRLsUlD4fanwtXlhT
ReUli5umHsZxGjVUyVuKtUjPavhZGZd5YHLoFlVYo057K/IThJCaE0Ny4VDA4+4qvhbP6UF/7RHQ
80gO+SODHfwwKo8fTeDqwlov/UlyIPu0uoNBU106Ix83rq12Bw7WHA7lKFKtw7d8O1LDZH9/G9bG
ysydDiZf7I3RKlbc4ZJ2jvQ4/tR+DQdQjLFpw2wcTRtA/JJ6VJAEDOSBpENTGfwqXbXaSu6OaXYQ
Td8A/lMCvHQK1Y5+RbDfQQUnzpS45uyKvR9o28Bym2SnSL4m+YGykSTfLLfReEkpsYZrvf+txsRT
N4UWMQrpetWqB2xclPY0kpokHsBUfrE3bKh3zEp3I1udvfC6BFgeuzQR0Y5btO/oRH6RRXwugTCn
fe/0YLXFrDz62Pd7tao1kOuCfLlC+uptY2SFBzET8+lAvyNKjW2XXqVmr8v9uSg9E2CwK/CPA/aK
Eq+SfnFif6pIcTkcG7h0IIRlUPPDgY2UdSrHPpKu0otVWLMnahUd1pK2xmR+cU7R6vu01WCRRWRg
oadjavdjNULMAmVIpWq5An5d19v+OO3HJ9kDEeeNZ5YGULtFcvJo208PcDob2ZMoET/KZ/UBNLh5
pkqeDGemNBMq5gL5CJmwH1t4uzpyvDIj2/yxPM6i7QDzzh1Fs3UMdA07K11qmS3v9lkGadqdUAhD
s8U8jgOqT7ypdBvSMqy0zsnv+0I/za/9sFaSh1A9zoMH7Ec8z+dqJ79C8d3k+85btuEqXlnXdCV4
3W4+q266orb6zJ87sb0/Fd/HfXWUEY4bnnJUFeht0M9ONMbaxIMrEDTbOV516WHpzlN6yDGiSFz1
PCXw2R21vm+HAUjdwROMi8SRgxrI4Nk441l4vO+NB/HM5YffSsLwR/FMf018UX4L7JHZjjqxEdrB
67K49GFIiNhj9LNy1ZnYKR3J1vxlT3zrqzbnrSv7y+8ms0WG2B6LNytxqtbhetPHkXVn2vUvbvR9
q1kvW/0luuKNGj+UD6RCwra6ZJDffw3MrECZ/WmdR4jAkiOMNr/evuFKm9NKSkkw7P536RWH+hS/
UDbZmkfcldb6NfkVcj6P22afPWg/5q18gD6LypMd60xRmJ+FaZs84nomW67ak0LbnbTTlPtSXfR9
NlzaYGe2xxGYGOC4bTas52k/DZe+O8fqIVT9uPF73RUUt5J8nCqFge3BzYSV1a4sxRX69RKvYvT9
hkMVQ60c/RsFa53xwcTNW0dLeFvs9Blv/LuyQLB1b+7OVX+Q5fUMTnW+yuohbZ2I0W++d7EX+kPW
nYQucFLtYMVPVbgNWtv4oq77L2uWTgUiJAX5Gl7tHxQAZo9xFdLG5boseXUSlLjYDTneqMEwqThc
aPN/vEfczdmwJKL2gdvix+Z0UupzMo5Ceg0oKDtdDFmbWfNtKaY/Z1P4yrb5zxTCu/IoxR1iDkxE
EMixT3woyVvowIc+MtNr0gaVC3TxTZOL/qwYIJjn7ocIjC9Ge4x6svTAeLhGNBVOVhQcqTrHVZfD
s+e00q1ZWHVDjG291Xe+FbY//h46fXwM3HmqQffqOs4CuAB+KHLWUy8mXZLH12qxSlo7Pa+pDjyY
ZMdZRrnf/P3j/kzm/vO+3D8PW0h6kncZBCZl70+OtLJywEBZfAVDOu4y/F6mJDD9FGiwG8fLDzxI
mJZJlNibzYVGS2QaPqXhAoZj1uyGhpyR79NApVSDtW4JqIy1ytjjP/HFGffHEfPdlSJdxhsOzRsO
ReQmH+5Mmwt1kDbKcpO/9XyeZGeDnT0IJ3Wl3YKVuc298kK/NLqF2/KX8sxWT1M0/palDpQs4pUm
9vXkrJZ+TgBWsJt4Un/MKbjEvhD7aeoSkmiBK1P6kWLO/1uvHtVhbV3zZBdKuyJwtHpHlFdnTtLY
+CWAkLFMZ1g8zcS4JNtInd83BBE+rU9rJL4Gg3soZIq3FyG4joT7iRfXHjUBApF5x/9UBDt+K735
gg9obdgDyoPWppIxKJRInJhwiViO8+i5Y/dDY2U4ceJECfY/ZIFO9ZV14h/Ry8dbzIA6bR3+wXbn
wx6Q6hLjHnom3paq2aNDTV3FmDQnQ9dtV8IEMrfUvw8F52eVEl3l4gm7ud+JlZYbmiLnv7+aH2t2
WHzhzYtFNa82BgcfnaJIhSOdJVvcZDmW6OJkJ1Udh1UQ/5Dknqj1cR7KdTJO1hfNu4914D+fiz8m
mxO2GMBY3q+IQqlyS2/j4jZYgt9JiLqqKVnsWA/sXI5lill6+0VD5dOiv5OQkACTMNHh+CMQ/WdL
TVClrpWUOr8lZTJ4jbGbFT0gySOaT/LU//t9/ZcPuy8kpMi4cDC3/6GaAAMbJp6mcV+T+iWOCgJs
xfxVSv3jjIHLF6v2Y3DGX08RAWkD4eD9WPkQCeLvJVLcDsdbsKSU3IqWWBvQ4ReP7M9h8f7F1TSL
OjqtIbz6kFi/f2aJqkytVOvDzTxQdKP0ak8PUWKPui0yl5YT9DkmSW+8NrOz1rqh6GnEOwhai8c+
3pTFLomugnWqpl2leQn+e5bmaJmfaZ6cu1Xn9XcSz1FpHqrWzUJXaleT4Frquk3dLva1YNdJnkGi
aO1C1ZtVr1nWVuBZGi1qV/pNOknXeiJU6hw9dOOH/EF6YqJJ1D0ldqojsRe/nz2lgy2WNuRMqXZC
os/B6TvmwdwlO5aK18XrKT8mhj/+SeLBzJuCMyC9qf1a8UJjley6fC0Gq3RcDYdi9dVA0MeuH4/y
rpdTEB+jBUOp9/4eq6KQR3Em9jcxXRxLH070+OzFkidn6JqXXitPEeX8v7+rH2Z2mDvCP0mjz8xr
dH9ZP0LsCgPsRqbp4o2eJKT2CARzbkSeot1NNIZWdTFvpCQ0TGvwaKFXl+CG/34Jn782XnXm3ZMc
Ehzzeffl9I92txjiFTVqU3HLBPUpi+GfY5gTOEld1F6XyLKblL97o/xqCPHzKmULRo95N75GfC0q
7z+27cFFx0PVAF1p2m1nrgS0eFqEfb4UCl/UF//lLjMSxVgNW9DdwuNjgREb9B5ybMmHjeatFqV1
W2QJLYHf0XguBZxfBanPnMWihZRV5ReB4L98OspTjHQJPwjNMGd9/1VLznuYOXNzEwrIoIIOfrwI
D0qv1a4Wx4d5P9ZJQhMwfKIz9/L3p/v5NjODxagsg26ySL764bNlNa7CwSyaW5u3u7qVyWtEi/2i
1+3Jar/cp/gm77cpPo2yGAbFd1X/x0K2NYoNEj+tvSGt6NYUssZuMwlLaPey/qTIUeTIBaZBkpKa
Xy2kT6caTl1U4+5NMBlViiK/v8kR38YQKjpgeT4jcmvEhwg9dNHf+k7YFY3CKpZpSU8dGHOLA8FB
IWp6arzRrRAJZpWJfreIvjGq+q2lz/73x/ApPEehrplQydhYeBNZbu8vL6kyATFuKF7nujOdcJp/
R0Pd+npZ4YeS0t0nGDCQrtPKtNKJnbkjia6jZ4aPaXapuep3Zo/ds064VylXWct6r8lRvFXJF5f6
6Y1Brnp3AWegiMEd7HzfX+lQLKM+FXp1w6OLWciWjolV1RL83vRHVKMo+/ud+XSA3jXZWKXxgkoS
odmHfcBq+1YqQqO8zcakIClHt8IoX/bFGtTuB+S7NxO/ViQ01G1oBKDE/bC5jxqOki0+FbcasVqM
t678qkjTtY2WTVTH5V7HKMtjoJsmsFpXO13jOiwhUw5Tr58CMbTOZWClfrAg75kMbTtAajpWWqzs
Uomagr68qGZOa7dJ9JMVCeiGll7yF/mHiZCXccw3KwQIwmVQLaUoLGfT0ao1qt2FpTpZM6M2EAlU
OlXYCmlQXi1sUhPlPoy6LOqqMsT20lMdDTpzuCyGlwWydUVWMGtdeTbqbj528Rfh6efMiVuGDJH5
GI4nDqcPT6aNVdPs2yy5LV2eOCGe484g1qVrZFLpiAslvzjBK7jv0zOb+QPDP6PdidYvEfxLKgee
MqnDMzPuztJQB2hkq/ExTVO/OL7++It8fLKkdchpiMOYUPuw8Gu5COE/FfEN6/94pYyDcpK6UvDC
oZPtGZf5rA9K1ARwI7KSwil+piuxYe1HfS24lSLhstEOqAGD3F/SJd4sVrzPjaHbpGq/irO23atC
uOsCSV7//dX/dPLyIjIPgMUhogyNFfd+pSm4FeBaPQ53XZe1Ung19nTYIGcgYDetsbwzpr4ybvu3
z2SbvEcdYBnYKt9/5ihr6HTNobnKSfdjydpfeZQ9Z0G6yc2Ao5DulyBG/t+/p/Rhxp0oB/0eZy+/
cS+Xsq+8/9RUURpZz7rpCjpOKQ66ejOsnvmcJyAyYdPbofSi5Qemkbp6m+sod1BoxjZ3hUw1dMa6
9uI4tEOmeubcEZnMiM3WVcjX2hl1QbAwv48gQ34zOkTAbzqEwVLZNZT9mACSh9MgA+lS11DX5vwq
T0eAISR462A+d5lrzB5GKyhyBuuJIVtnqB5z6W2svZYmXq9tVMu3ot+If7OI+qC+Cqir5+qjXq7N
50J3x+JFwa+ecRvJRivVnjXT62f6Ych+aJbqHoQjK0nsfvotVNeUGnleu8W0SY2Dqp+M5jGgiqc/
q5nqmekp5IKb60zlrPSr0GlwBdCOc+XOpi28svfS9oq1TWD4xl1syl8FX54RCw515JAr6SuH1s9n
wZ3Wi9sDhsloMD+GxJkI8LvXZfZJRUE/MVHiDOJjiLi2HIev4CTsxJ82aT6OlWBxJuDvrn54TbDc
B0RSq+O1V/1RvpQ6dKVT2/LwxNrRWk/LKBdoL4b53aoOAQ+xDG5R9xL121Z5VdRfkvprGil0Veew
+pUJB6bg68VT0+elX6F868tdINKJeZTMx3nubTV5DgfZ6XrLtgLdj2mWCYnTBfQ1kFYMKEfGdBP0
1zE6lPIqNF96C6FU9VNuG2dRqGLwhNo+diQ9sbs7JmF6toLtHOFaxUzPqGvOXFBdp54CJQc8u+Ap
Y+HMDrPctjr2FFBGSnOUl9POnQdEEnTUrJKphqS0u5nKpKiiEubVyUNbUH5J2s9YqOxCOls48zIR
wfSXgJy/oGYQvoAJWQ1c+kxVG3N3W2aQaQxEqqxPaGNsMZ5tseVMSWlzD6/aNwYIRiryjZ08DUiW
Mkc2L011TdKfKi3kVLaoCmzMKLOt8MEKL3HzWupXEd1M9FKi4NF3tUW+y1gRcrc8uQZcjGptrHLV
V6+IqBAzT26moKHgje1XguaaqNOpR9cbU7aXp5KTzwki27Icqi100/pH+bd0myKXPriEd3uKvyvz
CqCluODI66uLcKE3OLwpuwkfHTS5q7IAduWN7AidrSLmoGqDhk12S/R8HJWim5pvo/wkwMkLPTpC
eeQOo9unXqg4deTq/cpI1lkBpmxTBtsYMeP4zWopTG5kY1ODaGv88T6TN2MOLOyTP788zaeuQYrO
lFw7PYvRTFfutS9fJ7q5aHHHyDWexp+L4dLU680VI4a0aRv5wUq3QeYU8jbsXkJzky3fjOH7wptp
MsJiEnTcO9Z95KXsY7wn9EatVdl7iuma0w5VPFshP4oBw/Rbij4q3ZCZTfI2zZAP7PPeS6qjjlyk
aN/Se1d5stN2U0gXlYsXqp+DdBmyWzDdElqOWDMyMmI2G51zvUwfi+hQBEdFWsnhKsq3argKkn3a
b5NsW/f3JF9Z1mgki+UkFTtdcgvVz7XrPD4zzqcMj33m55u+PM3malL9Kn5oUgYEr1J/7mn/B88y
y2OZNprlWeYeOXuureVibdEoRQy11WlLll+Um9T7mf8+JmA4mGPuroXDW+WjHG4oyq5kOH+4LrQB
YxSmGZYNRtHN/iyJN9zzxs1S6+NJ7WrVbvNwX+Ax7QZWEK0ikVpK3ctUh9PJYiGgm6tTgmBjUDrH
0HPUDHlAI8XureHBTIqHLrh3ceXSY4IcDcRdDlYg2eryaFrVU0gdZqhEf2g5pjJLxIYperY6RbIr
I6/RzA5Mn5ieXndOnOmoPpdylQ4ItL44gz8FwERGzB3es0HIT5/MYYVKaxMpErKbHIjjWY8GHPAL
V1axv14GicN4YKTFDN+mvsUDWAz7r3LwT8+EC7hPCd4nIO85+IcSlgb83Fg0LbuRwqn7sDpTE5j9
qlN/xy0Cwq7re0Z8KBE38zQ6Rbr8ZHSczlPFi/73e/EpVbxfCV47Mk0gEHN/qsT/qHiMSxZZWTLk
tyUTX0Nt4eyeybtKAt6VLh81i33975/4J6x690LeP1JX8PFEeEsS+CENL3IlaxdZpQDajp1rlsXo
dKnxQ4HzcM7VkPGJXt7oTZGjim0DL1Cbuy/Tg8JhuK3NGV2fnj+GcsN/Zs4NIVAxOF2T2pb8y8AL
y2EGevriLv3Rdr2/ZmYNzLsBNxmrJH4MrOMlgJMQ1yliON6PQSqi1TCJsjMG/eBKY9x50HkWG4iE
4upodhMrD88dQouQpmMP3MxXQ0tazaLYr+RetbW6LZ20DyU/DFrdB2lirUzjPgmTJ0gy2q5dtVKl
r+cS7VUUxT/mAkDELOWrcZa/8ln5lHZi4spgJo8EVOY9LX8fkbZzNQUl8NabzGiFPZrtwywm6y+e
+qd45sOHfHjqQailspwGyGlakXbHYuR+LDUVahr+pZrM/Rmh7Ot6RkE202NPb62Xuj8VU1b5iSE2
fkbeLY3yaTKZEhoxW7r3nhwRQYO7JDNqV7S+wcQEU46NOQp+c12pIcMJlWD4lsvTVb4K5T+v4ntJ
XaaWdXdN0v7k2f9YO1VsYogcLcJV75A3lUa0eLU4UCIww3ETVSQtOnFBH+616V7kDcOG4VpTR6YF
8+jvt/eDwR5ZBc0EsGhIJu+NDHLV98+ws9RgJk0Srn2drbROGVZ1x12ER7kpNZlRBbma/QVtnppq
jizNygkgKUEC0xJeqBGEaTn9lsT4Ss74rxcGfwkFIctdwari/YUV1VgkWdMI19qaF1zWxquy1Bvi
g8xlb2MEuOhehz5wp4BnCCh0J1JNcIwZrdQg3GHUQnQr8+nl7/frXzYhcnl2PZ4e4DrpzwDnP55d
0w9xModVeMsCszgu5LO60q+CzBx3SxFs9MBq3Co1Q2dSJ9FR+VOO3lb6TtMkLxF2U7lX6JWqYiGs
wzsZO8r134UVzX49F6IzMR3x54L/I9+U/6V1z/8xdxUgNP94dndDoHcGPa+/8l/vDH7+/Pn/sVTR
8EChgKjTMcTrAhs/NpX/sVRRpf/C/12UwLVxurKl8Rn/31KFP/T/DHkk+b/wB7qridjSqdX+R348
OOq9i7Tu4Ob7yQajFc8hcsSP/YuqG+i2aalul5YQgb1OoqY6L6kaxW4VdrAikCtOuYBurm6FeC9r
Ya6tNCNfTsZiZCFzMTPDwKYqC/VKVoq6t+Nk6ciF5FyWXCPHdW6WB8UgYA/n57RPjVezpErjCEFa
PpuKwHhHP44FqW9Sl4IxMkaCnvpbNyjlclcMmSra2qbRijp0rXSe+UuiYBgeJT0sUz/M6kip/pu9
82iOG4m67H+ZPSZgEm5bnix6UhLFDYJyMAmfCZe/fg7UX8xIVIcYvZ9VR0erVQUUkPnyvXvP3UL1
LqwfshxE1W/FmGGJ3dhzlqNalFbhOpeLlbsqJxvBsaLt5LWNvIqSYvAOnaqzK8YL1nRdTnmNrbu0
XfRL5VIQRumZiIaAnQfiIl2yzFsjoOmQX7b44JvXSNtRvo2ywEuZt4d5xGAstGSJm1P67naRTZm5
x2KqpuQqG7ROao6EOb1Cfxr816SBhvaUxLnPy7rqBjBW5H5u1dkZGXlTfay9qBtfllnN/Qey9dAn
tv1c0VuY6qQqNnEm3YIjWUMcNmtP4C2YzDo3u49NEr/MVTW3oMCakQSMvGGP2kxILIoeH5S1JP4B
jrwkq6ngL3PAeUSmrcSxivJO7ZK0RUDde27nVsOumSKejHJTtBA4HuPFKcTCDxOGjUG85hqTtOMP
O7cWnygtswyuwObVZtkHa0qqoDuaItPxuEu9qg6xLPh69vRV2TWSf2tqJBNf3bFkPua3RY2poNJa
VKciiPr8B3l7lvtIYEh9NHkIJcG3YvkhsVv9WodoI/2stOtdXOsE1X9SlOeuHNriotFlX10zmcOY
VNSh/8zst/dOaWyC9rKeGFCdFDgzVI9GyK0Z4vJ+Sha10yLu7tthgIMSZE2ebdQUOPce2NAL7Y7T
vosqTrnwPp61XbVfiqC4dfs2/GSnhbVswCyK+8brq69ulOJeEN4gOMbbQ//sdTnmobkQ5XNrz/Zj
l47zrh7b+LNJ3fQ6Td0QtXrr+D2eqBjjMCCxw5RbjzhlzGbsmhJVbBlwSqZf/MKwDw1aNokXV/Q4
it1MaEgvQ87ctzTeIZoiZ6MtztXV5OZnWdsWMkCbGrOtUTPPNodMmgvR7NnIlP0fRvTNXo+uv1PG
fhpLjfmCec9VgMxni5V99e3WD6NCEOiWYv7RtEV/XpbG3Td1QsMxEHIvCnuQ64yqwSIy+wWDYrdr
aYHIogqAAkg7ODODpOkidVLIy87Pw/ic53Qbd1E/6Qh3V6LkTWk7c7H3gjarnnkOiukbcxl6DJWi
F3IzEigDRc9PreBzWig232KZQ5xnTen7jJoNXJvalJV1Y+YEWocFbg68jqXDYO/qCSlQY2T2QzJC
HjdWErQPK+wIq2Xef4kcCZ8hkwFAoGjWruZvypsPsRVhLipca+RL9IROPce09ut9T9Fk712pcVU1
iyjcOw4GGdPwAqkEykDbfZ6csa/3DE26fuNOrSCAqqd9c8gE9LRXwpBlf0kYdlOcrNakzr4MUMge
KkPKc8Nwb8rGT17QRfMxlWPjbr0hLbKrro0am5qxV4YuBglM5fdwql10Q23XtgftNX1vn0zXL+YR
Wqm2tnHXueW5rzXZijuFSzvl0D/G703Cfy/IIbvZzBiI1aOaixnRvC3IM3d2pR8OUNsKjf+yDgsb
AWrb66+/7KR3/5xffsVw/evnoNhdB8JiPQX+Xpv5kzOb0BuTjamc7kubTcsXp8/eY/38fsT852qQ
n8DhXKOL3LcNCJPOoOmmfqVwxt7Jq4r8EBMx+qAC2gNdSwdnoQZ7+PulvRk0//Op4GbW3HsAaT9L
g19H+eVUxxG/ULJxK7xC2po9PBHk+ewFabT7QRT5kSExvrami7u93bQQYloK649//x5refv/Do7/
fI2QZgMixJWUGby5xXHZhIWncM+kdfopsov0iq0WrSsn14u/f9KfP6bLxIgrhkuIL/6tPSli3cwb
xyBwTev4yTcJIze1OO8oR/+8HpfPiGLyrgQe9LcJtXVYFaNRuNqDmPdBxfSGsrROrhaND+0/XxD2
esau3Dl6NG9N7oR9knMf1Akuw6Q5R4vzLZvc9J1D3L9cz3qEi1Ys3ypODX5/BUrUGDqLQHZ0VkLx
kwp8sDqJ9J0rS7389yti8MOzyGGb+dxPZf8vh45CIXJLOcaRldk9W/aY7Ewq83eeg3+7IupQdA48
A+uo6fcrav3Os3JB0914RYMZdBgwDEpG2dRVjerGd06e//LY0V1EObeG3kOeezNEC5bVU4bUYyMD
haC51/E+sciE/fuzsH7pX18jss8w3a2jcTRzLFZvGmZhPMWTqEWMzbzJN2rM5DkYeLl7axwum9r+
9p8/jmMB8/E159ZHsfz7PQx15AFWCBD+F1b+ae6Ed7bKGELUEDc33rKId4wNfy6RNuNP+i/IAdez
zJubmBJ2b3dqCTchQZabUqevjKEQiI7ODZIg6DVj9c4n/vmU8IlQpdnwWeYIPvv9CtM89fKx5hM7
F4KOCbt5wxYRb3tbdtu/38x/vbh10UDZScPkrZbXF7Uay2KGYqXmGe3tNB0weQxPYdQ3h9Qp8g+h
mjzzzrv2bxfIw89bgAJmJYX8foF9UKZrXDAGHccZj1abq73byu6g2lId/36Bf74CKxlj3bFJeoJM
8uZehikLIEVvQt84Hc65hc0KPcv4Tgft7SuwFgWIQ4gH5x+8CWuD7ZfFo9aRkjP25Q3B3NkX2Us8
CE5V7/VSjreVb71HQ/7XzwPNCVmO9+CPJnmRpOUSFYDGoEwsu0z0q+dZLM8jywrzwjCt3rmNfz4n
1AYI0+hisXH/0SkCym2NzOkjsG3AEdwa6efGzSDaCXfG4RHHk9wuQTfZ7zwp//q5rCqIkSi7vLcR
AHoenX4ZJFvAVImnsl0cLNRxg2/O11+ZkYyPVpO/h5X/85lxgzVZDcUD9/iPukDk8RJaKo43Ou9J
/VCl7X1xp3dDyP58C9xgFRkgNiAKE1rM7w9NSe3l4DyIN4GVeRf+kn5jDWpoT8/JO3fxXz9pVePC
iUE1Ya///ZfHcyzsful6h2Af21GfOU737UYYJU4+E5X3/AF/PpvUxjRCmJ78zPd8c1lzgFDCoUPM
0Ls8uqUJtpYKv06pp2AXtP/J972WcMiZUaSQh4fpjibP71dWhE2fGAv65zCN2Hvple8sv3kvSfTn
gvTrFvfPxxBNZ1MmQzt7cwOzrKV5XQNmXBIzgV8NJibsw+IOC6bKhuiGcYm4p8UYZs/WGPVm1zHE
HjY0SMP2sPB60NhNMoEnDRRkuPuvaxw3YS0pbO4BArU3387npJkoj6sO2wBmaDLYhyVI3qPX//kq
Iv0NEd9SG/Fc/uyw/fIQRe2UZNEAeS5T0rpqzNLcgbOWOydSLaI4jYYdJ+I7erg/X0X0oEC0kfuu
6o63qrvJChniGFSYitt6zPyl2qm4zN5Z3X6ff/AUrVDylffu84Yx/Hu7SZStJelnB4z06v6rny8S
P0gp6UTlbgU5q08gZN5kXVGJKx8t3Xux43+8MsT6ojKhVhPsUTg+fn+KQ6PySgctn99W/dWQGtoW
onfm01wvEtekzqv93x+Z9W/87YHm83hFCY6liCZU4s1LOsRJm2cs87hdMlF/EEnD1Je9IxUXximm
9xI///gZwfYj1MR8gDcAM5X7+wXCi9Jo+GAHOXqCR5JooBnN/J83qfVTWFEp4pGMkS7x+6eU/TRG
bYYxtJRSHby6cYCBCLV1GtfZepDVv3WJP76ztv55mCW3xYeMwdzU5+Pfemxro5N+FJBGZIxjqXbm
5zxwPtZxeBNl6smvxi8C1KYIx6esCd4Nq1qrz99/SF79OKA5RImKZfDNAqi10ZNDohHKD7/fW8JG
J5oWw1Yaf74LOtpoqC6L+04N09FSrjoNW3/qxLe/P05vfl/qR2bh69egonPXQuj3O184TV3HHtq2
IsRV2upJY53CWPHfP2VlYaznWxyS4s21lhLda5ujCveJQ9/mXYZP2CBn+/unrOeHX+4o2mdOFfyS
wIFxufGvv19LXrsTC9HUb2MzxumhToL4FWdV3u+j2kumk45biWon8KfisJTJ2B6CUUXdy9+/xZsX
dP0WMKjWwuen+9BZV+NfVlvfTdsoMyA7vCK1Htg/RhC0HqlLh9WKqP/buZRPY4fDSQLPDQQwNfnv
nxbQKEvrGVeMThlGMAxegS6yGBAMh1NU7P5+bT/nir/fYrGaG1B2IsZlyXuz3s0kD/cwvMYtCkyr
YVUYY/SG+CtCHDN2MevLoQBnsVNOHyxPXcwX2gc1/fljEJdWdyP62AAmGpiPBK+9nTjhToxKd7vQ
TZ2nEaYg2rYwD1t5j5BxFlCRnCHcuYyNXpbS7YFeYlSHxJU4RmcbTf3cPCeFLYrXn1f6/yeD/4sK
4Jcf/Y/J4HVTp02Zc7v+CQZZ0z9+/i//k7fgxP8bXQvZP2hbOMCsh+p/hoNR+L9556COE/JCK+tn
EsP/DAd9JoKc4OiggdAOiHv6v7NCJorMkOzVV+zFWI5E+F/iFlZT0+9rAJ9us5HA2wn+qQfevH2J
ttgy7LC6zkTmbtNQaOAxc+9W5baD6DhdK0mrFDlJ21XT8HHmXZ53JpcZAiEVuVb7oWgwmXwPMnap
W3b2cdkOwTJ9cTunCl9lnDT2iZGBCF5lq5CCNp03kpGVKmMuVb20AyFfvqwPMhb9Trk9+kZLI7+w
sSJiO1syjdaSrrPj3C3SY5mQnglgTI5W/lRCBd0WPiemJ6V0i4hKu3V1ZcWifBj1GNgXqCHKfJ/W
Ut3rqhQfJS4j63KJ/aL5JEzhVSQNoq86WVbii2IvrWpCK1GtGiXgGarKr520909BIIU+JHOMRrUr
54CJSz8PRfrI0SJMUavoLvoWoPa4cgtnnLdT6Q0Ic4Gkncskm4AgjE6JCrSudX2tygrd6zz6jJY2
erLhjZuJA+G5yhzb7NdJoX6GnOaGN2kW59mFS0aaOqVO66pvMiZl4CKzigouzDCVLylL5wiwxJpu
ncbLbchHWZh/oJcC9QO5SIuMtF2+BmJSx8FX89GpNJpXU7jiabI1JKOoAvFvi7K8YKLrY8NJ/RZt
dzZLWtYF6S7ZTvpJan3PiRNfMDKLmlmX1L5m2KRMDappctHyBzkOVx6Kvovp+RbmJtUDtVZFRepd
BeNUjDlJTU5u71vlL3O+Ab1PXjTh3gGZB5hxRpDetWlQYSi+6X3F0Ci5FJpZ4k52rnUKZ1hc3tSE
D1S2BK3JMu30kxvOUmAYrx1reKyqSC7HIQrzWG6CaWl61N9t2txov0J1BNR6bP10x4B1wP8Yp5VB
DagiNembMqoc+anzRO1voy6JEYVxGIlOTIOz2D4lYoB1O6aJFBdTXMyLf4hGiXVqnBavPDiFk8Ct
tCo/3I3xoqeHSkf6yjjjJD47PAnep6m1ZbYfa0xC7mGch6qDFe7kfr2vR+l6HxAgQwtr0HEEFI4h
vkx/ZC58kc7WlN2FTuUZnn7ZW6ROj5XfITxOnfkFJBnEENMSTf2oh8puwDxFo9rHQZqku2QUVr6d
bDOH+ENzQID1LKAOzL6bkwxp13l+SgbVTlsC7UY4jZ7pLee5j4ZabZKhiWHCO1z5sptL1cb85EwM
i2s77M1c7VHzRxxUqIjb7DKwi8kKNppQdnjqZNnNhPikdVsYCERyUMKDvzSzFGyyRvnxp3i042ne
zJPMl+/ADxr/iw7F1LNGNL4Ej1D0kt77xu4YMe/zomn9j21kmCQxBowjaTZCBgm8Q6Id0ACUceIi
0a9EqTXZaq5smsvBQh5KUDeCB/+RPC1Gb/My9d5L6y1zf/JihfULJ48XPCUMn+xt5+gAfVAVj+WH
sQ1rfxPXHuEsZZswCoyogB8S219he27CUDuPbBraiSeq5hwzLau32eLnDEM9K4zv0mYh3GMqovZb
Oqtob+tFWCc4B9iDmWpj7VC1kd2uSQTIP6uOeHvqvKgPeW7782YJyb94DiKCGnfKz3tAPwv94mcy
Myx8DKMtCCFLWlBTuTWAGp9zu3vqmmVB6iw9qNnd0IjnqhnLXTc7MxTILO7PiayGKzWr4nrxlDRX
k8+P2hfdVPI45al/DJrR0fA/HRvPVOzkSHYBND53aWpuPOacGyfu4rNfivFWMdmGo2Ikrvwqxx6c
qbnZ5nU+B9thVWxkbUtbt8mtz6mx9GepOu+CEbFHy6TsyYObpiD6ZlcSSXTD/7ux6fXtRKxqiOTO
eBG1tOAip01uO0PEBbrgMf0YLWG6k6p0AuwiCh/KbOT95EzVdxkl5jlxckiMlS+W9jBY0BkvBtPP
KQxJ5o+3qnPhAolsTsVmWSYbpu/Q+9eiyJov0pL2s5yTyt8Oqkuv3XyWy6NrDQDdwRpvbN0t7cVS
FxC/eAns5TpRg0RDLnOC/S6iSWX1JZR1K7hOLBv5NTmlw2PDHKa8aCZl81f53sMC0/yQuNOyHxgX
z5TaLQLmpancYm9bZXBnm/JJyoFbsljhE7NChwNXUtk8fsy45k3BrGDaZr2lkJ9aPXSADtfXp6Wb
5MfUH/thzzUwUI5LqHhpKtrrrnWWz1W9dBcTsMLbFFExipDJB6rnZA+zLq3LMkcg2DUu648Ym3Mn
6j55FAJS1pIa3sjA4oakfp9P264ay4sJ7xXiUKvg0C5r35ztxbM+27LmUD+I+C4hv/5SlTq6nqZs
uSTsvaabUha3lcMzGWnm4puKTh3UG0x2QafUh3EZ0Gn3i3UdGcbN7uS750DoRyV6QMcEI427aomc
3VIqqD0dm9g+H3qbZxmtzuRW+bfAak95gSHDqFTe96EqHiUjjRPyBn0hPAs66NAXEIHtJHpOh7n8
7C5dgMaa/B2pmhzmZpt+to3CbjGY6cady+WcTGO7raypvBAlG8gUpvllFK58D/oOZoMOttzZYTk0
uyXvsf3kY/gAiX2AVBkw5ppCdOmqp1GVhMN6dBZz8SqKSNCXbDqQ6VVvEQveDjyhpR0/2o0pbu25
Bac2e9F5Kkx3GmoCFSpt5IfcApWaVFhjZFjEN8FU8lgOrvOaFDCnptjtHhPmVxMULhk/uylcfPZ0
5yZ0C3nRSaonodEGx40X3yRdFr2mwfJdlmVG1IkO73UqxHFw8uHcovU6ZaEd3/d2vAJz/Gxr8BiX
m9G1vFukXNVNybl019blXUdDnuMTwo/FSRDtU0xtWmesL4c6jE+jzKBJN0AFPBRXx7ERNO0QPW5U
ki3nAk4FOUZVF53RPcEbCMfwicwl0pFtFVzNogrvrSKpPqHarS9jHkuWS+TWyD7uBBqzfVv5BtOu
EJ9So7Hm2BVZRmrAKUb35KlpzM0yC5CDhfHKXVNHeN0A0Z70YI4FHmNQgeKzr8evWbLYxzTwEpRi
RXGC7YABhP7uRtrpVz3q4inqnRFKV5Ceigouajcv7l61COHSrLssgdRftRpMU+xVd4uZ8gsVqmzT
5gCzvEqfOotYKRMl7ZGzX3MlBigY3ECLfJiuS/M7ngmvgTPoxeUxTBjlQ6OU/Y0YkvQ7jIDixWuG
5iGsQmxweClOY5AtV0UyAwmn18dIayCLCitHk1XfauMQziLK7ojWOubm2/DAeZGPxaweIzcnwoOV
ZqexjQSRySA45O1GVmW9qwwIqaqOqxfUaxNyYlCjRHpoUdyl0cpNnLXQ9y014ZVHY+DcmGE5sFmn
WHOAkPtduSZPZWSObNusj89eiZ23Xp2TUx18oO4t7rTK8QEhvc1O3pxQBqpOLOeqHVwUPSO+0MWY
HNYWeDTPYji6SbrRu9GaWcE450gYGrKo0gkDoBXoo/Ec9p10WvxHzWS73fqjZb0O2FrPSamGG0zG
4Cc70w4H9lfifgLZfM0YtGxFBDK67PruA491hLEvCqhIc+jbixPvKg1xIQ2VIUshdG9UUKi9mQuO
0PhHrhuf2s2nHDo2hUi/uxlngFzGBVZBN4DPx6nlmNHWgEI+UhX6+JDTrOS/ZgOQriyPzgqh+KdR
TZDgMLkcmgAT5sw7h8dA7MJaqAskegm0p0VtLOUhXbTpc+2UnnDQlRwsMJoF/ks6dgnGPMIsFsEa
M4+j+zkq3fGCpjx7R1BXu1WK9iPT9o1E5ncI2Fiuq7rUuyzsl7MrhuoQdWo+O6a71cJxHoC9FidR
yvCiik30HGQKO1IHEzUZiGTLymzemMhOdh2csIbS6yL16vKAr6OGYdLX28BKxGNmouwI02Z8dET3
THqxv8GPwzwBWefBqrBVtXMN76Hu19yymbAdVaFKS4vy5HdZv60VOvq5LNRN11UrLo/J5q6PfdiL
c1xf0E9CqpXG46VqK7QmCdLsYdIvXZyV5MzkwWWWVgEvef2ZrPmMqtDYR1QwaCYjbzLTzptxBmnP
oOoPxuhKz5VzzvL8QY+OA2K8SYILR/IQu4X7KOMIPGguMMa2Qj6z/L4gQeyOaV7NWxFQ21hOtOs6
rCABI3tAbeqVB2w5Ifo1+2ARzcPStOGuKbnXvZfUhzlI5J0TV9l2GOvqWgyZAJnY91trbh8FXHG0
lQIypsa+avfr+bcS4kfppTZcwTk7LCZcs8HBSlajwqRmsY1jOnkeqYc3aFnKVdzrF+e6LK2TLjCL
LWZe9lgsfI4cbjVtZVslN4h0x3LrkEl4iIw/XDqYR4pNb4B5lwutic0Q9uXWRwdgh3N7zVxEXtQq
mPZeGXePnPKdbUqZsT7WU8XRaBW5Zcu9V7TpfdpE1qNuPHE0VhyfNaG2/GGPSZHFWrotkx4+cha/
xsPU3udrT54TKkfkmLCKbQT7/rMmqetQlCAAFeKYxzZM5HauyuFRqOWrEnE6bRilj7QSOibBTR5U
0OIn4LMt6oHbsifahT80P5B5F55YXIsLk1X1Bw67I1F7iw1rvvPPUrTevrbS6hZZTHG5NBQh5eDR
FrCr6qjqebhBjdecvWL+JDgXfIqRkb5EbikxlzrhnlczZCYGsC4NVHlpPINktBmeGkffO72ETTgW
8zm25+5VBqO5ZJsZTo7dis/5gOiwzOP2Nh2b+WPLy/KpHT3MfXFPVZdlw3CmOPjYNY6zzzFHXFcF
y27POZpsQQqCaCl2KU3C6zEUkGKXID0HZm5Otc1Bu44yeemFWKmXyr+vUKoe5ljLw1y5C26fknQq
rwkA5Kv5munsmk2mvP6oWYcviQVbrnXWP5lYp1uDSuJQp4R75DMs5Vhn5zmwxBXDgPRikGSST80Q
7RIYEQjMieyOa+dmdPBMZaH50KIg3+saU83k0k7Ie33Lgj19B71BsrqTtvUREUh04bUAK1sR48MV
vnMRzvpOlINzRIozfswzxkJ0UdlUgnjeFQmC1jwaumNS1c1TEwf3gBkIe6jd9MIliHaT9Sra4rXB
3dO68b6ViXMdO4Q2NxPnesu2h7s+DDvUpgW8l+200GrPaMF2yNa6/iLCF3JcYu8mbICV9l7La+zY
r52dpKc0wreb8Ets3GKEMdzn/cmE0gOoLqLTAMPvgv18ODezWu7JvM/vk0j2584ynD0dr6fQyPxL
Lr6+rBQB9r7XdhSe7pPfKm8f4+fNHRluVGMPT7Guy22EbPjJKFU92DbwgQix/MZPO/EySawsdYt+
Nq8T62wJV6EzsYP81EVpeqvo2B/7sP3WGyc7J1a97B28ShuX4+53yahwlziNREJHg/CyrJDsbnKK
ttVBlO5pWsaHmXfxzPR8otocxLOLovy1NF0YH1Y+xY6+jTousArv+h7mCcsuqQZ1iDyfPAWRnsJU
Qjek8fnFxma4LZnb7Gu/DihvNOF++YS3rlv68dKmiN7qrCl2NjquLUfX+rK01fCpYny/9ahD7lTW
OeR51P3RJjDjI1tysre8QL4WXqL2jKrX2E0inuyoKc52NDun0U6wmuakaXQRAzLK5CzbUAFzYPTr
8irL7fEspsA+0s1ykIwb63Jyiut2ETDOdZDcxr2ZNujXYRHZaWm++4G0822ecH+VmSHtDelneinp
QRkIaqXzM+tAx9VdPucOFvFsgOul8AYEnv/aZ61zFU1xfujmljN0Y7xojw5kPOZgnZ6Xwlmu7ZY4
A1r2ILaKTt8BgMqvl6XmTZ0xJ5p6Ie+ihSKsGO294OIGY+I0YbRxMSDezqFxP2kvnw61mzVPIueY
uOntsr8uATtsEzhrt93iLUc2EHfjDGP1LSg97MK6qgC0KiM/15EFVqCIviWhawivMtMFfCDIDW3k
Ysyu0uiQl0u7d6MchwfH++sAaMeOmT/w8Lqa9kGKtJp+DgKSjUjqiIgDy7qnZ0ofzA2me79YQyXW
tHm6zv7R1sLc6KwO8m1R2WbXBsivZpXa91Nv9NkCgfCQDQYEtCQttQy9eTN1YE3beBSUPynCa12z
G8YFrIeAc/thbldNd4AuFL5D8NLrWcOpDfsDPB/YjElHijudtn6N+nIk51O0j3Tnh6OMNAyCXLJ7
pJ5nuZskwgzWD1lyH1gc1S2dGTS68drmlEC72JM8K/rWWKx/a2+X3gQNneDCTgaBiz+h67oMzdBv
13HUbvQdfx/MbF204efupKI5h+4macNFhY10JOVYa9xKX6AHTzkcZT0QuCE3hyUc1ZegCtb6eR6c
V0vp7ClYpMC/7ZnpQ6Y4zgq3wSW7zJglkAld2H6LFV70M1U0fDoS1WYfbEFVAfFOu+V1Ig/uZpio
N91FUFFa0fwYDXa5r4QpvzeWHr/ZOVlK9JGclzQnbom3ZrwXQRtfjbzEQDWW3jmursOPacNJvciE
d2t34Xg9FzP+ocCiPT4IGsaOrSxY1MY7FkPWH1IV/FR/3kfokQ+Cp5Nzqo/kL0AhGiTuSxUkwOly
io4xtetPagQrn6uh2VbdHG11Z66ksDmfeBASdet9k0UxnShtv0f5cGUVqsXaP36N+uEm5wcnmSLs
nTvjtWJTBA5ZJXIyh6yQNhRxI3d0nXHrB4aUPJ7HDXXBgPtgCLYJNyMfoo9iZkGf2VypWdp7kTfE
5q0bRWndu21Iv6yvGcFhUFjmL2lqfVYNhp/SGP8zEW/f0gzA51JGDhVI0R5c4Va3iwNBcxLcccqI
DmWSR09i8fQjIqwVvdBEhMMk0r2erCI9WI3myBtIzlVB1f7QpVN+MkV+cn0WzcCjLZ4NNHVGIHlb
xGE5x/7a60OSg5zXBQfggYM5OPLIPM6CfoQX9MWOZhqs5o460Fa2dTEreZ9DTuLkoyOeZPu5r9P5
IxYsvevtIFgb5tk26Ol09JbJ7/opa0Hi+Ml1gNBy3znigR76hy6FXN5a1gd/8f2bJOqu/anFd0xH
kUyWObqziujcBPZ8Q9sm4knjLDoP47UMVfmV2L6aUrOd92FBR8FPa45BCZDENuVE6i7EK4oZzrWe
y+ohKmT04jgzhZUbU7k1jSInZVYv3ujCwE9cKGedn4YXnqofPdkHZ7PAXQAvNB0Eh71TYkiLSqqF
IANriu+C1CnPwSpodICW39Z+PO2osNSD7Q8W3JJiemiIHjtMBh1gJlL9EbOLhDRgyk+TXBdZIVEE
Vs5Ed82vHG+b5KipN7nFS9y5yBAA5Ky5XMl0LFqFz2pIRyKnMvESOTRYSSjiAzWI6M6prS+KlsA9
MRj9bqp4gIeYNlpjt+ouFZU5qpSEnijxp6fUia3jAF7uRiVeThcNt9jBMugkWc+zU9rFxd0UZQPc
57YHWbr4TwyimmNLw+5Se8Sa6ziA8Kp8nwggmsEJ/rmJ7MLjDIVtJxoUDo5dJVd9OZnLAaXzZc1l
fTdR+IPhDSmbZRIqEu/wVEVOGu9nyyoe5gZa4lQMAXjbKfmAs41ObdEpfoOshKNv+ukpdJcQK5Xl
x2dVepqzxMibMC7OvFWtw3qcCP96LH3w5yqZ4OlW+Kp3KJRsrK9j4MGIaQNqOyIoXYY11wzBaLpU
dXRTSrQEeyS2wTZt1OcQ58w9GwlokTkqg03ErgJlgy6SjUPyiE48vLO9iMUBwTA+vjQudjWxwAT1
0IuzhxvhysfEbxLwnYlDWGSRhHTOAF5K2eQ39HWzbdgN+ZNuF33oy9CwiFm53K8mv3040F3feHX+
lI/6cUjK6rbJY5IBZof6SDlk/uhyHrcSvlTDilo27PpLQ+IEvvxYl8312Lb+SboVJ3jmVNfRWNV3
/4ezM9uuG0fW9Kv0Oves5giSZ52ui703Nc+SJTtvuGzZ5jyT4PD0/e2s7EoLZac6cel0GoJARACI
+IcQcNFnOzWoeFLywAPGxRpFjgHWB/Usz4wpRt+j9xGlR1ybymyYfjHW6XNddAUuvk7aP1OYypM9
2N70Fma2PHj2IC9a5JhRkEE8bVc0a31WbFVPImvDwwZQDbEUb9iVFH93pTXn930sG9xiuQmdBR2a
QK01v3ZVPSMxj3ytX/YfQ5vHyM70UImit/RlS/35nOfdSjESQygfdl4n6Pu2XnMNxg9bWpiDd2x1
DG14rK7YpW7pPN9LfhDFm76v+iwCBrGFBwoaNmwZNN/a9p6mcvWQdwn3/7BwnSce9sK9qqtGvKy5
D/BiDy0P+4uBY9Padxm82L1tb+P4Wo0TFRXDnunBYPLuS7Dn4eh9hO2KT8W49m6H8WmJenoCOg2Z
oymzXy0cgWjSjnYs71zEF9pdGtsPPZbY/WGq/Dk5WRprbk8WT6KHAwsUZjutDMAzNoJn1Khs5wHo
RtnA3RubD03PCU+lssE9eFlrzNiz+qQBVHoBuw0Biqyrs3GfAtZbDzBVg9+gTlZAaBGAOqz1NLNh
BJfp44d+mcbEu+43I7igOjbdkzKpL8DpEjujsjtkX7vy0ViH9BWVp3vZbv6XleZQZKczPhN1cNez
kXZWnQXlYaDX8ZBVAnOo2IzXK6vZWnrh1uA8GbZdDycbvJTztuzd6cor4+ZbU7vzvSk9ol7yYsM/
Jva9+x7NCaR+Z8y0przFypcHbEHRZ0a2VJRBGkSIjcsbd4bjd2FSYAqfCjcArwL30fA+O66B8cY8
xbjRumG9TXuclcI78i/P13JxWMSJClrK0e0W7c2QjgYVqbyaHv1u8wRaDa4pP6Th0BvnCDcm6eto
uBOPNOPoIdZUK0+UofluywQPR+GyrptzlCVbk+y0iLmanVlyqD+tHF4nAmtTXtGjh6RBU6OCVs9T
Bg05yySVU0M+ZcLwTlgw+3I0cCks0pmaX2l/dWcS+jElen04n/Du684Co/NuEDkozpdxnr5w5YWu
6vTHLvNQHtwZ3Smbs4FHd9GfwJDE1mObTfwg3e26yXCn7m1sIE3prN9DDoLHCg0/ew+sQHw4kovu
Cy7Vr6bY3KdtnoMXs0PJJzQyXyCcRSc3rt0UTzRRXbT0q1/RrhhP1ryWZK7JmU/XjlYtrXevQquo
7K4gAQRUvToqv0i/UQLy5ex8lUNXncmO5lQxDy+unEimTnfhNR3uyxBGuydYWO0OyYzlO1VP8zAM
x+vVbNufgEJ+TtqhuQQ4aH2HKT6ep0Ug8chOqfNkCbddMjTk6ZTLpp2PlIT7WVyYMZDYriZkZ8mt
t2IXIVIum/t1Xeyz1BDNdZcsbGFjWfFeA2RxEBawBZubwXVGVJ5XvvVSLqn9Wwc1Cp4v+6cwmvRp
kau4CXs3PGtDeikdGLiDdLE9hp5XPPnI/pzTm3nk2m0nu7UEtQUmgU+cbcG1a4R0sSYA0ZdO5gRn
7H7/capH84NIaEnijCpemnrlmM1qpzlMRluiryTBMGQdZqKkKPMG1AymTvRoX4J2KJ6SPl2uTXuR
B2APzbUjnA9kJPtp7GrMRCr6s0d5MvPULjqfnqFTozeThzZNGRTn0mN5ekMn80MRThfm7PuPRolp
1Soxhu3Mr8uazAlIf4oOFtVWXBQ3RKrg5tBezCzkqfEg2ChR7IndGlQIhbiOrtsOfYPLgbIo4l1+
cDbga3delJ7Ji9vpxMlG8tovJN3nYo63k9FvXqFAkzJIjskukAJ3rhF5SuFSqllhXpzABsB8j6vN
MeiK8qZrAAMIkbbnZuIQXonDZT+ZwR53fZpe91ZnRxSWvvROIriG5o21LwN0+JJR0tzFTffQVN5w
RnjZ2GBI9IqPl/iSjXg72VvwsKJaGKXtcJ+A2r4vnGl6Tssy+z42ixXsgSP1X0O52Ndj2zVfsNF2
HmdSAPpuIQi7epTfwSks37uw8c+QTbCPLb4H15m6y9aMlyvDJszCxH5IbOsu9yfvQ4YON6eCyfXP
Kc+LOPySNCnS2TYqphlzyE5ro29vaUV1QPjBn8BHL3bxvOE2l6/93VIur2uRfpa+Q9GttMP6bCuL
J4Hl8ol0hu6OuqWcT9qey0U8WFcw/Wn6uq2IL8NlmbALcBu8BanC7gyfFmvG+XnW23WwT6U/0A1e
6AUsKDohDOVwA3Ga9LJI8o9BmqbgwIt8fEbngMqzW3hPbI2Vc9uFmBIIgf8hGaOTHVOSm381gR+j
6OfZJ0G9uRHolzAyESLF7LJyLOIpLJLI5lV+DSvXuesqjOHHoT+sjjl/ZtcjNM4NDQ16pK7GEMRJ
Oh9NtlPAp17D9cOaRvfzQs8AXRR8FGkAWfbOp2X+mBhF+kiraH7yqNGfZ0O8PvQjhqICEQSQM26T
zwgG1vZLQyvhLC/Dj+YQiws/Dt3LvpFYshRJ+o3bMvXYtDIwXOIQgubZNbOXfm3cqmxQVqy2+iqQ
LnbORX/eWMTs1cZi3C5Gsg1XoHDESZI1a3EyZLLY1QVmCQZ91gO7jHbVsHWP7Jb40zg2Br/cmDq3
/SRGynlAx7ktOvDsJprHZ+GGwJ3VJUBSDVecoUiNgY2Tj1dCZFP2XI1remFuCdqYQe+dFm0yRLBe
8e8ax/66tqQXn/a0W1bsoMzauij8IsUMHVgPFp154UKupmGauwdpm1jRbB3IjRM6JPUZwmDbVWnn
ON9YxtJLJJeFk33KTarZKTlryebTsc6s8XsVTAL5RxCs625eyy6/h0Zqj9di6LwnvwGVd3BTJHb5
SjxqzGd3DuLg3vLXxLkyBIfiWUpzV2ZRWJkFv6g9huty0eANYDzNTuYF11MB6ujSrZxYHhyjtHH5
LdJq/DKutmvcgiUrk3taufMcjZ3rwopCjawABpYZRvVxw6sjxxktCGsAT9Q4cWfcQdff+SnalKZV
fE+N2cB206IVQzxtZx432Askv7cKCUnKGq7sKkguw3ZT25hgmgFKDBnF5UfqMZvcW0ALL8u+Xm9M
Yv4sDYYea8y4wkFutEDPLGGbRFZX+Sfx5BUHmZnhYTLd+HG07bNazNQUweF4VnGV0yr/Ti2p/83H
o/2zZ3glrm+JLYpDjfzBNyoU69etna2LEbGlz9LCZ/tirpq2vGtWHlsntSFz9+gRy55bB8/+CsXB
wO0qNCMfZBQtm3gEzBkXhnlaefP6XaQ8lxbXjUnXa4WXB1fr0IsW2kfg6QPMx8aAN1GVTO2Zx1my
RFXTexyFE+2Gh9GM7e/BIuR5bxU8f5YQaA/GkGtMiQIgZrPbXMps9167LeNlcnRlmPY0Jbz1Ft+H
JjmgVpzb9lW6zJn9ceqssjD2i1UsGYJyfUo1DUHCfpJPRiGa8raSlpkAinNWf+ru2s1YkVPLS7cE
yVUG3eSjrIzrJnaKYRGeJO2cccUOgnF6cO3WxPGkHUyvXPfgRBJK/ukUg4qL/DRrTtdkKV/83h6C
w9hOC3Z5fjzfUNKeB2y46qpdH1KnxzIhTn6jkSA/1c3m54c5iUEWOCFVpPVg+TGN5giJiCp5ITmW
xcsw8PgCdD6UZ+Gy4oo98mxszmYZWtQVasMfgWkgdcyZaTgO7H8ZNL28zeeyL57AEDljjhhLLI27
//pf//uf//O3QNm3fyXE9Lr892vTopmBydA/r7PXvuHSO/7+A/7872//OPz75x+h0G/+QF0cCcf7
6Vu/PnwbpnL85//wA5JvzfH//P/9yz9g1E9r++3//NcrsijjcTSS6Bv5JUiuvy/Fn+P/8e9uPlf8
u7vPRTYgGfMGlH38J/8CZfv+P1B4hihuHSXIYR7/G5QtzH8EMPrgIqDXACn5qOX0Byjb8f9h8k+O
/G8Q01yLgIX/oeBkO//wYaRAiYGrwd/zV//vV7/7FxuAVfvXVP/486/1MAw483AxQwZ6S02w8g2t
kq0WUQP+GzgjfR6EEU9+WIe/MbjCW0EtaFpA0IjIMqpnRKM+2G7/DrfsSJ34k+vw57wVCPmxyVvk
YYWEqUd7Fy8n5PzzTWiOrvC36Nxl9BcbEQViuaVByF0bnTi9RVHYGeuKsUsqExFN0vitWrx9Yoap
5tjH1fqB1pLO+VDEEy2vxnYfy6X4PPAq1Ju2wg5KXIPn4IIKj7+B9+ba7R1mr6w0J26/nbgjB2N2
4T1HcTvSs/eb82o1xUFv6gTej6vitJ6Ph1LsRT6wBt733vfOmdq/xZ76cyMqfCa4p/NUlCx5MrjG
fquM5TDVht6iO0p0+nY/dcEYu1E4Nca9HM3g3K2mvynO8e+5q3rsQ4IoB0wEL/Kq6VOM5aBonQ9a
a67aRzTz1g+09VnzClMtb+yuKjSf9cZWorPsy7rcbOSL2xZE32bH3q7vx296gyvhiZrbEiO6wve0
6q859Yis6v51Qv7dXOso0ckuCaHhk7PQQAF4GRxmHBj/etbH2f0kHTpKdG48xAbbzGn+OvTORifd
bnm395ek379FGf5zrygRmjrQP6w1wynKguFiGpfJ/PWv53789X82dyU80Q0LKTelXmRRdek9+RnF
QL08rpINpUxpy5QJdsOVOR+9DYrLybJvteatqg7h69iBno2XSCJkLLbqrELuWW9o5eCkjOaZzTHu
Xd6oqU3H0JzP9IZWDk4II5lpG4EXdYagcosSw3du1vkHvdGV0IT4Kc02Z3Q7Xl/cqb+Bfqm5Jset
/8PZRv1wWtE9pC9u2l+3OUx2nmF90pu2EplpAeJhmZI1moMFaKmkCgBJttM73FQScR2gG0CVcYlw
+LqLQw8Vwu5Jb+JKVBr1uHWwStwIyNGH2XO/ZvG7fNJfxOXvOrI/LHjpFk4yZdNC5dC7BId+Iwv5
t/Ql/p1MVEWAahOTUWZgHKashLI25jflHH7VWpLjZfrHfbI68Ggac3ajmgcItUB56jnTZ72xlbhE
KiPtRLYs5BOI74CSvhvVprcmKiV56OembUa5Rr05f2uN4Tlx3iE9/+JDqrJYlQsjGLwKI1vVDQiR
GzMxEr29/TvV84dNYuWO24ZHSgnNvuqyzsT0NNlNope/VdUwATHDLlqa9LMTvJae+1iV4Tsn5q8W
RTkxe9DUazFPa2SLFdnP1LqoEeDQuxRaSljKDT6QBcCSTuR8ag32A5jOg94WVE7LIl4CAwOSFVNV
+94B7S3iVHN3K1fZMvYQfEw6DjR/Wo8issjNponevE0lLPOkB7rf9iu98uJjLcpLq8r0TgZVHgFL
qqQMjrukgGFwCCUP2aD2/p5s0b9zlakcmHHQxtRwmXiASwwIuxIlj1zqhaapnJdObcMd7dgocjLO
6dh8THLNO4SqSkStGhamxQYHvoTZKqC1vVMWeldZ8xhVP4R9DusQbsnIkdaOH80G6ZHJNN/RW/xF
ZKqWkGW3pb3rk1IaKHQogDpH6vd7Igm/GlyJzK5Bw6mjCgdEvn0YkxSagNDchkpk5lYv45R1jhwu
sw8GxfkX5N/10pVqW945Dp3qsVqjNK6fvEU8bGmplaxQBH/7LcFX+wOSZsdzvqAqLYNvrqf1KX1V
vAWUqxiHoQRkNTsXVejurNJ50smDfqiEZYriHiS0YokGD8Ls0lZPabFpjq1EZVJ4lOYhWuBhnW1R
CY6jLJvqRG/iyj2Wm6AbYD3A3af3vyPGgSPuKGvNwY/b/oe4nEfpF8gbsgdBGexEUn/u6vVeb+LK
iZnaAGmQZ1ii1BqvnYLm7ZBp3b/RHnk77RBQWYkUKVtwM/DuCl8R2tEKHAqsb4dOG29Ag2nAoMmX
5gGUsYPeafagtyTKiSmttR09Xg8QateHIqSC4hfFO0acP89U/+EV05eV3WYWRwP6kh34HgEyupoN
vaBXxZx8c+zzAAZTNKYmjpfzhCeFUb9nHvmruSvB6Re54bQ5pmvztpifSmsMP8fxPJ9rrbqqrpWL
xaqCwVuirfE+mCJ/8Ee98AmU2MSOaQJN7FFVNsaTbM6ASThosutNW4nNoS87s99YFLt17+s1O1R9
/c7b4ZiY/rOEgp3D201uHFkhEPHXyJyyqJVQEsb5ywyKz8qyg97slRB1EWwbgJdv0QKV3PKSE7wC
NfeiEqLCi8MpMZg9EA4ERtrpw0xFRW/aSoQmi5347daskT9hqOYWOKJJz/imNbivnJwFuo8wO0F4
Ns74nPfzb12r9fDxVcXT2MfyQdoOeXwuv5aj/423bK63D30lOFOko9D735bIrJpPjR3fmekXvfU4
bs8fTp91yxcT2wiOtny8G/L6JYUmqze0Epml2QNN3MhXQzLIPS7P3mHt9Wpivq9EJqxjfDpmInPL
1kfEQx5NcOl681Yi04fEKv3WwFy0rc7cWqAs0OolK1+NyKoVARnFjjok3iM/hiMJK0dz3kpMyvEo
TiSJya6zgcKZTyHEP70lUUIy3UYr7D1zjbxNvnBphpf2nhvw8YP9JA8KJSCb0gzm0IQ5t1X+Y56I
z1vja2YpodR+REadzc/EEvXGggiw8PsjoP6D1pqoRgHJlrtFYbZ25LXL5RKYkPgmrcK9L9SgzPo2
M112YOW0T0Y3YHo1gVfTm7cSlnkDJ7BdbAifTXYdYCVlJOOD3tBKUMJqzhqzYmirttE+hS/kVu/p
H/9qnyhRmaWhW0BosSP8HisI1MglBNOL3ryVsJSggIQLRjRqsvW1bLdPgQFbUm9sJSrRvM+GBZ3G
KFyL2yapJCCi6klvbCUssUxxazvGjsXHybOO5VnrvOcAfTxZfhKWnhKWIijqrRUb15O8dL6ATdvX
vQVVE9NmQh8Res0w8pQYtfu1NIaGSqfvlJ9mezqUY/xVa3k85dQE21SY28Z2NHl4i8X9sIngo97Q
SoT65rCsvsvyAJh5KJYaXlWoObQSn4mYJIZdVAsTc7pNRIi5cKc59DG2fjjsAe+vw5Ax6zZDyKvx
cupLjVZZzPeU+OxHf8DXJt8Q4GqhXpfrcl43xvrObfk4w59tRyVCyyGRQYkQRVQZ6/gpX/rhuoqz
Qe9Y9pQYXVaQbX7Cg7MW1msyIs/hIqOpt1OUGHXB1bXj8abcVtX9tMDxmvtQL2+pSKAF5eRFhLQz
qXOmaPx2gLC9eqc1cdXSexgNfHxIiBFKO9dgc/cwXvXON8Qp3+xDp7RjkdasyVzixSIFzrGA2vWm
rUTmXIptnrA2jKbysQ66z9UYftIbWQlMzvsh9p1ki47cxNNqqvPLWIzbO2tyHOUnO9xVYtN259pE
3GCNxizFfh5CxHJbetv4MKRhmh60fgXVuSOf/XWQHr+CFwBLX4MXqw1O9YZW9nnaOj2JHFPRcYV/
3Bs3+WrrlVVUleO1bWo8TmjGxnAfd9JsXqc100uJv/tR/5ASR1NUZTdTFbfNEaGn4AQrw3eyyq++
qJJV6hTHx63h5A+GvDlHJR2fsmXno3ujlxRVm5mpwTYkW3MKzE3xmNrGh20Nvup9TeX49334h26K
FARKLB6aaDLZG1myaO6V4G38T2bsJm1JZbxMh28Q4Pp9udV6rXuIIm8HRx1mMOKQ55WZtt0u3uoP
iZm/E6THYPxJkDpKckH0wFlLpFCiOAvvQeWexgtUdb0lV9ILTIEabRaSYghMHZaxeJ3RpNS79Ks4
JqgPpR+g6hpV6ZrukyU/qQZNCCOKIG9XHPvvxkpWyu4xLCFEMMbTbkC9U29ZlJM/NUKY5QV7pR5n
uR8q9GylY+htRBUPNAzW2EhB9KOue5bUVVT18k5r3qr12Gzm3YoIG81qs913EK1kkT/rDa3scFFK
G04hVy20MnHGFE6OKkSqV3xXPVjGwpkXh5Z11MfFLYD0m97TzFequXJSpl4JBRHggci/WFxULNO7
11sS5fQESRdkYces2zQ+XfiYZWCc6w2t7G6rqNem8aE6WCto6HW6BOGgl8BVEwi8KBc/ry32trud
HE0wpzx85/D5RaZSkUBNPKBMsdZb5BvoJlIJuZR+qTlt5ag3+gZQZOat1JXlvlrixyFtHrUWW0UC
xdVgIcnHLSIGOHvmx1uKyNKslwQt5dhp0Ekd2zAkCXrGabuGaC0mkd68lZDs2mYJ+5QUOLtLeyPh
r5yX3aKXSlQwUIo1nuUCco2mFTmpoVrTXY3UmN7MlWOHB4TRpX7ANb+zrs2+voybXnNRlKBcUrq9
Xe9wAXKWcQd+/rtfa75OVMO0IHdEjjwJz6rZg+czXIYAGv56RX6HtP3klFehQDhQpGJsKRsi5QQB
LYTB0sBsz8IL03WHR+mW5rW/LcG9Ya17sZbztRVM20vq2vMlak9Dt/NKIY7a3Y47nS4SsYjZnodb
x0R5dtdDkzqnOJ7eoytsNFrIVl/F6jTjOCwYzrLWvvOC6PSl19Znf70ev0glKlYHGQPRg3STUOLK
Z7sfz+Ni1GNW+CpSZ01bhMmcSsLy/9J24h7x2ie9WStXtdmiv4tcTwsjH1m8dT7YQa65IErIlEsP
f8Ba2sivi6u2c6gAC72jXQXpGDBR8ami8otCOnrpuEfvCn/WS64qSif1R/bbsKFE5Q9Iq8RBuYM0
o0fA8U3looaGQzIWMPqjDkVE1B+SgxkU9jsXteNX+0lImspbyi5j04phNkYLCO4HFCFeghFXZds/
qco+1Gs8qoCdwY/xJm/bNtpmVHqjOR7DGwqIvaeZD5VfIvTnot1S+rECW/jSkxdJaL0z9HHr/WR9
frdk+uEZC8qj7UaTdBgYQ/7cG1xZ0MsNrHJn16yaTkjBYnt7z49RuagH2OmQOMb1IOdK7EJM+g56
o6unc5gPEMn7NhpidJFKH83cMtNKBkJFHq14a1poIbQ0243TwrRPEGf/TW/aSp7Z5GxlSzewadCk
bKbhwuharbqHCI8f+4ePWhlJZnVAVKIc/aVy5/ehm+5Q+37Vm/kx3/8wfNx7RsPEXYCGvgt3FeOC
yrCdE73Rnbejd1kiMKgA0+2s84udH7U2UTvUG1tJNVux1eVAZTXazP7KSvtgt5mu5vdUghTBcS+o
gwKmUjHlkUyzAUVKT3Nw5ebsmkW3jn3tRaknMiQ2tmssW7TeKfhIvV1wLHkW6QcsCvpVr4Osz/0s
0Do4hIo8wlC4Kwqkf6PEQJ6gnAfE6YZVj0iIjdHbifuVU/bZwOho90fGml9kSMxobRQVdtRkMbTs
afUghQYvqRBXwaJHlMUb7e2srcH3F0wCRZSGE5INSfgt9rlp6M1bCc0cNpsV9MzbnJJzf/SvpaMZ
lyruqI+toXAKaJtObxsRUkj71K8CvRweKIGJkvw4VbIV0bBtwZmZ2Y/z0URGb1GUyCw2ewGWkTN4
2z5P0nrZ6vdci4/r+p/HJzDUtx9Tdnbezi0gMmTPnjqBXnWo1+uALv526CwT0nQy9gmSZNlhle6J
66Hip7UkKubI3XxhVwPcLTjE2x4luQ92I3q9j6mCjjzc3hN8c9iEiXkT1ObJZph6n1I1MZ45HDwE
NUS0UMY6H/vRBZmK6pLeqiihycc0sZ9k4kssn6mRv7S9+KA3tBKYqfRWNOVthp59ucNrF6VqX+88
Vp17gwAhLFSKRJQ1LT4p3WXZ+ZrrrcTljF1OPuQzBHbfSiLZF/djab9nE/mL4PGVuEwKFGtlw5oU
m3GZ+XLYta6p9awVqvF7aiIHt0xM3MTXEtnndL82hh4PXKjQIz9LkLJF7S9aF3Tj/BrBtUarZCNU
5NE4ocSaoDEVGXh44MccFb4egBndnbcJJTWKWODlBhuU6Dw9JpTEWvUwZEJFHo1JWQ6py5J4c/+M
bfKp3Vf3WqEjlKgU7bSurjN7EfScejei7CLbRi8PCiUs/clEs1eyJsEKULfKzWeZVu1HvYkrN9l4
HoK09PmWPYpbO68oMfVrR70NLpTIRNu1lksB6d7ogutqDZ9mTSUCIZS4NCHgNVUlRYSdymmeZ3dZ
EOhd7lXna4QCTQOU9VEqAPOznWeJELppk15orbgKPkqSdBrz4xZfcVP0FmSWjcTSIygKFXCEMLU/
YH52BIw/22ONmrIx6fXwhIo4sgDQZyPWNtEao0dWUF6WVaiHoUcC/G3ge8FozuFxq0zGvD1lmSdO
TTNp9U57Tw1Pm3X2DBQaEE2+cdzyetNroMAefztvawGPQRCJCJ/ei22dz+Kx1arECRV0NHRmg4DX
JCK3tK8lqr7g0jTXQwlMky5bhmAeWxw9vTMbc7+Tfun03iUq4KhZ7NFGp05EpZ1cxlP+hMa75pIo
V9kqQYTNHzPu955x6xTFiq5bMuy1AlMFHFlH4mNcc0Xxsy07DYfkfO0xb9QbXCkAoeG7GIidYf6A
Bj4GVUv2Zc2MUO92pWKO0garj6NkLMWr1N97zlDd0XuL9T6oq8Rm22C3k5isupVj+InHiXk7FRhV
6q2MEpvxJN0ZwTxuhq1j74egwBRuHfTqBirwKF4XtIMnBi+a+HXxLUwR501zvyhHZ2vTp8oSnmx2
g5vDjO8ftELvvVfb8df/yatNxe4sruHTRiEhVnibXm8IVkP2rRzE9dGga/Vucq5yinat2/E7wDgt
4vQm7VB9Nget1ptQ8TsiLyoOi2MW6D1rX/WJ3M9i3SKtTaMKEdl2Q+26ZUuWKdfDIu7K/bRsrt4N
QNUhahGFhRQguPT33kU2iqel9j/pTVy54BZV4q+9x7I4Urg3KZYGz2Mxp496oyuRmkOzCsuCLekE
3idZb6dtPejVax0lTHOj5NJSIxM29nhRlJnNbfHosaE3ceUYxVnLT9jnIoI8u+zjsZh2s9g011wJ
1B4d13GBEx4hgugdWnsBAovjn152dJSz1Ohr288Myitp7l1xjzkTnh4iC5u/t5eLEtOj2SmZuHes
quDNMNDZx+5Rb82Vw3TGMnQIcY6MhHB3mbvZO7iGsd4HVcFHbrnFGF9wEQ0TF6NV3DkxnnvWmriK
PsoXkW5i4U0er/LSQpstXt8jLh7320+yrq2EZ2p40x9bJcRJRzrfTSkf9GatxGa5hImBMwdJReDS
gxLnax3kQnO5lejsEqeVXumwU8btHLv0ZWe5zfe/nvhxjJ+tiRKbnrFWmK2maCgtafrcbnWMI6mR
nTQSL7K//hG/WnYlQheb535QszYDxuNY1PjjRdiPvd6tUUUiBeEisro2WfkpvsEm/XwRgd79QkUi
pR1OSsbG0HhSw3sLvuSV1IJjClWTyPKBwWU+a+IN5rWk0OfHbaG33ioSyXTbop7wI4uMYS0u5mUL
8C+t9fRP0Bd9m7ZSlDhSBEK9qDSC56WmEBKaKNtrbRVVlqhOPPSmaXlG2HBhKY3l8Z63zKC3VVQ0
UphjaG4fU0uYOZ+TYsaDarQ7zcGVIJ3dNGiykcHTYDxko3MZFO9By34Ro6owEb6BCdLJIQaMhYMu
cY0N3utSG3hEI46N/q7e2ithui5xF9sDP2VO8vyqR4F57y6lnkCMUJFJTZP3XW6zKRdnXfeTFDO2
rd47N91fLZBylDaAvnGZJkHOhqwfVkxAcnEoB+G+M/4vMpiKUSj9lrJ8fJx8gsNZ252blh41A2Hd
t+GEYLVRJfJYW2xtLOI7+zwPwkHvk6r4pz6x4nW0Ei8a2/o6bLaz1AnutXaLCn8CLl21i2DeWZ07
ADbGbkcdUK+0qAoVdQ1QR0wuWRQAa1FVmxe1semBwshUb1c8t7pxnBs+5tQ016NV34oy1KN6ChUE
ZdouWuGugRxcmN2Io0OkntCcUBFQWzls5ohBcmQE7sPk4ZaED6XmNrHfrohtJcHgupSJl7RF9nzq
XpZ10rz8q/inxeh7qPosiZzXR/wBzsOm1SxaqrAnzzXabjWY+LBsu7ivHg0scXX2t6cihizLRZpj
Jhv6tX3Exm4nBjKCWie0pyoVOVhHJtIXbhQEiE4J04imdti0vqanIoasFCfBuGan9HF6L6vptk2t
D3qLotxyeTm7jdcTl4ARHlbTHKIcss3hrwf/eRL3VMxQUVTAEQCsUCS2X2I7xT8lPa36Tet8/l3b
/EfMEOjsVPY9AqEiHVc0F+rxoXVwKfrryf/8hPBC5fAcu0628cgXxfIMD4okBLCV2pVWucVTFYsM
YdaFeVyaqugePMc5F6ZewwJjz7exb9TD3BUxIVQUbbzLU+8ukWGguRWVR2iYcIHOZl7Psisv8rp8
3lI98JqnYoaMBcxyEfI5pypsd9mGQSreG3rBr6KGaleWvYUnHBBt49CNzeVaO3qfUoUMCaPhNedz
VXGarcaROi/2ubd+09qFKmioxL/PxNeYx1xYXCfdx9p1HvVGVg7NQpgYpx/fcEE2HvCM3oA5znqI
eAwG3u5BM3AM36JOEbWWcV3Vz4vbPulNWwlLcqwpfN9h5FB8yXv/24wxnN7QyqEprdKdewRJI2he
4c4pRhlJTYkyL1CisgwcDNob93gX9x/oQmG+0+vJ9nsqYmiSUqTNYJMIZW2C7Sls7G83LQCLp2KG
0lDKBaM1niqeuXfr8baehF4CVxFDo531ib1abrQJfH+Lsb8fllGrbeupgCEzTXu81FnvbMzXXds6
WNY2ld5pr0KG3GAqsBU5njxF19/nhVM+BesY6w6vhKYhC2uMW9Ylrxy8rezrKtQrxOOu9zYwe5lM
lQX2gXyyNhZeW311GczABvXOBxU3NIQGUnCu6UbrNt+4Q3oI00Avz6p6RRZ+vkXg9LTkJtx7mi19
TZ1Vq0TpqbChzQvppzqseGWnN9IU5mVgNUJzKypnpsThOjQXJj4JbICM4BHx8UgrZamoIbwsbbOf
ADbLsZDmbky66Tz3l/w9+tEvLkEqdMgTa+KJGOiXP8jn0q5SOtCV5l5RwUObADpdpaARlziIOie5
iWc92TZPhQ4h/GrUbkdvuO2kfSEm7Bktt1rfCf9jHP5nhdVT0UMjzmDj3PbgBDH+3Id563xL7KzJ
8MBNU80vqwRqOvUIOuEJAp9+DnaYPe2kga+s3rZRDlEzXTfemqAgzLJzrxsDTWIIM3p0TxCIb3NM
E6zojEwsD+Wzy7VwvoQ47WrOXDlGB0vkWTbQAe28PtibRXCOt6I86C2LEqgm/c8qLLncrgM2Ymmc
791CSL3MqOKIPOw0gtQ8MhwKK2t3+ZDBp5qSWS87qkiiahhk1dkdlg9TdmIm1eO26VGRPBVI1ErL
mFHToZUYB0cP5f/L2Zc2WWpr2f6VG/7ObQkxSC/a9wNwppwzKytr+KKoIQuQAAFCIPj1b6X79mv7
2O56ccIOV5Qzk+Ro3HvttddqYTK4XqavGp8TiXTblBSHLgg5Yp1y3my2sLAfvGxG/0Qk8sTPSwoj
jCSFgfQo7mEReOGAn21QOgAe1poCLkuaEubYyfdlunCpnG3Pdli0LhfQQ1olhmxrlN41ZXBZATSO
z7bnWiaD8DzFyRItVcZIfR1MsCy/aAudk4m6RsM7kZJk10Fo+i7qSrcbk3K8bPfHZxuUhtax2FM8
PZzGjNTznRnGp4ve/JxOtHVe9VBSTsCSg8Vjuk08q309XhYDnAsYDXHFFGvfQvTxW6jEx4Zf5j0S
n3OJBt8l5TC8sZJX+aVJKphs+uoyMar4nEqE3LOFvXIDzKzcQJRN63WEL6YX7y8b87cL9nddX6IP
Wj2iPoT2RpBZyBQfoQrUX7YUz7lEfQJ/tw62syghsAMES3fupx2gb3v8LwKAcxEg2fOuQdUMSaiL
5e0Gu0/OpL4sKzpnEk0ILjR1iEVh1xvsiHE/rJm2i9gP8Z8YRLMtJzlqgCxO1DuVDArsDXGZskt8
TiLSg9ej4Hh619oC1q0wXTUXtmfHf+IQTZVZ8Q+gp41OmaLsE6vmi9gy8TmDyBinReKQ0PUTudZD
+IWX+rIRP5cAorAEEvEbjkilfHh7dBIv+4u2z7kCkChFR6YBJ/nkRcF7dVtG/WXo5zl9qGEd/OEX
jtRczlPuEQqJhgyXHePnAkDGtm7YBvTZdFo9yG64XX6Wx/1NZH6u/lOWVsCFGK7Occ3IDvZ08Vdn
A6A5W7WI58tG/fz+NJIEAVKsHSgPJ2lhg10DB73s2WfhbUCWttdthRmt9PQIw196AB2q+0k0xP/6
2Dq3M+vaIWayQ3LeSK9uun6Uz/E4g2CJRougyUQTpjdNGtEfvk/YheDUObNoauWshrlEam3bm+0N
g5FQOfvJGf9WU/2Lg/icWjQmDB5tNa5VNA+T53aM23CnBB/RE+qhy7YbFjg1Z924WZNLmUYQPGSB
vWwhnJOPzNoKW/OAQS24THN4o74MU8x+MlfR33yys8IMqdFSPLeYqz5MPphx0jml8jLp5/hc/Ii5
sYlEKdnO20VnWxqFRSNcetn2Dt8+0u9udRTWA1gMYxHHitxH/RYek3WILjuYzs3QoM7spZjw6sM6
nuYefE9JL7t4z3lH3ndRF1D1VvEBwITlujyCL9z8RNDhbzbfOfUIHfVc9MrynUdjQ7erOeXviTYo
+c5vDsUZrkwy7NOuWVH3cC0fL7vaznlJxBoPr0hAOMJFMcxCokDcSNpZctlC/RM3CfVIGHlgFyRq
7rOup0sWUH3ZeXhOTdqEnUgq4TTO+jZ8niOn7ut5VOqylXpOTmI1KXVQYzGlSZXbkm+Z7emFpbJz
blLYT+FSlhiYZllUsVbsqi+rC9GEc9+0JAlEw1c8nAo17EnQfpm29TLeUHzOTkKOFYxz8HawVVwe
mu7FMtNdFg6dayXNoJX01YrrQAr7aHTb3lNN6EUcPMho/PHksW+He102sDElM2LPhH9+68P536/m
vwkt6NnV7A2FazoR4PdVg/sKIyJFMgTmA4Mre7O++99/yd+c+ue0JKv7SpMAo6MD/4IAeoITO326
6NnnvCRi0Ua0zjiWSTLqvK1BTO6a+MLVfk5MSkgrjLc4PNEYVWYGCpL7MWzVTwb/b8blnJvkWVsn
EyysELksX0Opb6CSftn5dS4VBEUpFnDIJ+xmT3OoL9+ZMros6T8nyqQUNWfDMCbbRgAO12UIKSJ7
WYtSfE6VmSJrUtMA22o2tmQcmTldL3Prjc65MmYjpCUKXJlgss/QM7w3aVD/JGb767mMzqkyLdzi
x8G1b/CwDtALyne1dD8DLH47o/4cEUJ0+o9HwFZPk6rnCOyHduTt0ZVkSbNAVEF0aBvbPHREtmtm
BE7QnFd1+j4Ag3QuaAwlhGxodeUKBxLc28/DQWm/9DL8mYYBpb9din9+u/icBlcKvpFyRskDPUhc
3pQ2sVNWcxUGmZtcmWb12CZPdel0ldPExObYGeZNfwjnyc1b1q8b1HBBjFIrxf/z6OpQEa1OtUvX
H2vdpSIDe1oXZSncaTZTuO6rONBT0a8d2MgrLO4dZNYd5OLiJeigsePqNJNJ376YTSV8J5bat4Xa
Zqnz0HXyazyvfVfUWi/vPel1eQv6YeoyyYdqyNd1dk/LOm/pj1C3soIAltLjVWfa5X6FrV90pyrN
kxuIcW3lzRbDlOFaB11VwsZ2G7sXVB/T5XpdlDFtttB4klvGx7H3MEInMARM/dRCNhIGUNzvYa29
afBjDQWBkDVyOsKmVdcHswAA+2DXcBWHdeVNmI92lOV7+DgOD61B4ne/8bhpMs2Srr4SJFLkrlMj
ZbnogWbfBKZql4d4HDrPsgqyODEOMGoEQNEGbq1t3uiGzTduFL7+vNCQ9qdy1YmjaCJLxvoxYHDZ
uanCzUF1iTqSmkcXubJH2ZaCpp2Fbpnp4+hIZ0+I6Euetd5wC8efZt32cJeF6XYRj7Kxu6gqTfx5
6oJlSLNRubBZC0tSyzkUz7Vd4HjgWi2+Lf0g6Q84LYzDM0vBfLrpm3jp7oMoDcT1uASivXd8mzEB
fNbSZXBtnrs4R7v+ur29JMp4bZ6iq6F6npWLzX2pYq6iPBpgudVn7UTNdAMvgYS/6HBE4clZvcnq
qAhGGT0idbnn1SZNnyVgeT2VLqbL/dS2ACHSrppVvrRLZ78Ls8jR7aahg7Y/Gwd7DaYznxii65gn
BO3Ofn7XSYW6AkSaGvrcyIqFRW9KXoy2J6oItpZi1oE1waWvi0yVk21RG8oz7XQ3pOFwV851BEnE
shWfZMT78gqqPiMyPSvLccMHClSD3G+ITJ7w9m1w+oPBKNCC0WW0xaTj+gPZjLEHJtrgCojkGACm
rVqyW8c+eqBDS08Tn9mQd61RYUbX1qV7w0rNMxHBTjrjQwOPTBHF0mTz3ACbbmDv8Kmtu2XNeMlL
mrUB6lXakvHAYZKxh4Rc+gmt36jZ9uNm8q6a6qaI5DKuGeVtfxj7hX1cxmSNMxv3vQZRueZLAa/j
0h36OGLf62kO4ISqknfpKIyBK7TaZIGSf2mOZuhRpZnHrczIHItntsa26ESy+L2F3El150sR7AM4
O3Qn0Avtp2Gg5VXtqupLqCneSmvIFebNkizsNAlZm6c+gIVXXlFo6hRb0w4io30rxsdh5fqxMeiT
z8ZF0gcvNa8KqwjhRdJwBee21pyM2PpH2QdI1tY4kHMxdfapsUNyXFM4bBWepcu4D9pu7ffTSNdl
h+g51hmkNtzrWHaM3JJKmyoDA2VQ12XrUEMzaBBbTp3SJh9l0HRHtsnO7nDnrvYWrOBTx5fxlW4l
RqctVWGDuSxxzgzspA2dXroqwrejYjFMuUKd6LFCNz7PQrLGD34eUn0F/6UYXIBS2XjPIs/f6YFq
dx3ZHq1AlekXvXduq4Mb0yhnj/Cb8dddA7vkjPdQZcrnkoXLQ8gUNA7ZsDX7dly9h/MzWbf3fcf9
IUWN5KaOKtUVlKHBOI4AatyILWlI7pPVoFvSaHvTJEvS/RiXpkv3ZexSnwnNxzALTFf7x0FUqIWU
bGvx3wgdy6gAak53dImlLta2m8EI8qLenkxcLayAjDA664gbt6cIFYUAFhOi15+cmCCVDUe8mRV1
Vy23EuxeFLj55JvdsoZszXkNKahMu0S7Q9008LbNYjY3GUOn9zVlFdvPrRpfxAovw2Ud+XgcNBi9
V+O6ruPD0na9RM0JJN/ksTercre4i2R8ayexvl9FT+t9sKHx+qB4AM2FXA8MtmgwqUl+lGli0T8u
CJNoB6y1uGocxPlOHdR5tc5UObC+cBNUsG6nuRY1bKEoUddYUcNtxesabe1LW6L6Cque3TpUdHns
3lzS7lmsDMud7unnKIXyHOC8toTE/Jtuynvep0PVXLOSp3EBGUwia6huTLSoI052kyl/qD6YXgDY
bwWaUbDQKyGGPEihZYf0IEofG9SsPiTWzN/E1vgho8qlIpdCxqe+Zj00+Bd/G1ninmoV8SQ3IyQB
e63YtZ3nucuixbTXQGzKfEIbXU77hpwi24lrb7aJFAtP4GTI8U3qU2+r/nOE/t0HbfrKqyySfWKK
yGDdP4EgZqPjyDbSZT61pNqrRguVq6WZ42IIXfKJSpEAWQ8mv+XY1VGQmdAN9AWbysnCCx0MN2Wz
VZDQU5vZayvr6ACaleozLD173UQWiuhko+pUMRgI5wF30ZBBei89mkptUw4pirE6ci3SW7jIDS4z
ddD4Q1ypOrpi9Ux7l49+XKclG8lq2X2vqzTKlw6GRYXQTfnYDH0yFL0l9XMZjrbJiFzYlFvVTFnn
YAeWjUmil7tAidTltRX6ZLqmba99mm7NYUp1YJ/CkG4uBx0H5T5WIgQp+VqzPed9YI61UimQHxe1
GXR+vrd07rr9GMfKFiIu6ZX2RtUHDv+aYWcWUhdNwm3OohnhlNWx+TDD3XjOJos7IFtp86nho7iu
0RGeQQv3QelBoH+TqRAnPVpodFF5yu0+RMSReWxGmbGV4pKeCVd3vqnarCZ6IfACn4+TRg6RLjTN
mKEsw28yxSjkvXf1x7WHbTDzMTv6euZAYfoENW824R5zkYK6Z+DBS3+ciGvjK+mquMxn31t3O22j
nPPEljBU6ocqSPasH9BeWqLFL3QZgphyOVHSpUPeTK3SmQ83r/c9T6bhjs2Vc/k0taw8mk1DU9jX
okqvphTxSDYM/ex+rGETiyzaGlj7zQjCl8LKhTfFMJQhyWuK2AH6656MH3glA1sMlEtXmBJGnXgh
b5+Bk/V1vkF8+gZBPXr2WSzn74vj0KcxkSR1vmispuskHcQdENlNHoIYwdWhMTZen8U4NjHWcriQ
vCuntX0Yqpl97OM+xB5ZA4MIRchgyDkkaFvUxUNTF9ZC4u3AAqgQ7JkUET3BC7IRBeOkLJ9K9D6R
u1bEW5ohHCiPbUeDECPQhtMdD5FkFNWySJH3jaAfXBp4DeytTnR3DBxcNrOuRtyai7hu2V0DhkKV
69qi72b2Vt/P4YQyaBVBxCFLNlD1jrGodHM9VJw+A5uf0xznZndIQ8rvlV/JVKikr+3TRsflCe9N
vjIuIYpoIHpQn8gGL5QMIrV8/rbNKw93cPMGTufbaVkLldY2fUFzcTIeE8y+TvMxpaL86toJzqhb
jSptVvpOPMfceAVR5yohuwCmuHW+BhPp9mUHdd3CjZNbr6Ex5cY8KrtwKBoHJbscQT+5qcvOz4h+
bdNdt9C5+gClFE4y0ztoTw795CEsmvb+iwg7TyuQTJalO9oZB/TRNlNndnbU6I7Du84C/vIqrkCO
xNW7c2wImnuc49q/Mw49RtfbWiFXDf2q25P3oN4XYwrPpkJ6uvGCTmEU5RtNhuhYLyHHeTOHFSS7
p2mdjnRLkAYuCu7HL5hzFl/DSbwdX/sOV+ghTqJt+KJDtBflLKGlf1jjaqWPbA5ctYNMkORFp0i7
T6KUfjQhne4qhru/COngYmQL7YT+B4am4qKJBrkVojPOHXvrFSt4pLrgJCqw7R4RiDKXw2izHt/z
duv7Ww21N0Rcc+cBfVTTuCd48l0nNwSYbVux5r0K49bdqA4M3o9BE0fm4xy2JLmnflr4caWcPc8s
Zj3WWdPfm3mM6+MIf5+4QFhNdT5A77/beSe6MEfzAxGvjIFbaLKabgtof6sLboI0kdNV1KPskW/N
0PTYMb3ZskHFAgzeFJS79AqrXmD8IeAT3NdEyuABvlAIB5QMsIMw2apKGrRTYZ72bCXrgtIJxM8y
mkyOoF8hGp+jqUmw6NA37s2n3ji1fBMQoZTfJi3p9l3MWLn2Rxhio5I3r8ZmRIoqeCJz14TEZWtq
PNvZ4c0irq7Fcu20HVXReNxemR5LJLdlPdVfojZJPnoYeL2h8n1JEtjFp9gBqBIt5d61uDPXggX4
U8IEQLvFX8toGcz6QOFwWa25mJme+wJnQdVhUh2HJIpC0mSKUFlkL1O1hpDlQw1S7CDza3XBar3a
HD4IIcnAxCl7nAoeKiEzku2XWaPpHCA0WhPbtEDYSCD2nqQSZOCMz80afaShYikiDUODPKqauryf
6cLKVxyzQ1csAmtpX7kh5Scezz3cFmLhR/FJVGNon1wFhOCpM2nf5DZOuhJZRulgJNwwHH4pzlG5
iyktawGC18S2W0xrUl9v8D15F3ZJrQ50ZvNwH1hGw2LGCaOujBmWdzBAhWNr37kqeuxrPSM6BVZA
Xl3MIrpLCVoLjyA1zVs+IuSe39nVkjmLt7Ztrla7yPlQWcpQ5trCH2D2LCRbTOm/EDQRvOOudGgH
CXo7QtnUsa5ojIv663RZ6teuW6XtMxtCWwwhvNFYhRQWh3q/NCRV+JQcWv+2v2t7bo7YhO5jRRrJ
MzY7fgyTjf9QJEW6mpAmjfMVxRK7Y7pOm9sJs9KrTA8OKHW2Tq1psk0tDDPhtvgB7tdoelu3yGcE
01ssdormIoyH8CERU9hdM5TrGGIfXG9Z2XTxCAJn40JID1tcenC+FGwfDtBU3Yk+ZPqbp2XndtAV
tRHsDSsqsLcQYOd9P6KuMgUEzSU+buL7UMDe7iGGY5bJGWDoLt+QJDdFvU22ut58HVucb03FMpCl
0SReI/+cTgwC9Lerc6XK4Cq18BsbrSNyqMCw2mZwlU0+xI3l35kPyPSJUGv9fZWiE28PUBeisqGJ
JT6C72I4gYGdVuUJjOgf8Yghvpl5wCecQ5Q6DDlU5KAn3A5KH0mytDBMd9wkLId2BX2hBMhT5iE1
8U7TFKgMLF0kMk2fGH7CfYN2wghkqROQdZPA2EwzATwHEgw5CYaxBlUAxxyEXmaPNCDpSVQM0oDH
5tpykNcj7TY4kdNUhjlSPP60VINIMyIW3uU9t/XHBKJop8nIMczLsOXvpeNgSw+9qJ6Hckg+aJfq
OKdE11/Q/rW947CJwEsuuNCR+UQimysmHpJZ1p9T4hpaBIvuTvgl6wNbWbDDwaofdammEMGSX9rc
SW4PcekncmrVCgZ1xLE08l7HMCxRM4yQ9hvCgHIPMe2+xD3n4D61SByZV8G4mOpd+Ub8/dzrHmFO
iEpM9ANtuWX1rgW9HiUailsKeA1H6lBLAG13WkzNjV1jslMugIxPjeEYduOoNH+CKC5Z8jQIcepK
3FqdK1A+j2UxOgT3AxZYQAGlBc2YxR4oUr75qoXoNNCRLK79TgtzF8bp+n4JtTuWDSfr9VSabvxm
PZG4LNppKq+C1bbogiS8ZmLOFFpqHjxhrMmFHtohi1IWBA9sWKvbiVWc5OXUp6eN+0CebOeh/220
LOv3bQn3vAfJ6yhEjEpnn7u6LB9JGsKBSVjX3sV2ZjAgaaRZbz2S6hMbluF6lWHkcuROUBmKJS7S
CSmZfuiiiH+lbdPUhU4RmWQmrsU7BnfRK5TCe8hYuXlElDnX/gUYTYcIOkCjK1IbZabrYEwTFGbH
Zf1AzLKcZDBuLGuEVHf9bNofDU3ToQMOQXFayLXZ2ut2RsJ3PY9cqMxt1Pl81R55ftw1AcShYszZ
gatmtlUGGZ1avkvjsufXgQrqq6bXzZKPkfbBVSid6zGa6fQKE0FdZrGbqjSjW7QOhwgiU58c937O
EcfJ+zpcwptIikfnKpBHIXjHfYFjc7u1rO7DmwZF7lc00qePHAIEn1aO5OKqq2gjjyNtSHwgUbK6
A2xeximbhqV+itGe+BhNshqyUabrJ7Qtph/Dbumu9MS6Henm/VoBa4m7bwvDlsgia5ePqB9EGdgx
iNZQrcfJachdifzyngH/hneWBUVgNyN8eqno5k8D7s5H9NDY4NQmHhBpk8jlMRLhdjXbNK6zVYrm
quwP3/ptyaYVTmc+IkuRHiYBaYk8eUOCK6rKd2FTVh8px+Kqed2BuxTF7gDvSLTljaAv9vnUakyF
gg3R3Vo24V1SbusXCZDvfRtLe7/2YqJH0dEXQdZsXcYfcTk/b01DASxPZXml4k33gPzi6joequqE
iQmy3sJkBTyapV2LyY5Lm2H44/cy2PxcJAiex9wFTQ2uEDC2H2yDwBx2AwMGDSdH8SSQNN/XwvH7
gKnW4tZZS5tRLFvsU7s2j4osft5vPYv0rqpX4K4ziYZPcHEhIW5uxoDOt8EjFcF0ooxMsHaRS/ct
irf1la9zTwBArvGAK6HlPzoooX2P4lnhR5Nh1rnEuSuBewCaBxJZhe/CEgA1WuwW92kIuzbMlo5B
zKAZx0kWRqRqzMIylh7B4epvnPe1ymPg889gwTAPJZ6gK5GU2uUzIMK+28/JwF+xscJjkmx3XcDa
O6GovmXbOOss6Zm7HxJR3uK4Tr/qFmbkP2Fd/HWxKT6XBoCu82T7uAYtPp3DE3pX15wxcZkOTnwu
DtAQQBuh7sAYwRIPZoRbTRh8uqxcy/5YyCrrvh5m9VY8pOqoZhxHNFwus7qJxBm7aJij2liYBu+8
f1s/PZzD680FF1Hjo/O+b8rMWklcoztobVJ+rBOyXYUWldD9JUMTibfJ/h3BCGx1BcAblMplSZ6I
vAmF+njZk88GfV0VoJZqA+sqstlWJg9BEl60EnFy/fGlUVxCw0eHtVKW8mu/tJ/oyH9G7PvrVR6d
t3y7Lm0kq/DsuJQfLN9ylV5mwReJM8p9besmVh7V2iroPsct6ljl/PmiwT5v+GY4XxmUASBo1sHJ
IV4ShiLo62XPfmNh/W6JsGmoBLJCNGW34euGAosYqL+sgH3e8I3SERpihrf2zDT4CpO4qaBlE11E
QgPg+8cXR2bjWxajQRPqN6pQSKBfUEIbLmIkROdGESxaASDat0XoqLyhgCp6tl368LNtWeEUX1pt
QMZ09i5ZVR729iL5GETIZ6PiNwDvCZqnosm/AFqEg3r14bKVcrYv+YRaWYBunp0cV/ZQ6yrKlq10
lx0o523fKIsmYqsqdNkHKOUsQ3BKVXWZAhMKDn8clXghRCSkh3AXAzaL2gWoC8irLxqX877vufQy
3SDfBeqdeJkH1KQA0F347LPd2Xoo8wPpBr1kDI9N6nZNRy+7e877vudkG2TK8drAcvdLpz4Lbb5c
NiJnW3OEfCaEsDGXKXNbvjC9Hmtrt+Kyp7/xzn53YvEVxIJSQt5ROWFhGD4WFKYUP7kx39gvf+ad
ROdt3zFwHEj2ohemWRxix5JJGKmOxIN2wXrUhQFrKd0f24T6f1to/cc3/3/KV/PwX0+3//pP/P2b
6YEZwJvp7K//ejYt/v3Pt5/5f9/zx5/41+HV3H1pX+35N/3hZ/Dcf//e4sv05Q9/geUuWLKPKAav
T68WLoi/PR9v+Pad/79f/Mfrb095XvvXX3/5Zlw3vT2trE33y7+/dPr+6y/0rQPyP37//H9/8e0D
/PrL7Zem/tO3v36x06+/RP8M4ZFABCcRkC+BGf3lH8vr21cCGv4zjEjICaodLEnpm0JJB1539esv
YfxPkF1IwiGYEcckfTtErEGOh1ch/6RRyokQPAzxH8S3//1ef5iZ/5mpf3SufTBIfOyvv/Df+sX/
Z31wAs5FBGUkkjD8CRWNsyUOB4AJ3CO7j5DOx0cDow7AbZ7U00eYJZB0BA6HqGVXQ5CA57XwdCkC
jfazawHhegGAHPUe1KD6ML1t1ZSqEynlNP+ohtBYIHYSJIk27d3JNqG2p1ABztsDdWn8KeJlXyGn
JZXc97DmdS9vlboh92xb6HHYRkML6pFUfRzS2qCILEF3Wt7xARSb73zxgFIz5lGaKEjXtvY7iEf1
fcvs2BeVgTLrd2/DSeUj7CPFSa3REt1X9ViD4qpplzuiUKqtgTfD1AwQErgCcUXlM0kXMR4cCgtF
vQbPkOv9ZsRyO6eAgxiAHhkFNyOrmczZm+BuxuNo4kCtJhqCqDJNvb3lRvAXQsbPDuXt8gSfJkby
MNEVfMLS91FdfYiGSVxtg7Ddro/9hiFVG28PIDfwNUfKN9NdV6Y2C6qE8ZcIYPSYSRSmon0D87vy
GkL8w1XK68q+RAAPtkNiK0CANVpfXzY9bmhPxScYuxMql+zeBKm8cTxN7R78O39qTACUvAOZ42RR
2bA5dKXps7WR8HlVzZ3OOSAsedpMINBEMUT0ibWRETms5gxXOTWV/6q4r/3eSOnJAb4xrHzYgkGy
vCmF/RpaKu+YVFv6OC5bVbZ5OQL4a/UafgoHt37Rlo+PSw1ZW9VUt4uMkwK+UAEaMPmQPIlgfr91
U3haa8oAXcCR96CqbbEqg15dVe07H7LoW+QdKppRZbU6xBFcVG575VWboftn/ljDR6zPUFFuD7pq
xuazgk/eepADlSidTaD57FBzhptj1Sp+79+YA6ygc6nT19rFDX3VcDfy7/QKROS0Qod3vGt8S7ow
m2EZGgLronpqpwPbUjawzFi6aXa0qVH9lqWh0uTUE1+H3wDmpwPIBStZFAy1prb6AJ7Dln4CI4TU
D+hgke61DgI1JRln1biBxDObbj5YLiRyHkAyPEJ1oWHlrdtCmaISNGJT7tYOWRC4Itaar3A4gFVX
PAMSe9f7aazfs9JasmS1qpuhQlnbWIAo4TDZB0tE3dxNvEmboagIaehRIjMBag9NagbQz1Ex05yl
quRBDvCzTcNTYhZzjY5wftDxPB7gJ9vd8UG0+WDZbRXPgKphWLe+m7YyBXI5wFdA0XAPG6T5M+y+
bC5Eqr+2ywoAYdC8zFCU7nO6bUuONxP7TVeok0I/7KAEJP5zQkD+yFbtTJeroA9zCQ3U63Dm8EBJ
104/8zQ00LlbHZavdu4FQPd4jTNOHZNpS646ZXQhxfID+XR553v5DGYuf0K5oLwC8I9xN+UA1MWJ
BDO6YD+MCaAq6CGyZxAKU5TguzE6EJyEVwt/4/Q5qZY9hOpWGN745D2Jx+1R9Ku9aoJpuhnXcUYx
YUwKMD6Dw9SwyudcsPlD1EY9ZIWG/8vdty1Frivb/sr8Ac+wZFuSH498qTtVRQEFvDiAbny/3/31
exhYa9HVc0H0eTr7xIyYdDdVtiynUqnMMUbOidHQhDN1+6lSFyXtkTKvNbFRBRJ3sivHbIGEbbec
ijF/oDN4E43WgZnt9AJixELvpB4CNVpoqDmSBuncplBTqVIk0GgSKru2qw+kCTBfba2iQtvn1lRO
hgVgJ2NyqJiwUD8bbrhRtLYZNe1mqAYT8UHcy4mkKtL7424clAEIUKVfokNWdY22vuFSUVH803Wi
WkpHB5fqsWcpukI2eiia9Rj0wT3QkdxS8p7bnsoqlw+ttwrT8hTzynMZpOYlUCv+YjKGCqWRNroK
UyPfRtAVvEadJ1x1IRsf0kr1GsmQKr4pg+KZQqLFDSGcdA8oTnssm2qAekKuSVKOCWakX9BYDzZq
FlFHpCoQNkrarViUPPnI6OaAPOKtwuTJzkeNHjJ9dJIGq0N7GFrqpkU9WnqVo+efqZnLgLJ+1Q6c
7gYAh+9pRNlGF12xQoK4WDdesumAPbEn1gCgP8sJ58jaL5HIA3bB6Ppdy3xtPXTgBvs5esBrikGX
Q5FXT6PXVQ6ptXLFisizUbdql+bUPHO8QnAWKb0u+85FWSzYooaQLQkbtY0+eeIhUVkBOFxqclcH
ZyVFy9wGp1piqqi7JdFNz6j+QMNwSCTYPv4C8kTZKueNdiDBmFuK7wl1JXwNqNXR77M7PTGOuQIm
TQUA47WCI5et1EHp4jwx2gpNk2PH1ROqxHyppRF7rFSCtgBhr7mhWgNJHGti3euZdjZHIKMiClSY
bwwvKHHBtYTo54frNV7kWcxUNCZRu+yswou0kwrlMUnFMFb4P1BPDVauE/RVJeG6hFVlpHVKzweG
Ki+UXeOLVpaVily7X+Wop5N5FwcYFJlKJfKSys0mjR+hR11uKbLrrzi7afW2VYEoMpDYVLQ2JHNz
tDbEenTHviBB0y76IEo0ILSYwLbj37fCr4h/CNFLGbW2sq49pjiBr0SoZ6OtbBhXfWRBQc5LAKgU
Aedei7qAiAJNnV94FagnlUKdQB1Wfcs8FB9iNWivBFPq9KdOUDV/oqwdYxVgUKN5bGqSr8CAVWG8
mekOSd5YaL/wmJSQqOFmj3xfbYQHUSuosrEguQGgKBELJZw01VW5xmLH7CrfzbIeLRNbkebXjYK3
kKE6vouA4UK1xyiYLNJhdI2mnpbx1CZ2r3W+BX79aI08Rpq+Q6cNq4Gk0oqEbbdSlDHcToGR3mXt
kMYyKXj+0lMPgZWRB4E1hHluexkAiFqZ3GYGM6FCr3DAtsDprIw42incj56KMtVulbboFadpjNat
4r5ZJ/0UAwtTTAJL3xzPdW3myxSFVXfoJ+NnBEUqi9FQWfgTf+qBWrNVn5Mjat7mWqSsueZtDreB
C8JsAKBrV2YUBsAtojyH8IwCaxezUwGctG1EUWdKY1TECx1Q2jSbnt+WRnrvoaZ9yhDX+DIMIn6s
aae55ey0VIWWvSxaL3GTpjeaTZHXlWlDcH/uGemlJTadJItQFMm0HajLweMwmCeSBuIARDzWTNAC
mzEG0aGMlB445a72Cjv1CvBctayNbFax9HHo9HQXRowup9wodtrotxY3ynCRBDwBPq6jFG11RXsj
QjYAMMMbK1AmakiiGN1KRG1up0bJsGFMzyA0GLLpCEXlSM/uGz6GqAIAxAnZunww5ETzoQfGiBjj
sgFaI5BlYmpH1LvVeyBmwCSoAbXr4EE7du5Fqb8AcF/fYmcEig3wvwQT2MZXQRbAhw8aWUUsIjfo
3UF3htL7d2nuRc9xNfpzbSkfgLVXyyUf0nkrT/vAyUaF7lBdqXcBG9RdSlJvHeMSpgWBV3U7pRO7
yUhTbvRRC8E8rmNdt8mEOKYwxuCWm8QHJjIcJnfSlOYEjANdNEYFYH48DYOwEGt49aPPurC0Y5rr
/c8hzcQ1RnquFICwo9zrY82qipDQZ1GCl7uryroa96OnDv65jHEe20ct6YRAfxYxzYAFrW9vSJqH
xU5Rco9KHfpxtQ3IQY3ce4gTDIq/SR5H3dpMS+znbTUoxo50QFc5fqqp4FShaSJZ637PM5d3AOhK
cBBifwkoRuIwD3qwCkr61lCHc7EtXQmtxIaMc4EFfPAZz1U4ft/VGDZWVKBgA5SI14pVqvXlVumV
cdO3xnPsxcNunAzzWJc6AK4x6ocpqAay6XvA8VuDy5Trg5WQBDEFUXzbKKJNYIy95EFSLJsgTFfQ
w2Erw0gfujg5trQDWEvHps/H7sGjiNALrGp7iBNlgXI9W0KFN3rFAtVOPly3pTc9fWj6IbglpRmv
zZ54i5CXbAdnyhByGwTiupoaPtWsTDbofKk9QfmIN1e9mg8vA6qP01JHY3CgodqhJ6tuxHHQJgmr
oitE8ewRKBTUDECbSAFzAbSz3JOmjZJzGo7DT5/o2PrCQRXJMiWsK1cB0t8nPys4XZbAcT+2oHVk
DkR5Tc/V07BVV6qWDIE9AqK/6gsf86GEOY6wIBcUlaOCwhKB5REpKgI7lpdLFbV4DUi3PGxx9gpg
wjxFZLZqI0QZazoYPQqFYiyHJ93XPeoAA+m9hKzSGjmUOTBZtYatByBwtLPdttnIgycObLUCRLXg
6VHhHaZO+H6DImCrwZ0jrzSsJ9PMFcmIOgQWAI8et/Wh0EogrEENOiaeRxLAdevCPxIDmMGd3lWF
YdedF0wWQHWQ7lbwUD87ZmT5FbCrFbNErEyGC+pQ7S3jKEFHsklR8LYVHujbIMf0oazEOPaBqUzy
5YTaWCzTdmyXStTeGWGdrD1dNx1tbD03BPoa2sN56JaTpy+pF1Uv6tQEj20HuQDAa9lZaaLJKSaS
LTzFA4w7y7BhcirAraLczGSQDsnz2HmAoWRABCx1NaEbgfqoU6rsHr2HOli+ytN1UNXK2u/p4Bhx
CtCWEgP2lOFrflbmz4C2AUiQICx4SUMUFyWliemkY5rkMs6TaqkYVfMDVfh8rQID/1wggwIfaBSa
acfQPHZHUmTAXgu1HK2sAbLUgXYGMvqqViwAtRldhjyIIlU/B8/Kp80x9Yi3GYnfLcCwoYdRBS8J
muPE5X5zx9HDz+UJI47qxdWmy2usvCmjWzHGdOfHEQcdpajEvRmmNTA+avOs5Uq7SdAyyh0oh+uI
Bf0ByHu1CZCjufZHSoDEL0XveiNag0mC3QaQgTaJrCHIBovqGs7vWPCukTJMyqRCJI56R22scLIe
NG+DZse6jeN1vOKBVjeOF+vmFiDHyEbuzzjlox/fopwdr0AFn3QbNdd2ZXgluHEtJatxLIGXawdv
E/R5bwMwHS8bEgGpALCGU3Rhs1MTIbwlmDXFQxQ2cRzhQJC1kNgCxrNZNwp67CCQBPJlrRhawfeA
FpvGIiaVbuJMnORm814c+KNM4y58qfI6f20u84i/pB73xc/s1FQ/fza7p+Lyk/8PZhyNWdrlv2cc
wQr86+apD5PPace377ynHTX9b5UD/ogUIqeGIWbtufe0o6b9DRle5CRNTVANeElUP/6VdaRvWUcc
IJAHFEybtTU+so6U/I3rICWpCaIzk0P54g+yjm/M6f8kHTnVDG5QpBuxxUJ5BziZXzPfqFLFVEzj
jKbpavLs4TM9qq+xWb0CQgd2EkChZgUBNxKBeVFYhg8ld19OXYQ2uhZIPbHvRsicGNdvk/hH9vS/
zVIYSO+mEKCvmkQXQjPm6uR/t5yrvHrNk/gvJFyfsh+fzecfL/RuToTxv02T6dTUdU2DMjos492c
3n6DRmtQ6YaahUCE9G9zUqjAl3RqCCFURgyk5P5tTwo1/0bS29CFaULdnkBm9A/sac5R/8ecBJLX
b1cC9deYaYGXqsIJ+HY69MSCc7vGYSGR9f30TfX0jYb/1S2wnj7XahqigaM24Ra2uPWfuvtk33Hc
qbez7yT/f1Ub+O1hLkt8Ced5bIJre86danlIrE8v+6MA8Dnh/88PYlITr1E158rDrw8CxGmGrEkf
nIE1gxrl1XT2XPWmuAq/qTu9qfz8NmOfbnRRG9bJAJYQGlKdM93SAgc7OncrIs3nwF11Ulsb62Zd
bLxDawMrtxrt6kpzgOxjtnDjFbNzNzVd8l0H8jeVjK9GdVFzS9BAjU3JGJwrsQQ7KV66+U/Tad3G
6e3qabjrHgfkCMh3s45V8LuFfpqMiypLUAGgWHLcVl0Tu7oZVtM2iqRyrm/RH23tSWRlAQ01ZLZe
85tv3vg/GRQHCgvFJwFd3Es5MgV0WKZHTXAmLyApCTSoeQS59wEnRP2mAkNpH7shRcdtGT9/fedf
S4/vlvz5xvOkfKpvmrSiyCHNpjZCTVCSSk53L/ny65u8KXxcvtHPd7lYmTXoSFzH/84ACPJQFg8q
MJCpjAELryRowsithkhja98Ust+6Bv5+X6FTbIxIEl8qjyDDGImMmCjmpE6V1Y3r+2ieiVxHIQuD
gvwEaCSS6OyYGqAjj8NKU7taphVrNpwo6IaJ45P0O1Bn1GDIdwnRr0zEVHY88BMSo49KBiJ2KiIn
9VKcCsmwyKjymuNgseQ5WP+kQ4e3AdTpOKvP04gjKZmKj1LuL5XcX9zFvEq/esoLd5GRgI8AjIEA
uFD2zcHfDdehRa582d2Nz+QBhY9vqvhvDuirO174jSzyx66joBxqJ12g1iSR83FSB4eKPZJj4l7Q
797kd8944RMA3a26qiTBuXTSp3LpOaOwWmdwky2Ox7Wlmk53QK8EO3XQtA9owsSuAeEXSPktwwAy
yrJfBotkVS+TBf4e7xWbbjznazP/JweCHMgclcFz4yjw61qaRAe+SYMxVttpY15BsOEbSNabQPbl
vAuC5iGATAJDeilCOQIVo+lVGJ5BfbDYArTKXXydX1c/gCwF38dSnJc+kuWteJg2OFfvmzPxpeKE
j81mBKNQuGw1HuhJhTsvrPEM9pUDPqrnS75SXHIaDjhjQ3jiJ3QFH3pp/Kh0OybOEenUQ/sjPqBv
iYQwhIQSAXiIhyewh75xwm8Khl894YUtJwFk2ZtACc6GbJ1g1dlQT5CTW1ozz8NWnf4aAOZ4HZzE
Spfl6E6WJ6mduvozk5UVPKrSw8/yBOKXNO32m+FdKIS8u8vPL+DiFYMuPYGW5QXncRFtx7UKfaq7
eNkuwAHNbYiGiWYxrMla3QZr7WBuC+ObAbx1Qv9qfi7WQdYVvQqWQ3iOZbHV18FDYk9LEO03/SG2
bvgysoeNsGPrXK1BjLVmoyjXpdWskfNzq81wzJ4PTy/DMXFCF2kL6x5ZcVt7EClmC/0uo11+ptf1
BlyfYgeC1jfLeD64/OaqBDUZ4lDImmmXGNGAxiHoZkF4buzGzlYVtdkC7HqX2JkbudyBTy4cdgKB
cB/+aKzm1rdfv16k/+i7BMJaTcUYgLG9mEGKAsIooFd+Du/oHf2pXOs/WCCbdZY68WSDXoz6KoDi
39x11qH67b19uutFcDHVfmxoWRqeI7fYG0tFHuptswjW/ea7JXRxcPuw0U+3uji4VQUvQJvFreKr
DPSfHTwCkkSrzPGu4Djzb5zem27gV092EUGgZprHHHoHZ33hrQcbFd0rz2rsYTvYcEhXw7PigJ2w
qm2Ej7Jf1afY5nZ4/mZ+5wjiq1FcRBgcOaaJp3hoLMpFvyiWYBk/B/vg2bzy10DLOcWui2De3hXq
sePi67u/yRv+dnf0p9AZOgoJ81L+MEtAj009zAGoYnZiR3vwvjaJHdiKFVrFa/9Q2q3tyWJNN75d
NfYOIvnftfJE27J/mgP02RMUYCbGjQvg4diafpEjsXq+Xz2jNi7vT7vnOze8KmVmw+Jqq9vk8nm1
e+ZygwqMJHZqOVQ66wVYzfKw0q3U2lNLtdJ1Ku/Z4hFHfDdd3MCHBO61E1vLbWC7SETiequDo+P5
Ovl857unVO5BEsI33Y0Fto1dS03ufNyilo/HHXc3+eLxGMv9hO8a0uXSsFG3l8fBTraDu9t3du/U
lmdbibQWo3346R4erl+ccS/Ai3MmN5S7vWqhp62Vyw2YG+v9TncebwJLk68gb8jd3aNdypu7En9+
qezR2u8mqa9SuczlTSJxfwm6uLx3vZXipG8TQFxmBTauChId3OTP/SMS9PKIao48XY3yx+5xwiPY
G8V2rveyktvEwrBXtntc3+Wylzs8zw8gr9zb5Q+o7mBwiVXI5W1redaPe8+5e0R1XebWAWUfeNpT
jD/n1h5zOVvHsHnG+/BlJqFjhN8ocmXI4+5kd/Zu1cibxSAfx8Xjxvox2Br+6XHAQ6nWBK+JvdzE
yOvF/hEnNcRcpuWm1mLCE8a7Rl4zvNXxwHAVVKNtrDsX12+ko8tGxvMfXhzDcRZCWsNas6yTs75i
Ml6sDu4gH5a3GKpmLTprVctDKHXY7fZ8ddok1pU8bCeY83a5Ni3FKm1nvV0711sh16Z9X8rNspWn
ylkZzhY3sRBpScuDeb0+Cbu2EJFOmJ/Fgy51WNzBd5q1kHDvu1ZeZdJZGoglcryK1ro6Ubl0AvkD
KkyYUG39EtiL3lXW2lpS90le3Y52fOPLx8BKFwwT51zjRyHX/vzuInlnSm5nMrMC/OP2J7ecdbHw
Ns6aWPPIfuaWa6swNogr7K+2uBHGaRXWbh/azqtjrxc/50DHufqxa61165jyFg4N3NeDkzmLn0Dx
L0tn166Po7Xr7M6FSpnb2MtYLncaxk/Xd1jdI8xqt7/pbBdlXaeyb+92e0PeLzlWRGeLhbpwlujv
Je92myNGHtuIyJzCyuQoN62zv4ttmduvmjzd/4Alz8uIy9fUdpa3d5ZzWENFUV4tHjB9qXy9W973
ErMLzYCrp20lhbx68K2H0R2ctdMcR1vIyekcZZHbgYw2nsTejv8WkMCSvrvEZBdrcPttXHW+XmuZ
NlLE84BunVuMrnHWnnU63j/3cjPYNSaES6w8t5bV6uZOxRtjC4EpPHI7uVVlsiyuIDZmrb/tJjzH
fr952U/+bd5jP51VqSJYqJfwb9DZkPfK5n6yn3c1rOYObwoLdhVYO92imPrcer5ZNE66ekHaoFyd
hdzOsWvnlK5mnf7vokJTaDjiUiL4pdg/MCMEtPoKglXrbKU6fmh5C6iRoVh/itwGCah+z5bQSUDx
y8pgcF/vPuSfzvDI6/379hc7sBmYAYNk0hwT0uNjfjWsOPzgInS0K2/J9swt1vH+u/bL/3TYMVWI
FKsaRHL1y2eG7BPkTLQ+PNcA3ziB4R1MCi0VYPafMo6yRzYVueUPFf8uy/dPVmAiYQnmHqEGE3OI
+ckK0lTkPZge4bl3ppX6Kl71h/6e3uNEUuz4Qbn5YJH9Ub75/7R1UwFA/JT9Jdvq51P7V/7616l5
asK6CV/+V6Cj5xzlFxnnp7ZqPyeayfz5fyWW2d+QQUbJwSTcRLECEfO/Esv4jWpSTmaQtPZLYln9
G5ahMhMpaaFBfYXMQtwflQoFv0SngBkarQOQYoCLxv4ktzwDtD97Bpwo3gaBlI3QUfp4O7Z9sgmG
SmYQlrl34DpqqTSIOsCWnseyGpeFoEstBiavMWIIHQjfs+OflVLeoJ4IvTM+2hnogrKGoswdgRsL
wmEVovGApXqobbTdC8Aez29T+0cW9f9nRWzu/vDfjcx6yp5+PH22svnz70YGrN3fbLYTQVC7+Chs
/QuEP/fD+Kh/CZTGdFWgiIGyBf40t7H6sCqd/M04rqEigTr/4o9A9+xXkwJ6XycaJwTYfg0sDP6W
WvxkUuksw5AB/n4mDDBNHEunuoPAjko5wE1WnJW+n0mlRUnjWRmMadCtMKA4B7hxUbThHcCSfQ6C
rgGwNM66KfGyFDpo1INojl8OfTSuOqD6zUpC+8uAzopoWgE6ciw8zQcfF/iROlzojJY8kUWS9pCI
8X2eq4NM/BYSTU4U9AnG5cNHY1y+0tPAXNR+pLFcorWXR7t1OnhFnAMwQVV+1KCzJrgVj6TjP4Cp
JPktMhnz6DJFnS/IqlzFrYfA79JEjqxJ8HGAUfyGLpU69vhJ0WJe1zYvIe5GNpM2ZS1fxB46cRsu
/IdRpDvAPaLiR6VqpO3dCf2/BwAE9Nbj3Co90eH6ZRkqXbdFZ+MMkxCD4oy/6REytfiIMe9ji7Ig
KoZQleWgK4tkCAmEUFirzuMP2zbEYwcQ1inf1+V/TaT+eoacXzmKXBTSt8DJQqqRX+wsVdwYLIn6
6m7S0KqOr1DHgpLPWo16YDfsEj3xmsCh/gTJulXe5lMxnZQGOLpoicOfweLlp8VxeA9sPud1f91h
dYGSIcrCc3lYx/6qqhe5prikEMIpywIAul4rAbWt8zheQgmDlogqgJhSUqdPKDqBbjVoivQBdG3S
+Q3+0TC4QB2YCFQGUaGe8zYXsxIaQUPNYfBugUlnsNAhUn2AdgjrRwygAIseb6zrg7QIjgpNCtZt
h7DNEAR9PY6LMAevBy1UBcMZW2dg6YjLrhITQKER2nfzWxTfciO96qo666JFVcXgKBxN2IXHpN9i
WUBOiMZTmVdSKTsCCw9HFB9H15va+UfXjyZmK20LoyF7HnVQCNkDAdOJ51yD3m+8G3JPi3cijQk7
fv0Uc57nPzEsHoLNuyhoPBrA8YjYLs7oBjHBK4FKzO2Atwi0IOsApUvRHq7PzXEBSEipAcmGbtH5
kMuvb03UX0Mn3BwCYUh9zbskoSqABRehU0X0Fmpt/i1LgXv1btoujXnpNsCD4R16WjLfHFpe81LU
8yqFEoGq1J1Z7tDmvM60qwISc1iYQQhyke90HUgfvWzrnMx2gV5oSG1AI4dH5j5vU0qNBWuz2av1
XZDjmqwqR04lJeBjBDLvpg7isGkcDcU16G4AkC70oEoy5CKNVtFNV0uwvJBEQIDNSnekuTH7j7qG
7u96HEaOK5satMogCdtVLUaUokkdvqCE4ewaoWzF8PLRqVnHJ6FNEze1FXIRVNwqynZ2MRrlI34n
3q/SgfOES6vQqsZzDdBzxJCGIkjxjwKYqfnxhmx+5ig04X6GvC5xcz0naHr+4oVJ24+bWhs8IP5y
lqnlM3w5BPrcrJ6wYTgTRMJoYXsJZaBNFSE6PmayMtMI3WoaHCwAsgcKHOX8YwS9JrwSYOf8zjsW
cYvGP0/5u59OuF/i5Q1lkwzFQ0eaBJfWwDShxhmtF5uIbJOIzr4i8mgeAc0/KVgN8PNT1+CjPQCw
GLWADCWey4ygZHPSO0C6OZQS38ZZKmGvnLKihq3aucH9AKxhSGalxB2TXq0J9DLYLB4I2W7wGJx3
B8WiRsFr+riUPxMD2R4qnrM1DZCjGa5ToFl7p/TjuvMXRpgMDb1p83J+uaHBCJCETdcLQN1i3pMI
2NQgm+2sb8AAaTcURCH4mAxISEzp12vjrc/jL+sS6TSsPeyE2PGxOC6WRsA8tZ4m0dxBxSqcAFFH
o0YIx3z4PGgcDZgy1sWQdILqRgTBGplnkLWBNNC7W9TQALMsbS1KG+VoUjHHDFoOPkK4ANS56gHa
91T03wKFFC58YQZ0npeiYoQtjDTya8j8xHDj+ikiA4SHQsgj1UVunJrcoM10rQ5R7V/36HA0sG3J
p1EloErQouTtLGo17+NUq414l6vcxw3e/wLRkdm+83drJ91IKgLx6Wj22YbeKUCfGmEK+TBIwRpl
rRwKkicqQOpZDZ1y1GvfN10yUCRYpQKIZmtapWKqPXK7s3p5cMQuHeFZKx6CVGj5euSrqptFQYu2
RX4rqvpFncHJdEkag857FUQ+C8VWAB+t2dqIdejPOBCpQqu/BaSoMo25MfHmRW0UiL2jb7zgr4fl
eVfFiQPwE0AmTXQlv3zRwIgCBU9LeiJjVfrIz3bD5IdQFEMUiH0VqtdGqa2o0qOX7KIaVaCzbr62
td/3dZga4DiYe3W2t/n3nyLLqaqI0U/QZ4NCU8yNc69CD3F0FZOkeCsx12J0yQhY1dTUIgLaUJHk
PNXG4ZvM/QXMBMR0Bq1ErmIn0DTwX/ULmy9SXYN3NuITZ5Oeqy56Qo0x1KwyLFMI5iHfDWMBzjSN
QqDPzXkgAmBDYmygqdVjf5ryEh2R/nCfn2mz2N5xclQRAP0eeUPZkhrhCI1Fo6E9zACqPPMPyFJ7
tblris4orrENiRw7V6PWA1QIExP8icVARR8oL9DdVKN0Z4KXqjGw4PKuFFbmJR322XTImmgAdcUD
s3SnCKAuVpUfARn6TYn8Yp/HKUYFPo/qDBkSQ4d45a8vOYrbpgqYVsPMaiVPAeiACJDWygH0Zipe
WQM9oXgT6QPn/jdtVn6zL9wYIQbXVRg4YseLgG0a8wri1FNxguAmK7IDVimHd+g8U8GPj1UPAkQ1
5iv06uvGO0CYDcCMvzZzhM6/xjofdVIKJCIWHSz1Yg76ROQ1ZOiLUx60A0xJe3+fENXGolgmTQM/
uhBxXuHtfkQPaTpmfQcINIh8kDvPDCheuSQOZl8ZKyqCsrANEQwHYGfCIemF8fZM7xfWEMEF9apP
oD4ISk0wGJWQAXQkmuEG5E0IVu7RDb7J0b6Rx8ykK6EHaCW8oVk37/C9p7Py2VDEvGNXfMyVyk6o
7ofVNfiC89osoLwZjWuckBJo6UE2HdGeGwUqeFkgr7wdxxqzSucIhPX9vEW8+92oQ8z+XIPzi9vU
Zl9G9bYzBi30ALxVZ29NaOiDjwUqOWB8Lu3qKb/NhqmCc4d2nl4+f2w9uQoVZl5Io4wb/C6GhjIG
q+cGjlqbaZqPia5KAPImZwB9E1QAvbwhw85LkDupLMjU4xnR3KDBmWZbFelUARI9etCYdMEmBlVF
9npcAImuC3ReBRIpaRkaAKMJhVLcYl5ybHFTOL9sF+fJGEOYDCPAEPL3YKGvUmooEqKHHDqc8C8A
0LgTbbDAFn2uzxtF0U0qhhK2E+Bnu0QYE46BTFQBLmYMYCqakr4fVRWsLnzy4wsEhyEYSobNDodJ
BEvzBHvg6+DSCLtDBGdpAMDNqWv0CvgPNer0IV1ih51Dr6zHPo0gsBhM/KDvFlVnbI5wmoEl2MiS
Alur6hAoKuIL2InnTZIMioLb6UNAqwqqu5gr6KNCvtyHDH6W6nHS3Q+cxqO/ads8bFqLJhH3Sids
cwQCagMt4titu6zpXyGB8RY2g1WIOVLQXiNCh5go9lTN8rOuwSlGgaZ+vGNaGEG8mr8vjalhE7bP
BtzlogG+IUgh7LhNJ7+CcLH067FUOztUIhG8pgjEaSdRgNfM+qgnzTTwdWWac8AUZfrEoYiMJql5
3UizC+E77hQdabByrUTwgpBCztQI0W011JCMc70aWn8blvtxCKlObxzM8YQVM+VTCRoVaBzBQkUr
jjluBHJuCm3FwxkyXZH39aTypsF8pj4UJjs76rQcz4n4SKPMhq53jBtxv5oj9I9jxcf7JpA7RlyS
vccxQCjPV/nYBJRWmc+70HVUMCXvsevXbus37ykodkRAE1TsjJAhvnBaZVISECjz4Po9qEXGADGV
hicajgbE3rAx6gxaVL3UlRgKMjKHgtl3iYjfNg/kWLFtIHcK7C3UAy4ihDIEQ72rlO6o0jYZjgF6
tsS7MUMUf6dkGg4ZbmYGCQL8rx9dnw+fn4Jg9LYDflgAQW4KbqIF9cWzi2JSlRyCNSeumdM0PtcB
qGa63eGcXTa3qTBaBqgQslfgYEDuFWSNQ+RDz7Cxk8jHfLmdahg40jQUEmk1yC9p3esr3Vd8ri5g
xVr0hBPd7AtAi2mKfG92eoX3qKkFMeG4q9DAxq1BCBi6oGLiSkKPjE4iPKkjmVeqESsjsi5e1uq1
ixYmdI5me5x5Udh6D1f8LhgQw3wMqx5rE0GdHpHZIySKYlbVCQ3aKI2toWzLPLHRcy9SR1llZq2T
TIJPIiLuQOoBEp44SGZq9V33pjcc2OdpBi1DRU4OKXEGrD6s7dfYwIQmYBvqWnAcPNEithJxYMyj
rFgtHuHKIt+EUHHqVbdRV+PMB3X0cYheEDW12LI/4kSv6NG8wwrCJoF4paYVSgl0bMHn9fS1Wby9
9s/jJbBBpO8NRItIrbPL8UYs7aHJ2VTXQeiZwl+Q1AyhavA/lJ3Zkty20q2fiBGch9sae5ZaQ9vW
DUMta3MmOAPg0/8fivSJYzliO/aVoltSFQcgkbly5VoM4HTKOktfyXx8dvp8TOyjg29JJM6E6EoH
j0mFWOv6FZ+nATF22a0EgXPD+G7cXZwM3aXkbnQDj0vOV4QHYS22K14qRwby+oVxmwCXcmSsGRtm
kLzzh8q5ZHnUzZSjlN4OXD5OtM471R5Ca/a/1IQ+fY2/bQeXjRCC1xhqvBf5v+YviJFLmYX1/Clp
19AZvpfKH8g2i2GcCQNI/fOlByeWMwu6LRiWY90Jf3UGVK8HN/4yqcznd6BqBjlwGNBe3zpqYP6B
6JSMyhPm4D0eokU0GxCo3D7Yt/KyHB6m2VG+PKNGwObAz8cm7D5CPwyb4pxPGWDgfZgmDARdmmXs
edj4E5kkBb+SqvB/9ihmq+DRWQuuJOs6lUPLKIC85IPqpK7qs21Vgx8fHElyQgM8dx3VNYc+tZO5
eGXCDTz3DsQlWSz8Lxn6cw/9mMzMxzF4TCKE3ILS2rzlDoOo271PhYOoAVO1Yfs/Vm0U5HT6kIJ1
7Bgl21/R+BKJgySF4PLq+cWydL+DsFTqdcXPghBsUlkOdbo+Zhsp9BO4mv++B36NyADkNksAbMDU
jP+oGkXPEYxyPWKoZVSvb8F2BGivjlgCbl4vfCNlBEfF//y9hkmK8EYEYY5W299DRdDJsJD+6r/a
vsX3ovFu4H3pCrPNR+URBqMaNbN/xQp/gQpj13Q/EnPHDJIAu/5yBNFOa1HVXdfXxWHpc48TA+TF
ca9iOLdyVzyIJooi6F2gI13wsa+pHAv8sXKNOLFgCjYaMF5RvaMP7kh6/DuQTyzl/C917C+wPRJL
FNE0G7namE7fr/XO2Nvo3LRN8DHQWrExwyI3b0X5nuan7nY+F7JPylPgzogUX5FmyTjAK9dLgYH/
xxfmuojWMOdjVokd/dpDMNnYJGhpvLbhjIr/wZ59k8N6wRjxXYhAkkcwuVysb//9e39hplJquuiH
UXRGUcBS/Ucxn2QqA1nw2blRj9psOywGXm5b1RvPOEb+yWmx05oXZv39KhfV657aZqNnAvCUjClZ
l4y1qV8Cp1i57B1xbDAG0jPFvzJAr7swI1+8OFm+TuuJ8XJBfuYLiWPXf/77Tf3CduWmGObm4OHd
OiYt+3X5J77OVwRxl9cdcU46LAI/zE6v4/xcRGvYdXcLYO3aorIQIsJ8V7TuOHVGON6kJdkoe+5m
GlwIGoeF8rAWnLPAcZ9WJp9T6wjqjJjJ0Z5G+ioHz1eJW116puNr6xA1eVDN99Hkh5V39SeLGuPr
4jm2jQzFLSfDDMuA0BhFmc7IAGh1+4NOzfhHvuIBBPYajWWmzpG2kSS6hlbhB/qQtigCtue6yt04
eZh7bAs+r2Kq/el9fx2rXgzitjLzazDGEcNBqkTfERk3hyUbEhvLhruDIDas5h0rZ56aI+U004vD
M6uzOmL0U+0Jc309ZFgtr5TTuFdMh66KfbwtssbuhEOxgVpwfIwWp8iH/zV60471aKrBSXTdf65N
nM2y1Y+q6XVpPbNDETqipK3zNDGJW1eYZ4gtZzrdj0UV/Gsw+xXyY2ewKeAvBIY6DyTySxDFdqqk
jdG97lCt77YIyR+rOQ75/uLWSfQDJO0HlLFKXvq/3L5hOvw9kYDh4DH/ZjqMifOPvZlPflkymLZ8
zMLMFK9lTT4EBuxlczkfA5muigFonAEpgdFLN2iNu/qsEXRvekHttpfAlouOCb5BJIz8Et8206Zo
t57HXjVpBnitz+kYDHZ0mFpmVxhhQn+Wb91XVuOjkUVzNZunJsDnbWmbBZ0FBvnD0+ToCK8goACi
RoEHRps31r9EyH+E6xCEz/PApUyb3vn1KFd1WLlj180f9xBF1efzyvfE3QMV6N8rzGKm+zBsPVaL
DhmtfpXN8K911q8JHnTdmPVAS4xZd6ZsfznkUkfVQaZr9aVpJysLDsQyvkNWc02oTmLW43+PZ/9A
XFmI3E0U+KYLmID//n0lSisIM5HO2ZfcTwvPw9CA7iNiSRqQkBQMl7Llu/QjZommcUp7ev3Eulod
GY4naB3yjobUv23Of1R99AV5BCa/ovfxzyNrVPWkcfrMv2RJZiKJ9iqPPKqiR0g6uSU8kiaYeu2s
mWfSKNskHOvtnOFY86tnBOOlOXmBgniM4RoAYhj3cX63Bcom85r1LSpHt+yuxtneSCqldPmPY92Y
dvKW0PXkouzCMUSS/3Xv2xXeaJZ52DQsidqBZdYc8nHRsByakEbkoYug6jz1STvZ+phZkRFfYAyb
rY0m4Ux52c5FQ7G8yP4GJ2EYyu53/Mbh8uLZMjW92jDS//66f00a2fQ0zeE9IBsJy+lX8+V5cgo7
oQ/yeS/gmyGalovA8zO9gABopguDju39bwUbzYS/BZzAcwlzZKyODY+BsHdjiv9/LQZbiprVvriX
KchXFPuQiWt9mlrMH/b0mSZKiR5EukjC4bjKRKXZGVJOLj64W6Mn9Khd3LsiGhzr3ZkBdACwsxhw
be9b7S3ZRVBLLAibTM2Qn+husm2RJ1zF8DxkkdRQyaM890vOV9t0mltZY7p1qEHF6hdET6ecHiJF
CJ5YexupzjzTuvWXbiEQYa81uMi6mUbu+44firpre8uYz2E+ce2A3nC8ypFm6p6x3/FQp0MJYnRx
zFwxyDhjTOJFb7ikBhzGkW/hmHpOlxXk4RFlhjW3r+tMbYEGCi2uDA/NvOvqQxtUzA5ea5206bNj
TgjS7SCx5HCq0qVL9Atyg3SNSZuKlfUDarxm1Z1eYCToexujDRvitkwLq0L9D/UN+mzjiJfGb1oD
M4rj6A1QJw6ChMT64iMZbAyuRDKgmlaBk7nRtcAdl2AvdTxhXAnAq+vsXCzjaH2O5UScatDpZLOk
tpVEP4Dl8vKaYcTdw87FSdKrTkOPGAzk361TXoQgtnxJoCxMF1xLk8KeFjUa4cMJv44Mo7x0yEvv
vgHenIcvGTBX6T3YfUIR+boiO4qsj12KyB6hBc1d9X3OlbTfk54p8/u5G/AoOlYqrdGv6tzYHDl7
e326BQn0jmZeyIDxra4wp+kMzLqh2zvnAN9ZU9dYvFIiz4RUZf++rMIkQlPVGcBwmTmoRvIaGczN
AfxuWP7cOp3osrE8c3wbOURDTXdkQFpLLDTxytgq/y3dpvz6+x7jJIfI4dM8AxdhGO/Xw4Ot3Yah
0wUYOucFVlF1l2Si/ILJTUTjumnz9C4CR0NCBqysrTFcoF5GGvJO1nAVTspRRfUoJqLgqQNGfZIg
YkDms5N9qVHfQ43RbzL57EbNiHyi8sMHm2cws5ndwM+qh7hXAuGjY51Mo32aB/4uvzYuDrEfygr4
7cHqQMevMwBJgdhqsXxPx0qXFy8wbnq16wyfKJcKce5BlevjsMYkpp0IXYkKno1ZqcBfDxOt1Ehe
FZOKMrSgpko5qMq23YsVkToc7CBjvc1NDscZEbX10OYx0q55IJKHLFjGGOytjZ4oLtCSkcAQMTdb
RZ9RknWe58Ff5JEWj/sNPW7cVVQwhlALovJlaJKZQZnCeVN41hwq2LloivZvCERVL7VvYUG4Tn4x
MbyR4eq30BbIYQ489RxXbnxSgb8WybHEV2O0n8C0LNzJMu9Kd7c5aYR5zh2qr+h8jfEd94pADLZh
+PLRdvkSAmYcxsSfAfST9WlCU4cZizrSX+3aXy9T7+NZvDj1+AGZq+4jHjUDWjLZekGGNPg0xZZ3
TRNbnBEZNX3cIGgfSabaq+3nGjGtrjaQTvQMQpndobw2fbG7IPhDu3H+NYWF/KqtAQty2hT39ThM
1WHuR6x3CuEAhMn1HKqSgelkLRXqSehD4nqpPgh3dM6rHJAaLX1mEKqlY2g8cvSfXSyrzz20p4+N
b08PNDPyFxnZCMlZQ9mf62ZYH21dJ59B5+sHpK6Dj2gwajRfoVscKryEHu259L/WwTx8TWh/XeGl
MKqNMfZdMMwdp0kbNkfHaiwGTObYv/OXsP3cTbIVR+B9+kR6sb5nbiGeEmMXGTru9NmpQvcku8G7
yki4zy62pCe5LuvPakjFexYWYGI6tU5iqRAgXFPn3aHTwky1ru68ItAfVteansNs7K4OHcz7XJbT
wUtX/Vh3+LYfi0H4H6ESxeoMEanlW5z0bIEPPHadj11tHA/RJa6r9D9xpd6SUMzvDsfbtdFlcqgo
CA/jFBAPi8r+4hOAMems4g9BFiG7uBaCNsbIDWRNGHyJqTtJsSX6UCcRi/b73JQY45BBiSeWZnFE
/k2yT9z22IN3smXiynnKAHa+K4T6HnoXB+qU+vE+IJy8YonTIwiWt29gO+tBrEv5PW8xBzxKPBg/
9th3HtMuZfKnoWV0kHLBZrXBgPidgIqpl8sfDOmmPEEYOq530K7V/66taL4Ea1feV3MHt7nO1+qV
Vub0KjlsDitMp+sMHH6Ildd+DiW6agf8oZ0Ks9gCK9FsPKgOp5s6a8Y/HJzNX3LasGdLNgtKdEtk
F4esktkZeONNovR3ULP4Lafvdw/z9ccyem9h3SjIeZW6WFh5HdfE7S9VGHXWvTP1VfKUIOh3x43V
3pGuWPdCRpEnF9zTMaXue5cjOUd9F5HctCO84jhuaGSl/X2wLHWUSQCV2O+sPyzIqoz9DIXfHriq
+s9wbYO7ErnQR7Hq/lvSCOuhKqeFzeWr58z35MOMw2d3aMOgOVEB939Izo5HR2MzTDurf23S3vZP
bV5Nl1DL8M11xmY4YaA4PERTEMHqJQn8aeVNrkEi0Yo6Di4NB0YixuK5V94MOI8b3glrsag9JFGC
2NjvfiNRekX6jiYiT/gBJp57wsFqusdNePwkaPacZ7fMi8sSJAhPVVBnDm3cpNyQIJZAIflE2o61
EL2in8LDsb5KCu8JlkNZoDM42Q+Svsk59ubmC8A56odqjb+nnsi+VpmNeI+AW8zAPE/ts5OUwaVU
DrTJIh3qKy5DxTef7P8uQgzu3R+98R5dUyROBwzmZqxP64NKW/SuMY1l9DpN+ofCLdoT4DZwPdKz
OGR0xZ9xl+NNq+L4dcBFlzaSn93VqPodMdeazuCeGaajS/fYF/qFC/9RjmHzo0elDISDbqKoPGJ3
76GbGSObfayDLnmo/Cl5KSKFMnQRDGheyoyRQll0pzKwgicf7elD1NnfwOD8R1Wp6BjV3nSViZPC
X2Lvnoqhq39ffTeHnBdgoNZUU3LXIdr2JaSXQgejqooXK7MYRStH8akd1HKHWiqzJkSzq9Q6vfP5
7vIULb71KY+XhSZgm1j1RZVV0V6rLM7Lnxiugtf2RrK0Oa8F8wmnakUtLKA33hugLaxCCqcOgSWK
kQIKIFmkm2RFNn/o8woiy16Bdv1CQbzDE3stNMp26rxPczyanklFQKFttpVo8VTl1Dp540CkOE90
CXFFVXUm1+ItqlnLCGvDFeefBBuWTHJlSqXohmtjUIhk7sHuZmTAD85Eq/dNFVPW/5YGSaOWw9YU
TdaW2R/S/rgv7xMsxvwf7E2DNyoLzWrcBhvYLyc9L8v6DIk5G+5wgrc6UOGs01i6edimv+AUOy3z
IUuCqTzPNP3yszUO3nCyrNZ0OtNWxz9tqBnpA5xSp3lE1JgUz4KALC995Hftq484ePn7FGQCAQQL
2K34RNM/RRO3w6nNtR8BaFUQXsGksh4lHagnUL0kDFd9npbUioHG+gr9kYIudX5JZcnBdaBIx/5v
GRVwPjL7ptgtk7rNT7NDpnOCjcdfJ7cORL+iBJ0cKEGa6Sd07mrGni23x+DPv5o/bhdXzzIIuuxB
2yFbDPlCxhGr1Gvq4+RXa/idhCwqztipzta1x8m+/bjTZpsVfSbB68ja9W2rkJNu7ZnvT3MeY5Qv
zvifvf+JY6spF1TQGFCt6gpBb3RLjQvbMrjtTilrKsRTCaQmCrzurZudHZWkfh2G59Tj8BteyKVY
wjj+JtT0KGQaNN2b3bUpj2tsjTq70qns+M4Cu1X1aq207u7rGz2nygCZXjdsoK09w7bWPfyN8sI6
N9U8HRvwgKafa36A9Wx+R2PbUN52draQriEN5rY0XTa75uh43eqITqFj2mDJiI/fX4hiX7QgAvdU
QV0Y3SMueIMUkY1nTdLBdXmK29UgkMzLazfof6Sk48O38nxaHPOxQ8Ygd22CT6yc+zxaENq+r/0F
G3SCN49GXKm+9eB+SBcxIHnHJPZQPlIX9wsQs6RT0T2sGRz55ejaHP7NGetIfPCOG6m8hUs5wuDJ
FSr6sHCxfWUzAhqaS00B/3hTOnUsWGpQOXArhohXOXDDGz8wj0f0Mavt2ucym++xI+MxzqNvGl8h
ypsKk8tbQ35ymxxYJcOWlFgbF7ROf8KwzFCyjNIYO2JWT1iub1BrgVX6JJvy+J5iHUrCQUDpH5mC
kCsAzdVBRVvDhN2eVe+7mJOdBzxIXdpRoO28sY0HjlLumvs/ESXN/RwdSXIizC77SfNiEpndlk87
mN3Uii68vRHfdO6D7TXtPbXMlzEEhyYVK0MXS56YF5qSsNTBU1n5HYbymLeaFxp5DY+gxGKCG6Wy
MD04DIgcVV4bCdmL3AfZRwyP8BoeuBRU0GqesdPGmv8tRwsGNwMpZun1GnTiXW+dw3mNpkgccSfF
FMEAU73/lRac6ddONHPQ/ChKKodnhbK2kcFOc3NPs57MbTsl3hFAYP2yUKMoP8ltvITpv6g3Rf9g
fBfaZl7oUSQF4b8OGzNaMrpRVHAVkj4uY/ABKrIw2wudaA6BWatvJWHB/mLD9OmIzkleNpeZOZ7l
G1UbQ4uGjSSP5ZA41Sc7r2eoScobKJ7HoS/9t3zNyvqpCKG2XgbqsfB1iyVTOJi+rbidMFPWWMV3
NI1X7mLBP5wdvdjADNum65fCPPO5xyaUv6+hqLnHZinME3XriUCxN0OrCZ49We+teGeSiyXZdrgr
BhDdExA4pJCbEPAuLgK3eh7YtcE3GdFY+iFyUun3KphMoT+4sM6Dvzbtjfm3oUBjahuSCAq2ucEI
Ot+dPjVapM33DoVce0bTHL9x+6AxWeQ6tni0Q5blLThBdTKXU1ug6lfdIHyN02Lrd9SDN/wXf0W6
E9sjGqqqQ9I0SGONt0hK+ah+j4qWR+uMIuNJ+VC2iW7rrT27YZTbiV0ZITy2Ac4inPZuDK23OGJa
6vFLmdqmASnbjKC2xej9mEdVFJg1qbT3cwwQUMZfl2kE9ZpQr/P/2w2nXvyMx+rqyPBcMdbkkDuh
w14HX7ZQBoGpZE/sKCh2sLQbxw1AMW1Ua/og9WACTTON5h/OvQSwTZmq6d9ntzMbCdzLXKKjtNmp
3UIXav6QMlzB5Q8NzQ5xSBVJAPKnHVksBOENCK4K8y9E35mb3yhLEHHN8bNKynXiV+sqIe5LtGIV
IwlbIA5tS7MP1sAxDTQHMpBBH9G54eKSRJvXta2XyWc0priWhZSERI8hvfUtXDSc13tM5pkEOmYV
EowN+TzayGF0roNGE056VTLndL+EtYkEQIMm58lqm9iHs6jN3bScPgJVsloURHocyM0C3/q1f/Eb
dGp6oksChbK8yBjrGeafbpsnym2z6PeXHUKXWd+EYaKLQz9kJtyEMjXHM0KzhjsWichkeIZ4ql4Z
/LhRumgGWtBWV4i6JL8zYf95uJ1x/lohQXaXFu3oIYrEUEddPwB/xv1wdUam4tqPbRIqRWc7RLlZ
X0H5KxvyeASaszxUTb7A0lho6cNynH3osEl8qLy6CJEyUNKQU1aGarlKxKXMLme20azW0BZejgl0
W3fTj7F2kKD97A14ZRSnwF50JC+Oo02rwKaFzJPxGuiU72JJDH2cERTT8aab4/FHWJM+voa3I8eq
sTLm/L6B/BkFKBfXRKQj7+NGX9obEHQtzQNUfWsygA6jc5Kgagl4nXtXfTu8+H3oYTMEgkt2uzf3
FrG2Uc44um2L7g6Qn6bTg4BRw6Wtdcr78Sd7tYxJc1P79WmxKClPUvYNaRMTAZSmpwx/kKg67fxp
WnaGbmaoc5b7tZzitU4uy7aT92W8beg2XyYPjwmUjtb82NPlFv230VGyPwumNRZ96plI4i72TMfb
3n/RWJE3vUPEvy2vW8Mly4RgaVfJEvDEwgh73uDR9gcTdXP4xyRmKvQXtkKHopF6LbYs3O5TE5T2
B1gNpeG8BrI2JxOWQ2aHlmkO6+xQKJrowanb2AII9Zuu+YAYYfVMx3osU+qUIWe55Ddyy+wnMo1e
h6w1wQFyoDmoBo5SPrGpKVVhB7S++QzknxUfvDeGrBF+Qn7aORHU+mYTdDZTK+CRGAazLquq70fv
RZD0MUTblpb5TIQJzf/LRLOWCEGW9QxEr+Au89GLnWbQqaeGGkrct6HOBsY3JrIjujoK1wLruFZ1
aIE4t6tsmAO7pdF7k74dIKbF94vlFdGIH8zW+WJajffibPNfPUkLFyZuafB2Ii7JYg5vlJNHrmCK
IccIgP3GdNc1wzodlH7tV+7wvaoCQ9bb011AmIEXSG8rn+/FoEcW0r5mhs41jV4JN5xfTil2L/qK
qxA9hmtBP7F6znGwJR0jKzPbRqHvvb7FtW022f5codyZnZIwlsGFqHQyu9eWhJMAEf8onO2TGuBL
IyB/O9uA0g0xTQNGynPk4WEvTmXolfAn9jWzVx6Qgm8FyEi3+H4P+8XWNg82+iv8c5ur2sskDR1x
RMurLgb6H1tFmgnocpzUGCzyzLZDft/TDGxu905NXF76rTGnnYjhm8PCeNpSXYRd8Mj2gG3V0nCB
ufkC+vo+3td0Zc46mEswBn2NNi5lrD0TdfeWn6+ZNqGtuB1tW4u5nYQ5cvaQXW6xfcYfhF+WC8YY
5A5lKfhp6z8Xeep311muHsr43S37jkt/5UuszmO06TEvHCLfee6h0yDydXvQ25JLyAx5Rtuv3KUy
+U3EI+AAsBtzdv71NmfXHG7ZMJqXb/sKvOkAY5+zfh0tE029mfSeTKrlqNageLMVHvSKODwIo5eH
aKdndLaA8YGcEJja1/r2HrwpNi/dDkZOeXQQzKWjmMUJuKfc+0GeUDvxVUmlzFm8/wR8YF7RTjmg
IDQHtIMbWww1O/YzbO33TdGPaOOXl7+oeflkzv5KLWa5tkqZLCZ3BhM+BliMJmMGa+H7GIpjIvay
X/LUKSCAoRXmFMZwK1/f8hSanGFS0eQjhbqlQLChzVLfzoFwAzTAKG9Dd+vKnMVl9Hrz7G2tqt6w
lX0zgkFpZxatvZWkhvHK885cYSqxfcp0cSKDoyRY0xBy14G5cGgYwBtQjZZZmZeht8FQAYLNF+0k
wCaODMNlL3rXoDaV2c5xnefO7M+ZgQQ+05Rr5lpuOcyeLS6JhFl4MuQfgZNIKiEwHfa9Rf1FNs7g
iQn+0y1j20CbzItBMI8B6CAKrhHHDe+GYvSGDW0rubFYthRJt/69VK7pR27J7n50M8NPlukP6lYN
5UzPkYZtzNaNediDarBgwhs04t6orLQJTJK3ZVGjLwlLzZbpZ35nmHXlFimqcl46sFHSm9R6cLbp
MrcZqX/mjJFEE7w3rpwX3NCyba3vz87KPcUXb3DLvuO2XFMVtxkCvZFA98Fcb9L0IkD9TfqUpsy9
vrdVT8kfEcjM693gLrvobjDZdobu/Fu7q5aWBK8arXWEmJDjtRLN2BnIY2+rxCHrMeWMKFE95/y9
McDoKYwsnmB7ct4ad/oCP9kexAGihzkJIylNGuu4tWkU7/hc4OG6wr5IHcMJvl0sB7k2/K+M2a03
LylN8N4pEMwCmvi+lQLxFuX3Rw3d6gZhgGLx1qNwNFyaSKW5q55j4MQQB59txNxxyeWDE5id4ozz
t0oc0wPBWtwDEBRjk5ds+NdWAFkK4sAzszBOAEY8exIzqC2QNaOLSxy9rVv5+zeSs1tgqsH+sukN
2SSsk3lEo1f5Ud3S36sT3Z6hG5pyYEc095KeWszk+vtPNlxP/sn+ZqttppltSpW4LYcdwmTeWg+D
EeKFDtsMzJO/7pBLl5VT5EIJVvYlDy3zSOnC3agqt4W8kc6YL5x4eO0Wq8AryWLJEwOIfZ41jtdt
pwwqluNzQ/gWr5Ttjf5Q9zBA44OPGWb/DvnSjKJBS4/YFPvpuM2N7MTkkRlXgkHRU6Y45zAf12F5
wOCRXOUC5XlYmJyxspFFuse9SApzHqi4Made79sm7RlC/Oygtd5ytIz9Svzb8RRBUWfSymExW3Uv
lbxQmrRBbAMje7CK2tSoR+CcZYrTdsvcRBAbFnregPeIe9wwRn5ifs+L0SyTTA92ZJk3tYfK7Y3O
hBPE+aTgt6cVGNN+tSOzARSYoUIJCpkKuzY3lIUIFA9XZhRiR5/A6Az/rnYi3DIimHH8EJrin8fH
JjGL9AaOg43xqr3VcrgrNrHhussbcLhheTupdttEUQn0T1Ha+ybNGOzQJMdmDsNswaalvXOapNXx
R98TyjioR2mSZIabDA8IvHTldoN1MEthT0yWDWBft0xqJ1qTOd4+E+MZ/sO4pTVtE5mYajHaH9ER
m1AEQ1iarg1AwhqCMt1hYBWROu61pEdbmEvZ8gPnVuLPs9O42RkBXH+qPoMum8QcbpZZAjjXmlfq
aBojgKFM+ccpLA/GyaAD3ECLvLZCTKvi6cZp9KGZct9bzSx8/4aQVUyrCqyLMhPcd6bVvimirKHJ
kIDpsvt8lEd4MHBUTe43+r0pbYc21xE7s/JG8PIdgNgOgH0eKlFjNp+beBqKkb7TLRXdIWd7A49D
OJq8wnzL+mIVtTQxGCwwxUC7FqYOVaIxmIKcvcy3j0K2o17erBzaKBUlUt4OdjwO4xTkTGFTz+tz
xxSJCl6mBEvTxGClK/5e+U812ORQl6hq3fLTVMGuCa/YBy5BzOSak82MI0VQr8jdh3Wej2U46f4n
8yxiURjkgRy9UGo79Sns0ACZfxuZSPDjE3OJeQkatGJud+5SwKHrukTYohk0ynkey6jtH5ceUlR+
TbBp0R91vszefatbUb+1LKP/BBZt3bc6nJPlEpYjll6AeRpX0Qzq1IOQ/fy73fWDeIkcL22uGBOu
Mywqb9SluGLIYengPK6ufwXzy+ePamBtXRo31fa1E7bEfnMtl1MlsP47psKNyAsywi90Ez8R+jBh
EjGfbKngf3ljLh+w9gkFSA31nfPUrnjXnTrIXeFloq2HhLK74ikaF/VqD9gPJ9MEBhgzJ1lc/Fpa
zGwVOOY8W7CHa00e62psvgpagMrCA+3m9uXWdutFdGstEdI9XAepYSHF5bgwvAixDE8sUTBhUx4K
5s9CSk3iA05zbAPvhK2qHTylZPguiXZeLVHy4CCAjQ+rt+DItJ4WelbyQy3CZvgughZWS7LkgXx0
HMzpLtrXbsvEam3fFSWufKy9YfnQoXXR3fcgnv5zUo/CegzEMnc/YoJy96OzMcME47T8SX9rVvhO
FU5S+MQhKjYzgwkybMfRe1ij8mFBVPwt501k6V84dudlNIlYIqa1EXBw5xNYY7gWrOrIE9+ClfQK
EG1W5OH7sMoGHEZOlllPMGPc8CMkGZ7MYfATLTx47BXpDJRgaoZCN4F/l9F6aTWeUDYoqtjCsgWJ
ha3abQfFnihvKb57C0U4NMfLbzFIO8XBliKJLDVIGh5bIIDuNtK08TeRbwMDVsi4Vc90Akmhtg8p
t/4l0c/k5tunOM5N0YVZJtoRey+DQU8Zs8OMXZE+qdv04n7gbJDn1iJNPbe/xWYPttkRCrXZ+LMA
ysY7ryktBt7cdQ2+pgt+k5gA+2trxedqckg3iyIyJdLqwPT7OTKdhRHtdEtE/1/NZpIj5fREtzEW
QnyZujht3zFGCtM/JUpS872yF7t5nerJF//Z2pvb3eoddxqN+JK0EirgQssChDmo7cmlGTTWb0wL
VfosQBfn+MJYbqa8k5en5qCutr5XcctKMm7ShcOBeEzRPgVz2cVXrSaomantMpn7occJtdZXBHkm
pvrmgHICEV3hyJGUAjuQD6HXpuvvM4kHs4shRMrlWFUVeMHZmyqEx767tVs6iHyOdZGJ5VM08vER
eu4EsGR5zEGvwsU6cuDnAsufU1FkDLcf+27BC0w1dtCd56Ef+gOkKRd5VypO8dKpBJ9JiiAcvhYZ
xMaFgq57MMm8viaThp4EyTtKcB/N3c+VbfX2y0ij8MQklqJlVNd/VFMRvE1xV90JN55/cPhM3Sla
bX1OkwCbZ5iHfGkd5dMjICLM2AGJ858LJoPZHXWd+JSDYr400KQf4nJZzrNM2IgT+LL/Z4e8SHsa
GWAfrvlSqx+DD6UMI2V8e49ynLv3Puvc4UnDATpFgCmfhyBGKh1b8ScGVrz2sEqmlS5u0PQvYaDK
d82A+weiW81bLv38UjTYZubdYN1Fxv4y8IVe7tzakfhdUmTb35ihIqrVnZh+I5fPHkZefo0RuJi9
6JTB9bx3Qb//BINGbTfLclgfQ2K3B1oQPLyqG913WhBV8OxS5rVwmWXpHHMa2v1hGAoQcidcwmsW
kekdCtpaxh5wLRATZqOUkMHc8X1tGxhImYt7/AGHEXrxlC7yqN3CP7il3T9DsaZb3Ea4u59KCiT6
dr24j5rCO5WOJ5/KNHN+j22BQ590ih9FXs0PMB+9D1I5rLIkTC9J59rwl2pc9uRYxccJ3F4dXDsd
HhzHFX9wtnEy4GdX/WE5fnvJM/Ydpd7XuQnz31PqIeRiZPmxtZPmMrlTcg0CW108T9nf3MbN39Ii
CI9BUhUXaa0YfmOJ/Wck3ZpO7Oyqo9WG/Uvre4TUwsqXEwy7pr/ieo2DvLCcz2M85upcLfbwA+4r
mnMwGwEA/dxa0LrFtPcYpJ2jjv0gMXLRvaZTbVXdSzypYTzbs9s0pyVpPYimdoGZXBjJ72VCLXZq
sxFjeD9dIIYo/7FMA+s54Ix/XLMZ3mCug89O29eXucRcNG1Uch+0TQYncpIyvYe7OWdn4pL4HM86
exI94xrnjgzuVWaF/NPFKZ4G9BLTkffKbhxO3Ij32TPqCB9txfgSnegyto9dptJnvhbjpCzFD2GZ
mh+15engSxkvSPLwPy6x6Q/8p+DM/I6kX5ve2dYSzl8TDZkpeI6liiI8QBt7TcIvAabDTEqj77VA
or/Wfg6hF0ENGqgWctRz7s6gGCJ1vPOqgYIZ3J8a9WGtsmp6diU0/HvoOZ1zD45WOe9aT4kqMdOW
cfCWLTA65kPksNuILS6QMZkdqi7NB9t2m4qDnw1pq+ZUaStMMBHmS5ux/FBUawWTaDKNrhVPbzTd
T+wmLU9Nm87Rs7JLm060YPLuSeqM1m67oLBzdXWxfhTT/3F2Xr11JGuW/SuNes876c2g7wUmjyEP
PSmRMi8JsVqV3vv89bPiROh2kQKkngEKKEgij8mMDPN9e6/dzV6o507/QCKiXRc7IGgklCFQRJIW
ZjoN9ssVr1q9awp6RXs8EcN6wbzb6ieGQWE9ZGPhbL+1Eb/VCQOTsi3HorzgIVIB+PPOfdS67Wo4
KLkuLQOn86s6IA6scL/DBrxTJAt8le2gM8TVgqAFactbd4nZrCmq63p5WDU9WAjbi6BKFS9An8oc
LOe/wZ0P0vz9dzYhOJu3X8tE8WzyGFj4Z0zMBu8NovaymX6Nle4hqekytWEOWIYJKHGahjnZSexp
IUvYHEyMd7lDaPgpjhsjc2hvj+J/TRHV/KBqKVo6sa0fJM9hMqxV/NwZTOZEsDKdHY1BvPu4O2zX
/eqao8XfZbiLOIFBexH9oXGwUdZd25jkEa0PMzOLuR9pjfCTWOI2PoZPHUX7YPAAiepWNo7TC/Nd
ti2HKUMbiY5SszuLHB/5QTVqwXwxbzHFL0ex7hV3SYEF3jyVc+fw8s1GyjhfjwPMoqOws/qA95RA
swpMEbnqThcHAbnM8kLM7BeW9ROzBBTpnWkMo27dQ6Sb0vWqRP7mEnIVIF5ur92lB8b2GEOT4QtU
Ns0R++B2ecI1S/tSHOmTgE0CGZTkBqfL5apn4lw3wRVwy0tn6Rs7ORA3DTWMB0HXC3DQDmVYc58Q
Hj3mN3E7t9ywDeBAqp8S7H9b9FDYbmpkx3qyi2jb0eMSYJykIEnWe4zYCblfI3LM+SipVTnQmHIo
FPg61D3g8e3FSzY2e6cnVbwKiBaHOVPlc580B6rjm2XdIeP3m2UXcOIF/GDlxsYmVOti8fk2IChg
To0AcWF0Esdtbrm2iK8MFWXmANbrMGSsfdLnohTs4zvkm9dODbRODiENhyQ3xiT7adQO0cAxoNzX
oK665EBEQstFtI2mZ4T2Y2GV2mUe0T6q9oqqyenR0KOrlKhFb7kEUAgGjERlzevjW30yRXpqF8XI
ay/yNZ1G767R22VJPtKaLenUmG7u8O4NFByuRuONtCxP0NEYmae0ofmHI8DndKOHk7UG9m5Im8G4
6SVHDpIhVsnbZcha51LLgiU+xKbdu+l9hi6QzzimTsOv/uZ5PlvP/hvy4GBwx6rEU23ZuBpc6Edv
Jw/eHfwmmecPEw5Au6MXb1pk5XYlCv8qbKt6wTJqDS5F9Z2kH1K1ENViXyLi1mQ0nBIUTG0KkKPp
NjgDXjRwkH78eY4YOtQvLFcLoFRIIE1Oq8i9aFGfl9EO7UrV13uczVpFaJ+dsAU7LU2vc3UnKKn0
xmBjivdT3Ft0ODQpFyeiPInmQEBzN0nqdXgJfi7BfeDaoYGIwGgPCcHGWhk25gR6MJ61HPQbxV+2
tki9GwvTjk/GFL9WapOg5RRDL7BBipjXZlUB3S5EUxcwljM66ZF3gIU2N8N1YRhWGfz4xdUsWg1F
98CILdkyTd7a7rHw2PyPPetA0s5meHP1SfVSYquZyua4WE454QfSGPWQK6W1k7icswjjTIBSpEuM
NYJmSaEq6u63JgdSiyg6byBCVlnQUmxFYXPmZdV9Qgb8NTvipU52q7sK06jyjvZbHGnpsNPKUZRd
mDvLOr53XXxcjM4mmAbYTMo3qiiMmdPbW/tAz8sx2kssOgJOZbarqHpibra6aO9MkCFQZ8AK4tcV
TDIyz6bVtkKSZNwpcJfyj5kNNkkaczSsvYY+TwSUlx1Y62ZfekOccA9m73C4O1U5xkW0vPGZFxQw
5AgmbagMRuNv+PJvvbqwFnSLUFXeBzieZ5gi4vXvdL5OOELzONjuYtxjlC6bMz9A6g9V+0HxJpTo
49cP4lt3LG9vUkpiuFLeCRxqhe8ew4n+cl3a/nKn+uhKcKVMsrLLT4y2qAbiPxIPlSo9/k+gAu/i
mvg0CHlgIRug3bHfk5j09mKANPFEwzHjttnjitZoYJCyJ02ZDXRtN5a9lc2HqalrnpVgFq60JKWp
DABNqiXUaIWwFXnZQ8J2AtZ6wu/xuAZ0Z3juZOkBt6Bwp420iNJvY+3H5fSU55VY0hRZLWUBdsmY
Y+Jm9/7rqw5I5P12hjI2q6DlQasD+/LemWvTnMZoO8T3VVyDjDuwHfGr+shWhGF/6EFP8FxQ7BAr
DbpTF/uinMKDOmlKHwUwK1h5Mv02dwhX08dxvBk4K1THyHUyfpfHZQErZE1JFcqGpuoHyO7PWKCY
cPZKlyW1rZ4NZhXqaFCKd1WqCSPKRKWZAydNFmJ2sQyvB4pX4kr5YydexB0biARh3icGjQxzoCZT
2mUueggsHpR2K9mkzIAcgHAC3WzwDCNDEr3Uds5Ec1ObdaEPUdJOxEHUnzKdKf6e6dF0+rACirDe
kB4uBBE+6Rcs4MVUnEHCS0ww+a7nyJKOIb1f/NRHpSuT7Wd9TiA7PFoIoPIPOEhpQks50FLSW6BH
IjCgYmjnVrcdRzS5dXkIJCwqH84Cw3XU+plNF7ehuZYmZVX4wuAoWg8+MY5pfTXNrHf1nu4K1axa
y/1kXkJ9A14xXsdbKQQcfUb+bbeTinxbb856rQLtLkIMKSdQ2saupfuTX/ZGESNKVcrTYTFFM1k2
9LPaLoLLKqBXvV5lss+tPrDXGkLuMnS+YLX2K2mgxErqueiNFWYfeXZYVkXRiUZUvUb2zuEcrplh
nVE3GO8dvQLMfuFTvCjMo9kmNn27ObdFywY/RMznWuXFGyvKKN5jnuZLPO5Qf6ypdjRTyjJgimpP
yHEH1NQ8gVlMNSV+TKe5ibuTidohOSVg6NnYNZTFeQMl49E1O+O3WfFb9oNrQK/hdWp4ljlMpXqs
0X1TfSm1i/GtqaI5uHpRxQczahZV81JdTFODaNMdfPhh20BQe+czwXebJraA6tdNfezpoFr8o52S
wr7G9X3kdXAcAymEJLNTtHJUa2xYBKAHyDCqrac1LRfqx1L0oBpdLJIMMfUH1WOCbSDu+mAvCKeU
AF5RqHJDQx5/SVbrNiwoe40GcwBiR1//0EBOydlDO2YnQGSuKXCVtca53rp2YoMe4k4psNXDqKeV
N3lh08aG1uyV+jeWN4yWrxhksoMTNEC16P2NBdWINezlWBvR457mNetLH/+DaCWtVATi825E7RIK
2eOXVcup0JmQjlDHUqfd9dh5ow/YLo1Zv2rNik7DgR7YPFPXwHHD0HHmriElbhkXGNN3dV2JFiXO
/3ygtuuOY/VanKeRmceS+YC1v1mwoaWbR2cctXO8RT6mO3Yty4WXxLDVwlQvk/yqMTW7bfZFrcdT
cDdwCGVMDlQGmIYy321RVs2SBqKtiBV4vB3GIgwG2Z+WxWF92LAKJjsFupom/Syqkqg3pT9g4RL9
OIMJBUZXFbRipl7nUfQRlcIu70ahadVy4HZ04vmOfAh19bZB6/nKcdPq42lrev8B7KYTY0OQvgep
557P+8wyasRvIsUZDTaYdHtM/VAbBVIlKOjRhAqxJAaowj9qmyQrf8Azu/ELOfsMWt75OMbeeIVk
QEhEBAqGzx3R0uGJzKNOCE0U2Uk11a2qMFZqkO4SfLNxwue3tpkjPw0Hd23jKcz6Hrfxo7Ekkztl
5LCeH7NZmyMhbEznbsM/Fy5ZlxrFA+WvBP4Aepvzszz5yD/L27TOxQi23F7oY1NpSgBSroMW70yO
bvoPwLW3AUw0c6rfidDQNlMgRFh1prMSHb0UtkEchFKu1Tojak6slUJBlOP8YCqI+bZMIbLT0aUY
I/Jrl304qpwoQPPqPbZGg74aWX0g/k1tx20p6tGos0/lrp7MrPBfVs/zccpJ8Yb6PEp4I6UpS6TZ
jfWk7tco1eoGPlbOxZQBNDFhJ+DcREZGRijAcKSzBwTkVuUp0CNtxTQpQxamJhEDdK5oKlpPdYCP
06GNDyL8eyxEp69RKshf6PSQcy9nTkkiNeboScUc00u9J9Pz+SIz9dPQ9jPK9PNNWdISyy6bhXOu
fpg8F7/GzunRG80XrnRGNFJ7HwsG4mtBPQCrQrDVvnC0nW1m6gsqPaIlRWX0BERjXcqG1BQjpV1K
XKKWy0iK6hxy5bn6asYux1lIcfQzfxIzkdiAtNJigbJSFyoDF4x39TBJqfkk+7a05sSBpZCtD2XU
GeUCqUQNWKzF/kVJotIOjz+cJjgMPBKqYtDmjSjsONUk1AmxM5wVPS66NR5zFPh8K2V9o5Mlmse5
nAG3MyimO+uKlSpos7FPM+o8EpK7sB1pMvlHgsSERsCRfiO1m8/MWBgKqPEiVDbnM+mzlHo15WEp
QEOw7HtuIeTUyo4jtd7pEvWRc+qZNfXlygTpCqRUfW81iNTF+CGXQW0sbo4UPKtWuPr6ahIOPB5D
KxzYiLnZPp6BNrGNMUDDe7vEhBp8Mid0ltFxlpu/anQ2Fu7VMbOyvl6GRvOKG6fD7kUb12mj+Tvo
HSbLfRGhvLE5WbWe+9XmL9nLyhpaO0WW1R/yjr6SF1YDKcRaGLPz57eoaotSmu8bon7BuPD5tWgU
t8aMfQpDveXTygu3skP1EE6+N/MmjOqOYoVdR9UQ3OIrzkT9CtUer9g5hfhfYKcQiwHe2NHyzZpo
N3ydoaPzxZRMjyoyHxEsGR93sEYO2CiU2WmaoZuZefOMxUPU6azOF3W6flvEyJVlIzYQPX9QhaJY
lgGbrhEP5ZjSyyIWyo6EF+DX54n3pwl0JYBXgAtxaOI0dz5t/I2/khRdh1Wjtu7mlGWm5oHwloxe
17kLa8tx15vzVpOKmE2ZlV3LcffrT/HTWRJcYgAdz6X+xV15T4Hx9ERzba03b/2zU0o9OnnCaECg
ej7XZsskdiBKrlhKN0Yid0a//jDvkDSmAZwPxhDKGoPUE+gzb4+SWVQPbe9E023iLMIYtkzssphh
znJU5Q1BfQBd4OLXb/zTvXDo1xsWu3zK4gY1rrdvbA4+mTCBPd46csH1sGeDXlfottFu4ayqvcCU
jgEOtlju23/9Md5/fwoLYnb3DC4CB+n3lEI6a1MfY9S/Je5DVi0TofOnhC1UdBz7hSFEneV//c7G
2ygrkGsCNKvThgBhSpXk/dkW61YMyzvSbhLpPim8iHPPwc/apsOuenZqKRnUIn1Bo9+K+VipcWx0
pdFHo0FA8Tv41Pshahoe18KhUBEYwJLelztcpCyg2yL9Rp2wlW5uOLsS5RCVpoofOkHpy3Gk3+Y3
10mMhL+XQE0RcWeTOWAAaQv4TG9HSudi5Hds+sV0qOwNJreUhqGcm/SnNR5ae8QCPHj6tyJ3RTna
sLrK+NaO5DjEu6Alb4EydEyGXnbpTAWald+QLt9FIDnUpJBbmIQHuWid6RG8+4R6pLNpbzf7Zi59
f0s+WU43NPkJvogNFYj5nAnNg7Zcfja5QtRklikL2OQM8YKC4W7x4A7Mh4riijf+IC7NBbYvCM6C
EvaVvRpmf+UGorUVacPx11f5/eMI38N2fNM14bA4pAa+Q6Axa06EDQTerZJ1qkNyA/WEaViaLfyz
N5CALfScxlY6XOpffwjnLd6UC2la3GzfYzqCjvoT3pSVbRIV6fU2wzbHUjO1fe13t8EUFNFLvCya
iATXVoRcjxvzO/c1l8FsqaQo5dDL7LvBc9Ymv8CSraMdiYY4/5ZoBhEoVuj2xgQm0h/ZcaYX9koD
m6NCLBBas2HGVMgoz9KNQhIrFiO1GW1LqmuE+eiegGSrim8dLxNqNdZjlPWvgesEVEI7KkPi92S1
jSFR85LjTLwTKkQfk1TOUg1dqEZC1ZrIAXJdAB8Y077PpkpNeC5mSe1D7AdOCrPJmrxuOlAnt3qf
YOI8SygNT/mKNP9Cn1qtifkGyTiWF7m0ZsV+LzRAhZkkiX7wHLZmzV7HHDMMV12bpLN94FCf6C+/
vnvGT2OI8BbmDd1BrYab7/1a4vnM0ujy01tV6W7k12cnw/nuijIhziLCo+YioBMpldmOxMirkmIr
c6xQpouymb7lInVgox3Mn6Q4SX3tktZa/awvUIZmhKO+G/2ukfq+j+rSRAURJ/ouIvDt/fNgEZdH
EVvvbjjbNE71J967xKqOUoWsgpsUGw3lE2Z/tDLCKyen7WRCHaP/7ul4Nw96ECpdk9U6cA2PAvC7
jvWETLzzaLXdeJtGU53aZlRa8V5bzn7P/6/dgaejcHYsusmeyEc7A+3+tmGiZ4IAKnPKG9VQVJu5
Vm7VyA9M2TfSSgft9pvS7/t6P1MAJv/Ap/lO6f2nrVo+tQLYODc3aZJ5TDQl5zD364/3LzyAyw9e
0IvOW2TAu/tdTMpP729RRkKLJ4rsNkqBd1N6VazJsPpGcq0iEWYmBHG8epPWUhqO8Em00hT966fp
pw/AbUYU7MLYZfvP9Px21XOpJLpEGfZXEHTPs4d9Pm+pxS9GDSvmZYdDfHrhoO31Pv36/cUX/Puq
66PEZF8ieKAcMX9aEPJltsl+itfrjMll++j7I9SwpHcjzvt86E7rj65JOtdvBvm7zFjHZCfIPBpA
IGVnyJh7971zx5qsray7axJFkna88+ymXl+Cssu2k2qmV7lRW58GoxNdbbo14uSj9BtpZGaiFNpm
I2eY3gPQu+2IyKD6c+zMUszNqltPf0PM8PQmS8YQDiRhNposlhY0ZIiB62e6qkIR8evL+n5nBRCa
gW2zGHByF2vd29saoXdaoEdk10MwgRoJEXWnuReSw9flLUiKfHLwc8nMF2elYv46+kk/gXZAIje6
v7nJzvubzLXmNvviU9Haen8UmQsE2ijPsmspR03Ppja5s5MVoV9/+Z/fjpmLRg7iO09neX53b7MU
3kowbc5VLLierz+8yMXEBnaQgvbfvOFPWzMWXQ43TGJkZeoEabx7y76PFkHRaK+UmUmyBpYYeyqA
jlm0XURw3VRcJyuSSANFvQt86c4cEXwWR7K4Ir27hqiRU1VThSsVpOLEurDTSPfocjYvS/MR2APE
u0Q1kujy4GzjUODX5VXpaTiCaEEiTrSKbkYjLbqs8h5DWFEnkogyPuErZ4GrtJIpq5kzTsIx4KWl
aKQPSdxRLvFHKfitZlEMyiAFU6WrI7hej6k8MGG0ghfUT6WIbyknDE8vnpGKbd2P3Uo3pZuOBrWl
27MjPgVVUCp7MFOlCXff5lXicERChPDqdGTi8CbqUFDHlUOFampG8ZV4fnhneR36zBWlY9SZoqii
+BlonYXhSkmO5YmiEEfA1xVwW3/0O82OCWfvtG51L/qSZIvglLUbuWbynK7rMzQXjLEzps+jE5Np
9yAvljqsqOk4k85FVUNRdeMakNr2onrIlLjOdv/z8V+WCamziJLhmT2tV46+ZhcRqUCrsZOoXHUS
JPlaXEyvnYThRrXF4EKIUM30XG+UV0D+ktpS25Wd2o8FrtAJzgnFLptdDRWt5i92l34WQv3Ilm9S
KE2Pv0iHkIgWh4COEgpoRpksPQ/XyhD2K026UtEHdNWx4bEK3KvSbObgGlJjP37MCGUkAohSs7MF
e7ktCQS6uTpCZuxLWmOk0MUWfBLbpmYEP7H8hvAp9XYDtXe3PUx6I1xfCmYjOSq4yrQYiD5A5il0
DXCj1qEucqItQv6KYtaQZ7pzoZzoFSWFAGmkQeTF500WuLF+D9Z9nLtzse5VPVY18LFQixqkqkhG
IzjiVygAmOxDki5y+67TIfbg3d/GfHuWliOrxYb0vcTURz5lkm2J8yKt2LRZx/FPihmG/UJ/dBrv
yaMtG/MI8EpbXzx7wzV6D9xI2JMdjNc0xHJn3nowxtlm9MW+ly1BVSwmxE74paHiCru+wkx4lC4Z
rJyVXYOTW5PVFPY9WlDbUfWFmQ2FkH8rYfpOj56fDxptCFlsVabITs4CagMXrK6dfkKdbmSPcliP
7sIjm58f3AmGVQsOd/LNvj7gfhfDUPatI43S92WjmUAVdpNU9sijek4YFANTOgcz08wcHQYzQZLb
vgFJQLlYsZgUHMvNgAZ2B3y4zkg1r8BIgc60i6Y7L7fiGaGX4jhXS8Jiq76pHGL+6uKTVM4iacFT
ACn5qOd+4Guf4FRO1iGQU5dqAynvlXxwhjO2RD/XudVl+uFEzoDp4kuWlmFZQKfqRx9R1XAlV0UZ
qWyo4cw95MfG+ssysLvA+IjekAcIV0c7fGhKE/VtbTlTSTVX1rtls8L1FzEasZZjjLxQoJ1tIV+B
RjVXJoj3sqGizJq2LHoreFZALZvpUMgEyYiWPgxldOvQOTHBA53FKyGpNXpiiHp7ayROcuuktbvh
uZMTZVpFPpNoudQO4y6vEz1HXxtoJDyGgWbjwG4l9mGWr3eGnHTWuvrPZINzd8MIFz22ZaLSDPTe
6ogpb82PsX2e9XquApO8cv7JmdI8i2MNvxNyJBZZsQooppzs5P7wPZ69ssq9GkPA3V6m0RU/rVYJ
1XaVLBI1PcgioyIEKHubMih2KFoYlxWkvqKIwcal6fYStBrEbERvHIDHXaV1gvtiSOO+NMEAxrPZ
pZNwKI5fiTwH/8gwOptl/j3Y8Com+3lFGg+CHOM+P2/JQ7/q0FQU4vn80ketbpCyzprgqLf0KcP9
hWxELXO2N7Cnmf1NdEdU3SSvz4zpXuKZVmk+wqVHL+DWYptB30L5Zwc5rzS4pig/jqIZqR3QJDp6
TcN7EG0v9un0dj430r+Mo3EV2wT5J0PiPRb57nLvhrREHByULCknEJJxlDOhisV4rBh8ZDsJbYkn
Uzk4cZbGbab5q37TYrmi69Lgy/nakaqSfIrpM4L8psSgfS8y/GAyYa2QJlXVn2qQobEgqpK2hAFI
mk6VQSslkNycGLGWjF0JaNZoxL8QaEOhLoqDKreOmosGsMYicPYD9/YZLGQ3s2hgUTO2C39HBEcU
V3uXAuDYH0ZdJ/32MEhgvRy2gXXOH1Q7AbXck1DMDHBKW3NECUg+/FYFu7jFBJDssEZb2nYssAQw
EKSPUk3IauOoBrp0HBn5KvQwqlUH4AhvszohKrKRElUEGmGGMM4kkU3tcUe5qVJyH5O0FW4kVBNh
ICa7R8w6ko/lVKbDRquSKA2k/iMDZuvdZPkw0IocoGbKsI5OilQjk9McVEQDJB2xmGfHm5IhKIa3
rV6R/SEzN2Q0URstpcNayYQkOgnPoLB66SwFfKqediXPglyPpANNO1PIEjk7yc1TJ7eHGNnFbKGa
gLFsuUo6o2wCquEpraUSmeDKDaks8vRyZ4vu2CWufkow4IK8QpzClWSSp2Z0ysDa8KCnmi/CZ+Vo
VtSCTD5zmRA4C0TYZKHt7HpkRN7JH6q2TrFFRa79WsqbXZ8JRkNGGiIJhglys0fL1UXX15riuJ8+
RvFUOTVZBCLor/A9oQziCCB6z1LcoWVnr7Iju5NUaMoCTRmEDRPSm81ueqfasWvvAII9phG5L3gu
JR+Q/rbYVGdSP2WwveD+tz2EivpBn1OLvDtlvHclxUteJPWMIZvfunHv++lWuCdVrNDieciNXYzz
LXHDNpvOxWZWyRwj3sRkhA1Jp6dHw1bq26zCEbIy3gd4Q+itcQHPT33oHz7/RRNj0WBJZuSoi6yi
h1ih69beCeVRstz1Uk0CtR7sz4FDyFI3exuDc599+fXx7n2NIvBNj0QGulaOT47t+yLd5rhLncZV
cVUWDeJsBWhVVJpVdrIUa+b/6Y0tpIhYOuic0XmgefW+FFfk1tD69ZZcZUXS+q8rJwUPkX9D8ioJ
lK22lNWhgrLANP/rNz6Xff5WlqE8zoHWt+mb0fUgROJdnV7TfKvj1ZPLal4b3z5RlBzc+CogWxYJ
N93u0fMvMCJ3BpKKbUz6otrZ6WqRYuuypnbmTX6m7Q166WNfBFowzs3Drz/ke30qolSIVAbHB9gn
+s9RxyvCB89rJutC6cakMm1R+exdJsqlur80hXbEUNUkXga1zvf8D8swNU1zURcLurbQBHmgfejq
VKvjHfoptMZhyTCwyoM9DZiFd21SFgX2qLTQKlSqTgfWOEzYqVrJoQRYTdFePi3OuaJ+/pr/68/l
f8ffa+W26f/1n/z5z7qB9xInw7s//uvie333rfze/6f4rX//1Nvf+dfHuuS/X/7IbfpnV/dgSd//
1JvX5d3Vp9t/G769+cOhGtJhfRy/d+vTd9wRw/kz8D3ET/5P//E/vp9f5ePafP/nH38SeT2IV4vT
uvpD/dPpv/75B5XKf3uSxKurfxLX4Z9//J+u/F6lVNvlS6mf//6tH/75h+3+w7XQEHB20dlM8OT8
8R8AwMW/WP+g1kjfgEKr6/Ns0Riq6m5I+CfjH9SoRDEW741DUZIKTl8TQfLPPyz/H/jMSUaFs0CN
1nKCP3586zd377/v5hvvFL3XN+Uw0XVyDUqdQiLA0P0pkapze9jd3pgd8K+mx5gT9N52jenQbAlZ
w7Yb75zWGuIw9YZnUjv8C7NEqmHZcLUpGmi5u1u8F5hoJxymnyBdYTuNr6Hj7/POuERxcVk37SXc
GTtcrcU+wqAk76kqX3KtT67zrDnlfRxS8oh2Vte5eyNIi69WGQx3eiwCBbfHyG0i8ISWebXkxq2+
xN9YpM2DgyhTM5YRmxd1gsVbXuOobkJbi/EMtiYQvqT80PoTZns/OGxj/6KtKf6jZp5PrZOZMPmN
Piy27WkYnIt4irNbSO3+E/PX+AhAiKCYdijoWvbG5dK1Azna3aEHTnQ/1h/6iE4MXHfL1vRHnBFD
WFF9DaMRLvXCpBQCYT5RFqiPWYS1t2I7+dzrzX0cNc4xKPO7ZrQGIlri5rgtVvFKsfOIciA70Qzd
wqQce+JHCcuDg3qas/VLa5rOzrCKfreVy81kGpjMjP7IXhYwPfm1gFmiLBzxgV53ObnWkf/MLvIw
e+WA9jp7Ju2ju2T3Yzya/egeSPsKwglbtLlqT330pZ7WiaTltAwFsp1unrfXh/U0bN6nRuu/W+Y4
cfQITBBcjr1vm2o/ezMCu+HCma3PhHbFIeSMrxgn4h2TEzZ3nHcE14wfQLFTMqr6mCpZ3T3Te6k4
HRUB6OlB/6y51hAavf4c+Pe6n9ytw7R38/5z1QRPneteQUqfL8ldvUGJ1uzs3u7COIb1nlXZblg5
2NnIeMINRtvLVPjBXd/rVHq25mtpDDP4QrO/rLTieeq8J20Ikm3nZNtDma1EMfgka7By4wxewBuX
mnlj9su6x4zBdfSgWm0EORVIKMPInOpDXGkPyN2/V0GB0QqzalO6V1ZdIuHLhi2Eo3NHQ5zSVrXs
s3x8zfSXusteOp9oUkxI02tSzUNIFAL61m52WS/n6N6Mo2JX6qV2zLUZwj3ayZdpXa0r1sD10DIk
j3A9nprZxwTvF/GDVYFzyCbPAQKVO9C75ug75iTByl+eCYC3DmnWWXeWRU6X5wYt9gDN3fvVZl7G
s/CbAYB9Qg/ShrFeLse4yCtjF7kx5mw/BRzdLu2fucmuYjLMA7ElVjii5Zyik9euwW2B84uHtHje
6J3tmL92gAouiNkaHreFQ1q1+JDxbb149qYcJ3FtMDiNLNuthc9Accpdxe5872jj09T57a0Tc6BZ
vbZ8dMz1NbDz+da36/KKIKAK5kaWog8e2mbnwPQdjp3LZi9cx5k4ddLfb9EUw5yIzP6ZAONkB6sx
ufI8p/pEZTN46HXgNTv8/O5xZp1DnuqMf2rYri7XZGmqXZc5xe1ST9sjM2a2T40hHXe2t2XPBoH1
93lFrWhfrpEJ4nnD9c2AcZcnzEzL/VC583Uxe9WTZ1PTZ+fot3aYBy3RpClO6t0YufRTlmzcLqbN
dA5z683PQZUwV6GRtb9qS5JejQ0NRdSCFQ/SCCkPUVtXmjyZnfUtjf34U+cR0ng0Vrs+9Hi2DsYK
M2TN8uTSpPLYhhhzSpwKCzEeVa0HB/Y+yUtJUMN+8z0jnHRdu6GnDs/Firj0KY2IWyIl5ofFnLY/
e9yEu7RY0Bk76fCacUII8wrK23FFs38yah7iUWvzV3v0DIC63XZHRueYhC7NuA67kxvddlaZHDeK
QmuoAXR4qQye1J6+3LhDip1DOdi8kKw1+2g0tcHHJMN1b+G8uu7GHo873/ektwlHD3RyT0sreg7g
Ur63lA0tmBZzcli7xg1JN1qfvZR8jnk1l3LnYfOueO5G9kJa9V9rn4CW8MbhBnlfdCyNmVx0zQ+O
ZBe315WhefuSqfgOhZ3/OY6S4qBVw3yR0vKJw2ammB5qyBR3Jt6/b20bryYbrmL6ms2uf2+a8XDZ
5kb/GBfmfEzQ0lxETHE7k+b4Lh6NBphXUjwjwiMlYzPGk8uR6AozXHTEUe5ddI69VLsFQnYaruXg
fC+DzLgZicX6Cg4s28LSSNN9ycnnWSP3e0fJ0w+xYOi8eBASvrKGelO5N4O/9LcRHpsiLIOVVBe3
IulqLfEaBPVGHp859hdOMmyCLVRDSkid3WLjzgrb2garTEb9oa63/gYk+hY2U+JeQ1kYP/lJirXX
AQKQRvG3gVr3MV4BFRiF3wFJrKvjglZ53zeacSCszfvc5kn/umpp9jG2/PUKCr95DbWYVycBIQ/X
ZW6OgCubU4KdnWc/zevLFqTHsSfM7EGLgZOQJDPfOe387BBzcUlUARZsqnYhVeDykS2Rtx8yJMdI
hKgIlsx2RTO17OGB9US54e2TefMu9Wojlqn0tUsf6PQxzmvr67rVjL14a48aiMmjpUWfWj9e/6LG
U95gZWgOVhc8clKZnh1k3GHf97gd54NRD18i7KAhAQoJN+MYTdVyAqh76qzpQ0y8DGxhMhkynQaA
/8oZDzFJQfSBt8+N6rVevKulzPIwhd5rU2cNbZGk1UBuR2HX7+04RcPSElWidaZ/BPcGIsT9HNN5
DWt3gs+b1zvfGT/3a72P7GXcB9S/L/3GLL5P/ZY/VZQ5X4YFVDnl+P5z5HpcMK26x0OhQTM1rNt8
nfVjgUvrk79MwdOaDRD78NEeancOOAwl8H/Qx1+xh3iyg3yXz+y3UocU2KU6QDmdQNl69yWYkZIM
oI2HcZ/PKY6fxD3SvXgCaYR6v7WfEs3+AjZ++OzE2ZeS8Ksbp2jTy5SNVjNeWpG598Hz2AOa4MKP
9o3lb7uKPIjjgJEEnVhzmtr4L60tSeZiQW4rLw/1MbZgMkJgKXsCV+zs0h6m8tjDBiIbpm13buuQ
H1O2H3Vdb0iCIbzGyaNDThbAXDZ+2ELM8nluh7l9WsoPozdf+rb7JUirQ4LDW58K+PdufPA2aP6t
czEGoDrWp67LywOhvC5FZW7YpOcs5PMdsWF3BBJ9GVMfpb0+PfSspHk2Fce4AoRTLBdDi2QRYMjB
HU1vn9q+d50W5THXSSY2++CZ/AljR63yL72vhwOk7yJsCQPZm0W8sEPNgFbb3hfSxS/8yT1U7KKv
nCneG2n5Vxujb7bnD81U9EXomU17hyHy2DjLXzBYn0fd2fY2tXX2Ro2AY18QNdPfEBgUwTluGigU
/XiJDLcL3dYEbZKSQcTap33WiYC8sOOZ5aaPL7bKvYC2uEcTZYVEuG2Xmr45T37qXTecjncooB9r
k5pyiDccQtnsrOFoT49RatT3seNXV07P5apg1YXpSn5hN8AsSJjQ/WSHKWVvIiSpD0ZbfNw0oF5D
VK8fVhPPB04eNm9JfIOeZTdr2XYR6Olfw5I7JERM7mmAtxyuBWxHnMn4SxaDVMfK3T7FweLvAssb
bxuKnyPqbrQxrn8daJl/SU/fu6afUVVh7mv1J1qpdBKXcj45eLqu+Ojb5Uy0PcTjrrtAEq3tGLvR
sx4ZJKihAbwnF2DYZX5eX3XmCnPWBBvmp+RoNC2hzIRj2kQaApZp6+Te02v90i0G88EItOkWJ+f0
vRvH9imqnOSzzfJ2NEF6X1Oe3WJMHn6JL0tnTauW9WPkF5g6zSkWCOQ2IO2423ZUxafdYkWYxJMl
vbPnyb/q19zegbUgesBYC/BGBLR+nyt/vMjGagEvuD20W5vre7yLxh1hu/7h/1J3Xkty40jbviJu
0JvTIlmmu2VH/oQhzUj03vPqvwfSRmwXi38xes7+E+3GTIxQAIEEMvM1VlUlD6MdKI845uHiWhe9
C2pf/YxXSvqkZiayN7yx4B113euqQmipkxJ0ATAAfWeVCdJoWiZ9IQTY33pkox+nmRe9Y2FAZ3cs
z6hqvTvPKeZNPIHNXCrOulVLZ/QbION0/+ADdgaX1rt9pXyyq+KE1ohvqad5iT+XsflgL78whXQ1
W/2lopt86KpaOcDG9K0+f2q64Kwm4atAJRADxXGTMjihbH5IJfsDZZyfvLbbS6lECt6Z49cG29pj
k3RvovTtrCxnxeQ9NZTzKa8jcUznNPGaIBlOzTjgU2ajsB04yCG1DffqMKbDGxMHnYOy4I3S1W+z
DqV0H7J15ps0q85GNYVfSvrRSL8sIaocpY2ytPEWwTfaRTqWRLIc8RiP8Mwcgkyok9tm+I8cp4hX
tXQZU3MosZ0z04oMJrd8jWLlu7iPzDexNHwwUOFD0UASlc5G1eqvvQps8pB3U+UGINB+9BplfqfA
lbaM2/pLKznoUGhwF05oRcSnrO0bv1Py8aeaS+TPiACwD2gfPOkSvy2tjOCVVCXTESHt8hM1uuxJ
rcuPqZx0f6lpPdF2k1LpUIRT+8SdyGWB09YD4BDyPwX5bfOwBDgfYF0BW+WALE14yIALfY/bXlaI
1fhYwZFCwdCWy6NZj/avydalo03/WmZaZnxOMYs8IQLq+JRQkxPYh+apiFGHnoyqP0X5WOBmHpWf
JPJbyHul9dcEbJU28TCc06EbTh3qXMgbBMG5LjLrhzR34SNqHM17lUrJYVR15RHmRdQ8DEaenUzi
xkVpEw05gKq+1KP5RRtU1Cpjlk3WWstDdL46tFJj02JKxi9DaZbvO7Nc/B7AS0Zi07ajOyo9Iirt
sHxfQJQ2XpNa2mtkEXmfa9ZMZE6Hz1jLdkcJZWyeKYiEBQGEazAmxXCMza4/SB2PSeH991Ty/iJj
HyssxaPsc286gzihylfJ5h2Li60ZI9MZ47MCD0AjKQvG5GPOFfcw61n/AMtG/scK+lw54DTqPKhc
0biUGW16CJpQej3IQekHTaDPfpOYwUM+Za9MoDA/1Tr7qVdNcoA9qB3R3DddLbOKV3FtDg9tUyT+
pKmgXpasGbzYKOdjoTbSB0fPkl/oFVmubIULBpW28TUrcy4DqcveFXBBH+kSx/hjyf3HRNUHk+qj
WZDpJQPHPG8NMtxUbk9OPYwxvpC9+VXozBIBxyJ5h5nlVB8cR/WpHA08ssET8Gwbs4cUi4DHcuqM
Mzi48Vslh4Q3vBiw/GOhum+Qj36mcq++rUctPOmI+r/CiSP1p5A3CDx2nKyKSo/ZCNH4yrSN2XPm
+bsaLl8HI3gbxhPBUiofu6z15ry3Di8vif4/S5lXFdI31c/ir675+bN79b36/6HoebfqeYyL7Hvx
z1XVk//gT9lTU/4DFQoALbA3dEhUG0zgn7KnKv/HQK+FV4PgWzi/+wj/LXta8n9kiucO5WxF479W
+I/+W/Y0nP/AGIBnQPETUQyZMuoLyp7XmDxYJyD/NMvUBXRb12CpXgMSNS2JI4erGtG6uG+gkdrj
Ax2F6KNTant6DtcAcTGWxZYD96hjtQ7SU8D/n8GJE0BNadfFsS9btv6jR2/CPGToOntjjnslbs2Y
ky6LhSanUWTpTutkc3DTNGmb6IRtbQWfxmquS4pQiXyU5+NHmnlYEDu15ulDAIEvZ+jODvIHc6QG
9qwC/t9K81VleV1X/j1v21JR5+OtbRpsjefz1lrYIVJJT6LS4tlNJCUmm5+lU1JW42uSRBx7zUkv
HtuwjrA+orQQppZ6UUsqyn0+zvXeD7qmHv33Qzgywmcqy8Evu/5BktLIKc6qkZ8UwfCU6WX0sCRG
d2ZLLsdgqctfuaM29sGG8I/JbZqixZg670BaKk87a3Otjvb7p1iIlKuQz9h+6hpijolsg5hrGfuU
3pNXCYrQDtIitXMxMX0QyiNR/rYMuslwnY6/BV63pKLlF6Y6bnWhwwNEnpsnM4I65CVOCkNi5wde
MwH+/EBaEgjbmhjG6+uO2+RoSotKT+LX9hi/R8R18pd8mcER2wYeJlHLA2RuHrUMHF5bS7FXY63x
eudHbHwwwNAwoJBIsUW0uP5g9HGNKAjsRAgmTW/quNI9DfeD13HfShcrqy1vNkKSN+Sy0iesJvuY
JK8YvsOKtb37v+U2YFggqg1VN1GzoycjEM7PDrHjyL1DETv1izZR/2mAk+CwaXWnLmyC0/2hrvu7
f5b+2VDGatZVEAUh6W7qq3LdDofZkvqHWgqCb7hHzW97lMqP9wfcmJtYXWI1/A/H+s1weTa3rnG0
Tk3xvVQ7pXPtMutPodmWgFKhrNwfSpz5/zVyf8+N46JqFuwG+GPGCgheGLkqyZ3Mthrp6XRCwBg9
3fmgU7k4OLbx3UKXf2dMZXN+iIgBvSYQKb/VA5/NL5EoVk2wDn1UuvGqQ8HjbdISEvNM6r7pdR8d
eesXR06B49Ln0dQDZG/tMCLz9DZFQuyEB48ZQjN2jI8Ltely57Dd/j7CAIKMkA8RWrpRLyRaUUDp
y8ynVqCeippX9URP56TVtMrur//t3qJriNcXcpL8D1zU621cEu7GptQTX6OQiQpqHB8CftiHsM4G
b7Gs8M398bamBp1C1+gYMUdD/PtnSw9+b2kN08EKXO+iY4G48gl+0XQxKwrWLx/KMDTACeT8LORq
a/VpQywtw8y3B8fydYx1PS2JMMIdJ2uHzvA7PF9vY/he4BFQmxQ0IXt1taV6ayEyXHNEUxQSXQwm
5gf0EyYcjrLAdpOxog5kU9R6jWHl/IR1mHIsGwct0bycUbbAugrZknn8krXkviUmaKav5732Ivkw
cdo4bLJimKhIAaha03ytUZBM8R1BXkQpj9gVWQeh7HwkvmmebHbysSvUcWdxtj65SbcbgWSDAqO1
ipRLiqZ9WfA4j9tSNHYTdcCqd8bqPdU06cfLP/qzwexVrKyxh0dIq0cT3en0R2qQ77IoM8/SAiLi
X4yESR4bC/o6HK3rnWwj5KAE/OGHU1p6mR6GvjQMeJfUdbUz1EbAEkHyf2OtlnA0qrgBfZr6aVBn
D1EtkRlqYXxWQlmh7Jj0nVtbFLpnaBCfSfQN+n/TlKNyq6dQDqO0psRdBF6JGsOTMc7W2/trsRVF
TF3lQjRtoECyuLefnerBiu15QHvIH3janrUeWcgKr4e/oLZTeAOSe74/nnL7XGJBcG0BWwMiAumG
6wFLuerwTldSfzFq60eHZNrPebAq1R3IGU13bJ3xS4eY2dtiNOx3cAz6ie5DrM+HzEkX/G3hbH0f
B+RvDmasG+3ODbO1Hki24ZspQsIfPbdn6zFSNJrsaEAlpO/Gv+ZllDAcKGvpE0EWIKMJjPX+gtxe
o0LNwRKqtwhhQiq6Xg80GzRrBAXuJyGIOJdmt3qKadt+7iz+X4dQJ6SYoXDe3R9W7LtV2FMUWUM+
QWGa8Iquh00jRRlpYWHEwqY7oBUU+PWklke5scs3hhLbh0VVMmAKFLmhnis722AjsjA8mcTvkIaC
wvXwyDvWUDgQX1NtrAfA5zZeXlWpm2nz9PIgBjWcPacpPFK4Ua6HMkoexVk3ciVbpeS1OH89Jl0L
EKvCnWfnuG99TA15R6QYVN2GJnc9lkW3uOzNNPMd/PYO+IrYxzTTRWVeVegIBNOp78c9Rt7GWhrk
vYCLDBlQ33rQQWuXYKhiLF6aPgIBYtE9GJf5sU/x1ri/a8RnWe0aODGC2QrnTkg4Xs8vtZEiG1Xi
ZYAY8gXvDxjfmdojyyzMKFobF4mpyy9LlP56+cAgq36/d2AzA5S6ClNs1zEgnkueaobTl0yJwJVE
anTC9ZaKet9Th7Lt9GNWtcle/rQREXghyLjqcgXrwLWuh850tP/LGI66hOky3kzhr6WNzSOq68Uh
KWk43p/p1nCMRkmDaMA7frXEJNkkKIEieWHmRK9C6HCf02WpPlEIz94rQaDurOzmeA70WIFMs7jn
r6dXm1KtoZwnedXUtU+4d9mHVudVGQ5L5Mt5t5MI3u4gOOkcDwTLBQV8nS0nlhEOUT9E/hKgOU/q
2z10aZv5Syb3Jylq3qaR/Bc6MfXOsqq3AY+BLUOxhNCFihPF9TzjPC2mHh6AjwCsCjIpyyFUTZWJ
vFwyOe9KbSoKipCc6oNtSzFd9xYTlsfKMqeLlfD0c1tDjiiaIn6IxaDc/JOVQVN6o5Y4nyw0st9E
ZY6isRlAAjyUpbLMh6guZHgryJS/nUennVxdyQrJi0MMHtTAlKC2SH1zrMBAywelcsDu3N9MG88P
lAzAChFo4RFrjvj6z66zRu8NFa5l7Nc4ZlHInioaxDryedOUeKmtBO6wdINfoOPtDXOi8c9QM5ZQ
mzzCnVeQtsvnR7QnkPfDanQnMq8EZMSjlt/GTkcQ1kbtwlr9OjWmQzE6tJXAJ6ou9kjq+1LBliiF
tXOWFaDfKNAkhy5DzFodx/6EBbfkwid3dkprtyEUSQIdj3UL5rejrtPKXAOaE8VG6JvKaLm0GoGZ
l0t4gcOj79x8W5+ErJmKKFNGH3L94sLrKOuUQQl9LKikFu8tja6HVtF6TqHv4ozUJR+NFom7A/iV
AZwT/ZnDOI22Z5qL/QC1tnazJZePQMesY4KEabyza25vMYq8VFTR69aRPLRWR2WANxxV+Ef4WcJn
KWvsPTB5bp5oMdo+5q9IwOJmvLMum4OKVeGxbFFJWw0atvYg62MQ+v3ECaVsVkXnVHawJGmWIv1C
f4HSam7tfXkRva9vNFHQ/t+wq+iOZN844f9EqEvGBJSD1lCVK+bj/XO4NTkNAXSk0Lk3SdWuj2Go
q4hnAmPz41LDaWVJkQmDRetjz2EAXysMf5rk3dxDhO713DQHoTCgcpT+1odfXaIFc23k+ofcKd+p
c1idg0TLD6j5LLhZxWSP4oGfFjqxAAWKA/UMa+ez/i6J3/4ISvSaRZtAk1dnPIurslE7Ssfgdupv
uj6F5zIvmkuXQ0bh0w6frQZxFVh2gGzjML9gN18+jWkhPZiaqr6ysjz+df9rbFwF3DzCyYLMDND1
6opVTHLNxqJqxGu88tupKR4lEGpHVCoRVE2q7gkyTX7q4tH2ewqz3v3hVxSIP2EPAoSQ3eMmpHx9
vRt6ZQoHMCpcRWbdHgcy7GPuOMYTLs6ju0jq9FjOGD+4oZIl2EuZ2qtiaS2k84NIp8JQaTt38lb0
A5nOY0NTgI9b6/VwunqoGyClXRjPZ2Xox+MU2p9gbe5Fls2VRwHrd22STu1qM5Dm5dosT5wDAAnn
GeL2VyRKqiN3WNsijJQGrtyP2lkplOh1MEzq1/tLL1Z2vRmxKrIVFEFQmfqt3fHsOlS0uBKkOyKb
TulvroOfWlH0H0Dx9meripKLCpfKHZsm/H5/4K0wY6gy7RPILwp5z/Unz5dossaFJc7kajwVII8f
MX7Sd3aWWL719GjHQesRjTo0Ma5HMUs6VrbSRj4KmrIfy8XoRmA4Pae0wg9oiuWP92e1FdYMcZIo
pSsKV/n1eLjZKvGQM94Sq/ODsTTAYoqglhEqrx3pY5DY2VHOE4Aa98fd2rAmqwiNzRAsptVqOj22
fCQ80ByszvAiaZbfmGP8S8f5bOdobG0YLgdU2KkRMt4qcEeSBXmZ9z4A6mX0IKeaPFBnq/eA7Zuf
nQjwniop9rsWdcq9w7I5S/FaphCq2egYXa8u9i1FauFchaBekXt9jl9fWTbRGYSSvjPNrY1jPhtq
dQsWRQaMss8Bads5PmdmY7gDTC63g9t3bBXL3NmoWxsHa3Q6ypSe6CyvPiAVFinGpyj2AdvYbrPY
9qsqUDW3n+rOjVM5OORzNp5evmsYiq4IL062zirs1mh00XsqYh+pndkD8Kod29JqgcUPmX9/qK3j
TjglliISg3DLaj3TPkkdXkv0BKmvHdWQpiTgq2RnlJVe2Z+LBDFQisIWQY0iwPUOSbu0RmY0S8Br
xM0DtJDgSNOa1hnaj9U5s8OnQU6arwhnVu8Rq1eOTl11vzrkJ05qW9dn3n6jpw1IYKSSQmdKDWJP
1/IRmJdR7YTerU9OB5AmvYVuJET8699qLTmuglmdYOsuI5ldF4ZXgWjxGzmGEF2VywlpMu2v+99B
2XgCgQpA39BEDopztMpucWxDQxHDOz/HdfJJVfvPWgcRfw6kxUUUxXGVvs7OjRKBTlm6y2Cq405/
eGPedKnBC0CjktHCWl2uUttlYVfw/oE90/u6jLWojprT2dEk3VN0C/X7pZx2Fnsrs6JCo1JeE4pr
iip+1bOLrkVHL4QTxWvaqLrPchCSSw0WJDBqr3imZUN6XBQ9x4CzG15LClzMw1LHMHtp0movj9b8
FqhxlFSJZeuEBxRZPuWhHvqFGcpHXSnnN9YQ4mepzcNOj0ps+NUFSGNKp76M7CfZ5eqI91nutJJW
AvGjqVP7edBFX1FsyBUffXXlVIRR+hPUffJQRUUs8RBW8ZO4v+W2vjcFQL4cbztYfevQpldhN/Vl
5NNw0h+LvtQuIzb0lyxUfqHvrR2GaOiP98fcCN8CWM8FRTKj3sAzIM5NUoLvPFzlOD1pGJxdpLi3
LxAGs3NfpdGn++Nt3IoO174s2Muinb8+y/D+qsIoGA/ogh+WaJOZiLu5kdf+3Vf69JQu8l67Wazb
6tNyWXCCKIqZAC1WO9oxJLhdCBX43MazW+ujcULmOT5qk5G+uz+9m+UkUZG58elrG5ZK+nR9eGo6
bAvZe+onkt6LzKw9ySXhstAlyZMCud65DW9PK3uVmwkRYaq3GkNeD6jImZrXiBB5kd63F2oQhh8i
QZkeEpjvuBcq0PeQnPNhxBVQMJvoc5Q4oN3zPNs5QBtTp32toqVJU4hW4ypataNRD3JHjaqUsYvV
5bbw8aAcaVWVTX68v8w3l6SYtWrgjCOaQVDgr2ed1IStUGasXA4G6l8mDAh3rip0Gv7NQAA9xEBQ
TsSknwVDXO4bIxt7ybOJO5dAGRys6ZV55+ArNyefhIYNytZE/M+ixHg9TCkrHYrmQeDpfVMhaWhX
njHr6lM0hMG3uqVjC8G2v0CACj+BFOve6NGkf81lWKSoNKhHq3AgFARR6WtO3tpI5Ujlz2Fo+p3t
fXN6xe/kDUTbm84PqrnXv9MJp8wJqljCI3EqHlQ0bn60aRh8tgPZSdzKaJqv5VxUcIhzaWeNbg6x
GBr+NFbQjkI+tNroRg6YFNUQ2pnowp2byTE/Tp2iX3opbT+8+KODLeQRpmIwRz9v9dGnxUGhS5dE
53QOH/osmVyq6vGnl49C9+p37w4Z8DUIZgnGUi+0hK0VqOXFWer+sa+qvT78xkmhqUTDBdswjoyz
euctWDktkjUHntTX5nkm/wFob2SXF88FYXfqUyToGFatyxKxE9p8mzHwkBu0z0Ut4XU0FM1OqrGx
BcimSIVRxKbpvNbYlXoJRq7ZiR4VtGoUC7TjYNhI71e9snPub4ai8A1aUXQ1DNAL9uo1YFaWnVP+
gYuCfqY/6Vr8Gb6c4Ivm4d/31+7mTJmUkzhPyM2iQqms98GoV3KbhSNDNYny0Ch64DepEfEGh13b
Rm30Zg6MD/nYqTt3x8YcDcMmpyGz51Drq7sKHSnQXoAgvTG14zcZ1qyeXvU2jmAwCu/PcWMokzeV
QaLPyeIpfx03qlCGytoqoOdlyDvIvaCKYpAMP/b4C83+/cE2FpR+Ho0+cHoIX65hAoNp1iEIcMez
J0Qe3Dqxp8cmAKtzkNrW+t4XbfXZCFES6/UszF4aptBREJqxsKxB1dwARFJo/lWupIHXdPa3GLW2
hzzMZ844oJSXT9M0OHOEKkVISlyv6aIl+kiAAvk5qSaUYniBqCZ00Xsd/r/t5lOkP+i5U3xGbGBP
fGbre5KEA/qg7kd+sho7NgZsQAfT8eDKaoe8seC1DNRTkK3dw+3dBDAWFNAY8owOTwtAN9fTREgH
mZcscLx2dJTLJC/DQy+Z7df7iylC+tUTUTSTwJhqFBWE4vFqFBtpuzEH3OE5Tl48wJcO4epqxWuQ
WXDmp9Z8+TZB4ldobiDMijDV6ooxQBA0FLchzsQVMN6oTXy649LZKStj557Zmhr4etBwdIVvEXGC
vhnJUm97EmXlh65M8nNCczY7lOjXqJ4+dkN8vr+at5V7ltPhfcBnEx6ta/RXL2wgBRjQszoqQAeE
ovPlkM2Z4pdzOLzH6mFE9SmbF2+uNRtthVyyHyQHtiSibLrvmKXmm60cf7z/uza2LT/LAapEGkBb
cxWGBqnRWuZvc7FHxTcUbIPBC8NhPs32tLx98Vj0/MW6wy/AcGX1pDNKNBamInTozSFAiL4g9PMi
Dw6RlqvH+0NtBLzfCD+YEaBHsRG4PiJNZAVh3gW21yB0e4wS5DiJ4RAabblI3Uhrhk92v7xrMVT9
eX/kjQVlZG4t9LN+x9rrkXuMdSt7ZpILkl9wW4P6XAHuhZU71Ht7SizY6oiidiM6/4zHO2A1Syzn
dUMNTY5oDpiy1lvl0uj5eEoR676Ydp0fZ20ITrUuyLdWMh9DRy9efo/ZJMoC80BUwiXker7JokS0
NxXbm/E1PwzLqD9khaIg2jDoX+4v7dZHBS4jNLZECWqdToUj3qVzXNueqlvSG9y4bbenz3wM9CT0
5CQxyGbV4qAnafpiJDIFTkN4wwgdK4BBq+BEzw1gmdPYXpBXP/PFGk8hHPEjPZVlp8K1tX94y1NY
BRgkhMWu17OGwjWHfWfz8EArd0FU/Tyk5Q/kjZ2dL3cbBen3IyDGW4c2h2mv0ocRIN5ET8z2EnRw
4VJa2DCMDT7F9AOeunnYexHfzozxdBRuCTU8eNYotd4s4R82aE50Y/uzget7Hvr4Dcz56XR/n2wN
RCnF1FlFiji/wSvPMlRcHi2jqwwUk0C+nDEhXrwCTIZXW3sXyeZI5F6/D7tMc+H6YxWzo01jppgA
YBT1wF40IPzmk4sJnfQvJsWdRZIvrIeddZs1wdhnVjJkoKIhmy+0F1LgjIjvx52zV3TbmhUPUnEh
cB9TtrmeFRQsUQqtTE8LEqR1WzRkJklqgS2opv/iTwV5gGwM7yOymHWWVEk1lWbUazzMrhrp0PeB
cq7UAiWp2Rh/3B9rY7+LMhu9ezEtIGjX0+rlAH6oXZheNVhfgMpOmOQqvbdIQ0HvWjN2ovPtKw00
KNg+5iW6lGvLCFilWLIro+k5Vhv46GM4fmJl8UtLTAR+PtUfJBYnazUpNFO1maqzSfmB/mTeIi4z
RE17CZADPUN3oH1xfxVv6jKrAVdbXteLlu8o5MjSGY44cjI+RY4abu+iv45HLfZbp6h21tLh01xf
dIRdrheoONytECGvP90yBcHUOKxlX+QmDFfEcDt9zs42ekHHjPIpIuCTdYFypF9yNDU+3Z/z1s4R
QnUqpQ/KbGtUMWlgXyexbmKusgQQodPMLfUuP+Z81TMYX+WlACrWWMOcgBYH1RCyp+vpjuXAyUMw
ztPkxvia4FJvHqR6NB7s3EYx4v7kxA65WVsH2ifGWRzBdeGwJkFNNdwIvKnIaOOM4XTJEKk7A5tM
XtrhZl6cCYu2GbJ+0Fmv51Ugh5lHS43trxx3sIwgFPFgaD0ZRZ33XODJ26wu/8U1J2g24uLh3qFA
ej1oF2KIYCeckHpu0zPtIcR1p7Dlj0Zxhy6RX5zHMEmGMeghUpZZv3J1m9iswif3qi6vjoNpYfCL
IPnFQbJyJ9+9LXWLBRUEKUq+VGfWMabQ6mxsYjYKDoLO5A5Kn+luMyzBg05H/7WFAsXHCUEvXwah
cZ6UpvOb2NRPMxnGzrS3wh2bh58jZFB5VFwvM/mqsNPUmHY1JzRpjZGyZKTtvI62oo/BmRAIR9KW
tX+HVLcRwIjBwAgttD0yqvSQRtpw0It5OJqBMXgtTs47V+/tu1OgGWkI05zh8bmGLei13QDrx2RC
q6b8pCcqiPRxMo9LQpemm6vRC9NhuDgRtgf3z+ZW4BGZhAWmDvzhus07oxGQNbWGC6od5W/SpEBO
bZhj6jY0lofugKEGPgf3x9z6kKSo9HnJ1VBWXD1AS1zQ8lZDAAdwUXic1VJyrayTdxhYW1Hn+Sir
eysAiR038UKJr5B7f5ba4dANzuLG4bCH49kaivI82AEeGsJo83pnjlot20usGAg3asC+5GBxoxCA
f1EhnXR/7W475KwX/GWyTuIbVBSxf589PZcJeXq7kw2vMaNe9qYJM2G8cQP7S6rFyHDMiZ79Ujuj
eD8D74sPQ2qNX21Bcbz/Q7Y+Ip0vyPVCFYAXwvXvwLu1LxWFCqqhwZAYus56FeX28vn+KFvXsngh
0i0FD83L9HqUiJsaw7rQ9IYRWuGB2G68glE3RocRc4PI1euo/zEVNaLDyRK0D4Okp3uYIjHG+vri
WSAY/PDpbxWQa7RL0iU1vcyRCq/opuWIYNDYeECsqlOrKvEvlDjAad6f+tbJBBlEMkoqA/B4tcBa
YpRIDlMNnya8chr6Sq4SOTWFq0GbjhWWjHuyAVsjAkIDQCxzfQL6uF7solSn2Ix700PT0HzbypJ8
GLGJckN81/xOiCLvTHFrDwn8MKQxNNTJfq8HlKQh6Ju44+tOKmp1eli+Hp0p+HZ/IbdOJ8rVJgk2
QGW+4fUoNdo5FhJypgd8UUMjM7T9Ictz2Nap8+H+UFsrSMHSAZ0OQ4h38/VQmlqi8zoSx80ogHhr
oBxgVlJysCug+s2U7/YwVf7C9d58PqD498+iQalGygzZzMBvJx0eFbt2PK3XMUzr7cytaxSudGdM
cZdt7Vd1lX6zx8b0TScIXbPr9xx2b4GydFKAUAgGqk4x0lydVhMLpcIxybWWuqi/xeBhG1dqKml0
Y8nIf5ajhsJThIolDKtUQXq1wgbhCY0KiTpEIVXTeV669sV4FvGrDKH1IJ6g2ESu1qjVesXGGMib
YTKio0gptGvMp3kqrZfHxKuRVgeoTnRYIg0jYQL0uWrS4jQtkrmTqWxsZwbhhSK6wUxoddkoc7DI
6OCRj9ElP+vNzGsThxqvDeO9F9fmUMAMVfjEJNHq6uQsCGUNfS/zPYsELWOaLA9VWn9YMK3beXVt
HBwCPJ0VS2TqZAnX32hMnBKCPAUBq9G7Yzaq1lEG6Ha27UL3NSNJdsbbiOngb+hwEOforOurL9Vj
OlJpAA3QUoZdg5mh5s5KIZ8jVFojNyvT9CO22UDsXxwfCHSiosqNxuW9GlYZnc6aCl7TRrnYT+BZ
5rdUJ8gt0yV4rTfGcro/3sb1SbeRzr0o6OARtvqAST03hR4uZF5KMlJiQXDLaHpUdzgRhWsXWLg2
4WxjyK63buSgPnF//M1lfja+2GDPwlMy9F2F3ijLrOvLWcW2y28z1X7o0CY7aqDGXcTv2p1F3nhM
09WFPsHrhK7D+s1gy+FUYGdveUnZVucIf0A3LWXgBLUTndugzS6aklYuavR7vsxb0+VNxDOeUMMF
IP79s+nOSYUjCWHFgwsenbiJgoOG+YEbz2Xzekn7+txDOfPur/HWIeV5Qr2M9icfexXewG+kXNIc
0sSmLkiukHtdViRPBNIXq5UQSamQCFAOpQqy+ev55XODFcdM2XMxQwjH2G64M2I9xwHBfP/+rLYC
wvOhVlFuHkxlMDLL9DC9iE52nSjnTAmUw1zp2sHgIXS8P94tzUugAFgsXVynFEFXEcgKIwm3Y5Ps
Mgikn0jY6Q9O2ji+hal25gZLlFeu3LRW7ybzMCDxKEHwSlG194ZkbHwMBZvPaYiargb44y9tlKwv
93+hOKurq55tJeN5Jeo11hqjbGtznSG5YHlhHvRPTR78PYZ1fbk/yMZm4lrhCv9dhKJkf/2Fdbnu
K2vsLS8YIfIFuCWd8HJGRCK29rjJt8oC1Emfj7Uqm8RzNzl9gJKQidk8ar3NYimeZBbz32rktD/j
GqjRGylWrNwHVZ9+NcdWx5krrFMJz0hTsg8W3QXLz6feRs0Si4AX37RCc4heEGVqLsB1ILHwPOsD
QDGemUhIUUoNCutNrPjRWNs7yertxyW74EaC3ERRhzf/9bpL/ZLKdpIZ3iAZ6usxMZdL5SzdiyMj
RWZeDSLZFw+V1fNUMuF1LVJCnsoj7YgfSnnhNUZZJ82mGX5jVXxox1FDKlcxXwojIn0ig+P5RWeW
TuLqeGGmrCk08gwv6LgJWkVFwDGtp+PcZemLAyJD0Ssj/JO1kVxcr2VQB5mWZLXhWU6RvUI2Xj4v
CDm6ZDCfXnpaGImMQpCTkBxeF08EAntCaoWv5kgdcOle6Cq1PGsnRXPvD3V7tfD38z7izcCL5YY6
IJclwPEs0D0rKJIzzmZfiWfd0ZqShBd/ioFXne7xFW5j8NWY+uqb1TNeEWnLmKOBRrVsC28sU63d
GM/VI2qi+c4ctw7Bszmut+cyOd1IK4fxEK/zF0utj3igOzunenNW3NKi0E7euZaiWxpr0YoAKw0F
IVp3dGpbSJybhzJdprNk2uHp/pfbHI9SDSw23rVw6a634zhm5oD6ku5FcoIiwIyrta0iV4TZJWU9
o92rG4gQfX1P8NXoSlKT4Y0J/Pp6vL7Lsdga8IixUjs/yga+RkE0T28gk2M7p/a2K0lmdlIbLdm5
PLZmKoiavLlogN1kJmbTJmObOLpnpF14bhLsAvBeLcCNys1FmaWv9xd2oxQGSZWOOVc2EYVk6Hqm
dTMgtqpRClMjKbiAtikfAgNDEOyeEKAyst4PEDg8cHdLP2yt+KJQStqJNVtTBrMqKDKmEDlbxW1u
0rlRrIn8Gz8wH2sbC7MeWzIuLXoTlxmziJ3de3tBM2cF/JdFQ50EYTXnvnLGiIa24fUtJ3+xIXd3
ZoUIbVB+v7+8m1NjMKpBQm1onSLVWWz2dUUtA/2wypcHZPQHCz2vHnfYx1JRw53ds9FqYDTydKy8
CN3IW1x/Tk1tprFENYW4LZBZIbY8eW4mlFIxhVWduLpkUmi6yjzqb9A1a0+5E8muZqbOzkcVA61P
EDcVDWPYT+CzRJx69oxXwYZ2NBuxfAb6TAoa8kcno1FfC3xPDX37DF9H6naG3d7PorZrA5jiMbra
TFnaZ2mo9nzbpnOoIzet+n40tOzSUSb5W+sl6R8Dl043s2L9rYo48WkaJex/7n/3zR0GuEGQ4ZBW
WHNuzbjVpiWsqDs6aX/Osaz4GmT9X2G2KMd/MZIoL6CUZkNfWH1wuKhUAwKeI3lna++DuXeeel1q
LwsFjp213ZoUj3pxQik30iy//qS1bIazJDOUOuvzOUY3wMV2qznOcbZ3U28OJaIvGFEe6msCfVhJ
ejvGRKWELMyN4FB/WVL00ANziP++v4BiI643qsCf8PYA94Ku7/Ws8Ey0m8VQdC/EM/272sfcLzhs
7qzdRiBARQewK2hQAVFarV2zKJ3S05L3kjFqfLNvcE+YmuFJMtX3XR/OO5PaWD/UnwSQFwoaFdvV
cGqGq6Ui6bqXzRUUsNS04IEE9nep7BG2vr+Am2PB/wDPy5A3+k86quN6XsRsCyggOJGo1kNn6D80
Z0k/3h9p41bmPiZ9I0EXwMTVp+oK2ocWBkRehoO5jt+uFr4zFbwfcF5dGg1BYjsGtehID7B5x50v
uBVZdNDZoirLZ6SXe71RsJhXq3bmTTDKVnIcE7151cad7km21H3I0gzxBCtpk0NIXHookqHyoaCn
n+8vwdZii0PBLkImifbq9Y+YymC2sebkrpT0TnZrNa4eEhuOCSCEqt2JLVubVuiq/qnuUSf9P87O
Y0duZImiX0SA3mxpqtqp1dJIejPaECMz9N7z699JrZpsoghJGGgjYKIymRkZ5sa9W2P0pdUJ2XlS
nQyZyiilt+BOxoSUFePDmW+sjbT8wWF6bVIcgVfPxhwvo92juOo7+tjfd0oxIxIQ2+9DBYn721t5
eJoY6YPGFVlOwp+tKW2u5DhvSBfRCKoTj3Sruc6MKAVGZlsoePRm9jmcrfaLZE7KSdh1ZBvOAls0
iMSDvVsmHY4J7VXcQYV665PjQIsSqUrhOQhHBdQ2JzjqC2S06vzkkx6dHw4PTxNtVqprznbR89qv
I/VZ3S9bS75aCWpMY67p12pe1uD2/h6ZYp6cqbBfQ8jmbn9LZKKz1aQcbVb9D1RyjJfCzJF4snPj
ZFFH51RXKK4Tqjvww+5yLInaNoR3lekXOFd/7Eb9ZZxbxhYXWVDrWN9uL+woyAIgQ5+fyW5at/sC
zwxyOM0FQMZG2PjfHLd3HzcpYiOhWn5zKNZ+WhjL8yU0UP1EmowPxRLNsM0k3Qms7KD8w7gt7lCU
/MXid+4gcUZ1MFviS5tsAXEmaXmqK9Dra6v8U9drTWneTB4bvY3uyxBMpyMXMofMrKlxZhCCRTkN
UQNNlNs7JBzD7k3FRTKMwAwS2Lr9HBrC9cYQTjzfmQSvChgR5BhlJJK6iJhhnJlNg3HyjG774CHf
GN15qzqH5TCkxitGdUavstTuGgI8P3kGjs6aAPFoCugW4EPiV7xyUEXohAlioKaf1OqXwUqM69o7
uWfI6ZMSyuWH2xspruN+I6lXiEo4BinvbK0tkjoxIaeYPkoZiisnkeq2hTk9J8pY3EVyPQdRisaU
FlP7m8Iieblt/ugKGwYHAMgQox57LLDhpCOKgphvEhgrQ6S73KFVEVRN4vL6J6aAQYAYJ27Z5wsr
lF6dLjC6dRXPdxCnlwEZf/M+VfSz4PzwEzJUQsXJ+TWWud1UI8zqAopRetlTQkOnjNT3zTApPrx8
uW/W1RlU53AXX9nbHUzYGpFgh43ed2opv6wMn3ikcGvgSPZZ2+ZwaXTOBcESHcd99mPbSzJ3FPT8
qJvCR+oU+eymTZ0jflM24ztDT36baRR2A4ppDOLhhpiYEYt/dR/MgoJd3FPyZ5jb8oohUd0mNFfX
ScPfnp3emRKLf2Wq6ZxkYEkgHVYESBNlGPyuKceTKvLRlaPARPedKjJVkd0F77pRaVMulK9JTgfP
uGMPbhYqzkOuRjIChQSAee2Ej1Wy1v+qztytJyHQ4Q8QWEhR54V4dPeadUKOJ4Zm3Yc6xJ7cNANw
oY2j87OoUMRNS+67qY3SRZKi3Ed5/owJ4Oi4ordBM4ynFBae3ZtS6dAgE+CZPnmJNLmAvgZoXWNb
+2tekzQ8eSoOVysGjdhtAdHZfVQmR/PSCLGmdsrsWuE0vF9h0vTjHnoqM0kKOBml6MmqFfPdasxn
vZqjQIxOAaVu+lYUhHbmaQcq5WDgzhUnLlJXnsp/BjmV/lKMsL+oEx83G+vea1HuOnF4h/mEYPWn
8kXyBPx8e5xnCyWqdgYp5CjD+h11vf5CIb66s6vRuWvgS3uypKp1RanDg9BKR9EXXpOTw3b0aAot
A74039zczwVpUsdc/EJzmRrW+yYPIcJExOlUu+TIL9HyhOJVsFgwXbpda55CDpLKwNENuftPzzvl
EiP05s65jhDlKp+N3B+u6tdDAjqSXs3+CJe5nYQ94EgEl1PEIOk8metyVno5OroiAqDWxlw3weB2
UVLUOdk8kPgi1j1rntS3y7s2h9DyskB7lrhdp0Z1wEWHXpUUWYn8wcrnPwAz8jwDd6dJA+kPHB7b
nwEHMBInCpW2UFmjv2VeGtThpvJBqqzcr6LZQlRkqC+yXSGUWOTVnVYP4QkU/uj7vv4Ne6cpp02S
dYA3k4VOs7TG7ZPSFepdNiioY4KHv7sdLRx9YDyUxUQbY0pvhpXNYdZNK6JkrFfVdFcZvXrnoEfw
120rR56QUgPUvUzZYGd3Q6eYqiUNR8Of1jr5HvaNXrh2kSOE64zheIZrOXJFti5q8QzZwGO020Nl
sPqlXIlfJS1tGTI1HPWhTqY89uxYQ3MJ+UumCkqzTyO3hy/6rGJ7uFriBnhIcQawFW7Pkd5OYy51
LaUFY7IvddEtdyuYJaYZ5ukkbxEbtw9rOZZimghaDBBlW1PZtJjlSu/GXw25QHo961GRlJbS78Fy
BgkUrH62oG14+3MeWv3VGVbpr7w5NE0JS1EhOreZmVf3lZl9qhg6u8pwMjxKE0SBZcRNvW3zaFMp
wlEIFqgP/N92pZVOMvqrOBZX8/CujeT1M0LK/R0Dp6dO9uhSiICWsrumUIfbf0CVKbfIgmMsb9Pq
UtVy9m5Squjk6h0dU5GxgYUSLLL7FY15qw8wB0NBWKnaf0bZlZPfwjV/XZJS9xkrTB562NaAC+XT
yWDK4WZC+k50zENCEXq7mfqARLrB3Js/D/F438W56obsxkOE3uVJWHJsigkGIiBYtfbiX47SgNuD
QMyHPa4IFqv/t5vDMYAXof99S+STSERB1c9LvHcy7TSjH5WB97SQgfegigkfxsk2clc3B+3626cR
mnW63wwCUzzcu5guUsZZq1JCuyVK/F5XJOhY7eVdnJFd3jZ18CJgCowTR4Q+234UFw3ksNdSaiRR
NUg/U8QdXE1V469D26B63hRnANWDx5h2l/CfsNsSVolj+yo5sJQpS2QTl6JUdim9nwpJ/lSjl4qE
xtTV00Oa1Ll9me1WZ2hxtVCynqfl79trPriAvxSQqISDDiED2/4GO4+0ukbu2x90M/08OsMadExp
/rxt5eBoGhT2me6ksEJLYffetyvZK6yHBDdKiCRePyXfm0GqkNNVo5Nc6MgUY0LUHciV8WG7Tc0r
p0NpcNZ924nbO81uzJcyIrIx5VM6t0NTvAg2PLl0sfaVrEWmujwzH+ZbY70iYxvG99nAJPdgRclJ
sHLwmUSfwoEbnosAemr7mUyzHZgmRUJo1JL5Eie5dU0sqhq3P9PBgSQYw/XTwRKkP7s0Th9sICXi
tSFF7oOpRn53mZCiteYM7ZFxKr47UvdNDzPjfjDC30cZAnFB3oAKB6MPhBPbNba2lYcVlVZ4Trr6
PSpJEPA6wxSoynQWtxxtJwQkorOFUpayRyXxFvWGstJrSlpVubObcQgahP5OtvPYis6crkOIQnq6
XVDYZH1NR1cnMKjKOyIU9clmju7u9kc7OIUC3C4I90AwkhVurWROj8ZaQ3slQlvtIiXjSrI/yu9G
K/339y0xB4PP57WGFH+3HmSAqx4OGgrxna4/y+Wi3s1LnHiZScPztqmjkwihHywFMKITg+xMISlO
a6cjsCwVZOS1qNZcJZTiOym2/takPNZd1FTku3ZAlnk0OsLb2/aPNhV2QcYtcc2iU73dVEIuxrBK
gnWmguUrA52fK72ikhlr6/LltqmjU4IN5FeZG6KYuKuXymGZFQUEAr7etIgSp+UC0UTjqPnJko62
9LUddbukrFanhrE4LvfSDf9YvZbcr4vdMO+Y5pfGWvvrWNRGEEtV6M5TdybscbijIvUBsEwZeu9b
+rQ2p77jCVinEl1s9Cv+smS0N4xQ+XR7Q48soZ4pokpGUd6Q183rShMlUenHIad+hwyu8zHuSNph
zTVP9vQgPGc9kIYQWgokoPi2r17w2ZmRbuxo/cE/kf9wBl1+MHo5+zcC3/AA11nxbMza+AcXnh4F
7VyHfgXv6tZoB2oiT6HT9Jc009y4p0cylmF/5wA88G9vpXC5u6RHPDei0ALxI0d0a2rWlLpdNeYm
m34mt8nCob8mVZU/xpoVXtreqF+gipf+c+TsrMpzEIyZPHb0icBYMYi8M92qaj1KcUyrM1PVawGR
uFdaa+byRmgBBJvtSZx5tFSiPkobYiaNWePtUiVkxBeTWB0Mv2rcj/D8uOoctn6pRZ1oNapu1Zdt
kMT9ENze5CMHwKwjTRHB2gYB79byyHhCs3L1fOw1njPPceHKTtmceO8jM4S2onRH/e0Nt1dT6GlS
1KINnxX6vxXCCtcads2TQOXoRhBBCE5WmhWsaLuYNmauJAphJ1v15qUqMuNad4V0tWqpBLxt1F6K
KvjJhThcGc8R5xTqnjfCWn2tdaqesDKahLk/qcyij6vz4/ZXOloYjxHsb5C8U57bf6VKih0aS3DM
qDIdmGrqXSg7O49wvXOTvKjdoUqGE/9ysDLx+AnwL2P4bwh8Yb6WkWSXmIYwhmF0rVSuH9s5mU9A
2sdmBLqYDACA4W5tSRxJjZRTvreVTvpZL0b+Wamts+b6oRWayMDAcSdAGLZHIy40ehQZc/xWbUp3
ZiQtqdsMg35yAsWP3fksiLyFVh9FNtBlu8XoxVjJ6UBXzrBS/blUpG8hXL7w1msPOQCt9307fpVn
hB3U0T4r1xw8PTA80loSvPUQE+6WqNRgJIowElRskfNYdg3csnpmzm6rzLp1cjgOjUHHK8a8eIP2
jdYGtupWT0TXp1icFznsrUA1CrrH8lBXc3D7+B8aYzf5egzuEgFuP97YRdEC5NLyq6b+iXNs/kJ1
FLWDNTlLA46OicKsAMIrsATCd7a1pHdSCVFCSHujaNoLDCXT6i5rvZy1OA9480DUUnMSc7s4jv3s
RT7JlPIaPpbcwl9ZL2r8NNZlFySLNd7lFeN8fj6tmt+YCQqL8xipLyMM/ZeEUn3ktVPeMBtpwuLt
397qwwMMtJi6ChovVBi2G6BA+S+tAwM/Kk/r16yNhwcy5npwm3kIL+yH7UBUAzOd22hylnhmVtTN
Sfx99LmpOAK6EYVdpt+3v6FKG6bfsxb0BYnAOyb9h6e0NedLO6mnsfaBZwWWD4sKME3KZPtYW0mM
cNCob1DEje37qq+k62IMrWdy5P4Hd+DsqVHS/cF5JmUXmDQi+TfMG3JqdpZUgDHMOnP5ok6I1zpK
PnwtSGj+4J5SnqYgZ6PZBnJqu5ctmOccHmmcggo7txuqofVfpuZFeR2aVtYvt0/P0fWBrpf5VqGc
AzZha23UoyWNIk5PDFY7e8ntGt5qvbGWP5jaIOGEmgE8EQdk7xEGyGAkMihGxtb6vdUq9vcGsp//
bq9G/Nq9M4cKQYw7/ypH71YT9abThiE+TqY0/AiVvfISMh3oxYk6lO40J2dZ0tHB1ykzivoDpZs9
6xXKzZEDhhAuBKc1L1oBqi7N+uEylGH2B3eMJjJfHXodUR/Yfql6KEcFKQ0wHWat3pfFWvpjFIWX
yo7PwE1HLuW1qd111lrdqtrGgeJNY1yhN2lbmHP/T4+WJvzOs+NOq7IGsd72bpFa9Unr5OhIgt2D
GQ14IA53l0xXfWqoBt0vX+9040PGAMqlmIr+JAo8+nLkYoRKVDL5hMLNvM7FcnLoKQVqkS1Re7eE
C2LrIBafIBefLrdP5RGGDSgdZSpabCKl3X26NKqA0DeR6XcyHKue2kzhe4fm7XxHb2j4T+ppk3tj
E+Gj54iK8rO5RsinoK9RNa65mMo/gPznq1o204+p16Xq5Ace7Thj7uADGHUii9p97465plzRRCtA
L+rPSwXsA9zvH+BoUPGgjAb6SeSI2nbHo7gO7UxhmH5olTCw9O7fSm6ku0hZ/8SFiilJgkdASVTM
t5aIymdjUkFLwkiMnIVZtHAe5LKCNGkGQ/QJScDhSaJcpyhQbZGZ7Ry2OpZzrWSCiM5o4q8OpcK7
NJfVT1mYmyfV6qO3TzCgUD2AkwCy1e3CZEYt4r4QwBmGSwOVrNdHeab7MLf2y2RN84NkxtLn26dX
/D/3PpW3iFliEgqBXdvaVJYy1hmt4Tq2ffw0G7Xl4l3r0m2cTvbrbjzDyR0aJCAhd/oFGtntZ4ja
gl1UMyR3qKlDCaI43xqLUZ+x01DIqLSzltHhpv6iQuZgCLvbBUKZIzmLTM8tyvv+Odd647MiFcNl
XLUcFpQmkb0eFryzgPLw0r0yu3MKBrOuPbpNONlJVr02yWtaY/XZmN/xZvI8AYChzbHvBBSaKamx
oHYoyTVIOg1loYgG6bTHsEsyeqSHEKLfPjFHF0LQZyu/0jYcynZDszbrRnA/NDFj3XzulkILokm3
3mW2nZw8ikebCDqUQQFiJbq1O1ORjMbITEPKN4Yki91CBtnlwp5wmqodHRJKWwgvEcIyHrQztNB/
KpWCifdurJD8qMx+vYTK1NTBrJZ0O3LHDpyh6f++vZVHL7EFKtYCroD+yH72aQDlE2WkV37McMs1
tfv+37VNQWfEifZoaJJ5MUFSeJDMt0zC6s6JvzlMeixCKUFVSslkn4RD6maW5OYg3NVpMMhqlOrF
iFchBTj1Suub2mB+Aj0kra4+TEAxJ8Dyk1sPtl565mgkrYtYygBwW1aLkxf86JPwrOKZRMiH6tz2
mMGizXfORexV5doTYO/oQgKd+U4vl6m7Wo3iQxlUnWzJoVWAHfzBGYJA3VplBH+chp4QM9VkUV+s
tJ9pNqePkDuuz1VCMY7ZyzPa0SM8Pu5XETR4sph63Pko+lJoTMG358fAwS4wuHVeV7bxC9QwlhcD
LP7HAcD3VPLsoREhm0QNYfI/u4Ob6/aBPLpwYjaJQwEeS9+HCqoVm6MMDahfjnF4JXOAvk7WzvLJ
YyvM5cMvTHF1PwYlzTm43oGk3pzW9F5Tp/zJTA3pxE8JD7t/2QTbDWeIbjqAj+2nnFNJ01qRLThT
3lGDMc1rOmfzdUrV9b4frMqtQmjxzbSWr7d38YACS/TPmbAiUwG/t09irUGBpbbObKxmw4tqS7IX
5sXyBa74aQgkRsGHa5Zpau2Ohj09IXCaQfAmPngxGy96o6RnmNyjc03iRFJNBENVbxdaVGED50Nn
WUQx4fJNm2U1AQlmo96i1tDePlTmaqEcrap/cJ9ICKmRUs6m57+7xUgFK1q0CgmEsBjSZ6nucj+N
Ouk569LuOyQrg/Uix5H+J+sVOYYqU88R6pHbj0+UlRjdxHqnMHSMd7leWNcxVc3uow4r24s5d+hI
Go12ktwcvMeg/3FYIHLF9K44+a/SDlCTVl1Hpe0rQ1M9hmXY+cpaFD+6Vvofs8vqibmD9wOlA5JT
tDMUwRq8NbdkVdZQjuKcDZr5ki9t6M9MnX41w1JbvGV09EfobJRPTimU4lfpjHv6aLkUan5NIXDM
9xyeS95GkprrtmjMhrUrjXAauBnl1K9rOzgiurLXHyd3SwSku2tNLg44QHCfGW/uVlsssLG0veXP
XR1/6ZpRvVpTFr0wmmP+SLKhcBezrys3MaRv2qL1PrT96ombPHAt/AaQOhD9Av3e9747M0V5YV6o
f1rleiVjh3iAYbW7cLUQ6jaZy2NU3SouWVukJ17tIPoikaPDL4gdmOrdHeyhMExQ1JheimT52PS1
/YWxVvteWR37v5OtFqf1zVYDrKa/Ibo3e/RMoVEAiWE+8UenTp+JCJyfllowgeHEKoqzYaqoFYFB
1j5bUyTV7iKXsnpJIn6fW8ppVwXoiBuwLXZFjKtr1frsQxz/Qk4ChQQezn0f2ZSGuBiyBIre0Fpy
5HD64olasnYSixyZoXgm8CH8h47B9p41RlXIVcKZU8I4rvwlqYDSNfma/3V7x4/uE7sN/AusAQnn
LvowhirtHQ3SMrBgWeQpQ9p8kjs1dHvyFkhfoo+37R2ui7kX6B1Qt8ZfbtelaFm52DbxdWIv5d9g
D+QfljmcIV8OVyVQUSCRWdOeGburS11eLCieinWdnvUqpQMCPbffSFb/AS6Lsyty8NZBXKBzLyl4
AKLYXZHKpgOYprPl18gH5p6eUza+GLmZxl68DkV0rRSQ7YEuJ/H/bu/noWWq1qS2lvhr99qZtW0s
TkcaYUtZ+mnRw+gTbwUHU61N3v1CoX5YSYt/2+qRN6LrI3hl6Aq+KR02c5XrCe6P0S+zma+RPS/J
hUoBb0+qSc0lSbT4Z9wmTuyVIXwHJ87wyCNR/qLGBZIc3Ntuu81VKeH/pniud0pD10kuo3+cMnMW
V5+bs2mbo7NELQssEAhatBV2N6RzjIH4jciqz+PsgvBm5obm0jyVUfhtJa0/2dqjDwrrFxVnoiba
ULsH1tamSaW7azP7qj2todbelYP83ljK5uosgNnboTnDgR6bJOOFJoBUYD/QEuaSWVAlRFII2jGA
TlPDlHxvL7A3rs7XykyLR4STjBNk8pFVwRYEtoJt5ZpuPYGa26jBxTJtJo0iRSHFUiAZUX8franz
zUTkxEMu6pTs5ehrvrK6j5NNqIYhOaM9IS2d/OLADHZp7dGGoJYT4BH1TKo7DCrVDDMxnyV10C8N
fI6+0k+rCWET6EczlrXPbGP3V5RWyzPaAv3L7et15CTh3BICSKgE8txvt0aTlqirAMf78Ryt18op
w2cGyurrbStHtwg6b3GPbV6ZfU7ULqGcGTSDfIQRQDYXpe7JmSn7hG/95fdNMaVBmZE+GwVy8VVe
BamKjHiT06PFpTgjstJSqrspdbArpFTJyf052juwCgLyCNHpG0GNwiQ+KzMbqG+aZxdUqqRLrlrj
yeE92jsxmPULwQmUQPyKVwua0wxpbE3U2orlJ8i86E5t168UhM+wJUeGyCQJqFShNbwX36tlZajz
Btia1NJBCzNt8vQSnqcsIk//7Y+EdhFTCvTuSJv2DbVyzdJ8FJjHimHRR4jys0AFj+4xwvgHDpzw
jsiGLSRp2fMc6GqmM9sOqH5NkhC6+iG7VNTXv63Qyv/+W0F5zQYcRyeCXsHuS0UjbAITA74EOFZ9
pbofB1YC20GXKmd136PiFqmfmM8RIBYIcranghQoVrK0tvw8laurojaSl6A6GSxjNLgllWZvzqwm
6OxxccMlYsyuUJprvM6lG8vDct+VRn4CrTnwd3S+EDcV1OB0gXfPyWKXeauWLF8eksbvqaD5U6UQ
Gqtm4hnTcEZFe2gPbhBmd0yGpvdxK082umkNOI14kqTSFTxPQQaDxpdFC7W7MG7VkwD24IIwVkOZ
AVlzprf3uhlDp0GHOBIASVM9/UzTKrqfiASCqXCaE2TPrzbPLjuhfqSL0rAikuDdZmZTHoLe48mS
lGo0vapna58lpe1g56LJ/iHNJPO/RO3awZdwp6G7ElTDAgOXVcMcYTqP7mKQK/rIqDCSPHVW/ZEw
WLGCeG0L2e0MZ32pJ8COXr2q4+eU6YjSXaOcyXfmeOLWzQnjY6/QpfI5zQUTiSwPvepGEeohPypl
lg03yuG3uMTE8xGDuM1IOa9p2g/5Wg8/1bnNJbevTejNlqWUG09u+2rxtLjJPkxrNdRXKPY0OUjr
TpV8sy3av9JUNb6vTWV+jIvI+djGYbv6HTRkZ50FcTu2uysaeQppKsAI/hYBwyufqg+QkhjKCE7B
Vuu/u2ZBSCcx+mtjGOXVseDrrB0C2z4NFZ5D+dNt7/f24ArrvE6EQIKAZfdEDSghhXUm7m4XRu9m
p+47l0zUeGcaY6d7U6zaP/7AIhAjtMFgNeYF3q43Wzg3isUws41DfjaBg3iLqVUvihXXQVf39okn
fBtwUWIlR9G5nb8gfVt7lWPE6jLS6+uRfYPbJO4vmmr3XoVmAMmzslxS5qlOtvXt9cQofSKYxxn7
Ba+xNepkaVRoeD3f7Mz8S78mKmXI0XgOgRCfvMnCk+/PjxDYpuZIHRkI6NZUlA7StISkljGX0SsS
KXwfpbJxUl48OievrYhf8eqUJos2J6VJ4bxGavshb8rhCUqn3EPXGeZiDV6kP/lsdKLA9TGAw7O5
NRjaSi5NeHiS174PKnXNPRDm8zVPW4CfTL/epwhU/nYswGcTaEyBghOdoq1Rpjo1g1EfulN93H00
9SR0h3AsXqbmdErl6IRAEcawBVSlFCJ2yVzVDH0nGVz7QS9hMdHHxoNj0nRhjTljOz66AQgoC8IU
GJZ4qrerIrMQhBggvaIeKeVyNByP2CH8DHV7/c5cJ8M17eJs5P3owPyaNqdgSmNgH1Yla6O1q8pW
JqAIp+usJO2HMbfVAA6BpvcarYSn4LZnOVynYBfhVYSpy955Uhmej76zQRY2TaLeIww7+swwNk/F
wvSPhjDHFb6C6vonRknJxeAuZdLd9dN7O4EbCfxLl8sVQ/3918Eh7o4lqfekJZu8rFTOFrrfW6ah
xYQMoR0T4Ljt3dmBfIbJxSxbA4qwpd9lEarmYRl7dVHPvlo460lVbv9E/bJH0MpMAPVgYtftAQqz
zpGXMVmDKevbD6LddE2zafiahUvzAIjQvtZpJH9wmir0VKWB++f2Hh+tlyXzOgomnjfe1KqHuFTN
mfVa8VcrbecPCePmrqlP94UWTz9vWztaLfUdZDLx36CKd7tbk5quMX2lIApVHUXnJn5I61IuL3W3
NH/JUt0HirK0/4TDnD/1s61+vW3/cLV0ipm7ZUaOCH672ygCSmPbjWtAgcKGksLIfD3u83fmoCiu
tAxno5tv6EXE54UoEJ4yang058UPeuXbJ9QXx1BnljLrS+VunVbrh0jKrt3QK4G+FJMv1ZIaDEsj
P+pKFv8VA147iQr27pDfwN2xgAVAfwsedfdgzjQ0Oj7yGui5s/gTYAovNdLcSxlWCm7v76EpThL5
ATAtSvbb5a5TVKgV/ZIAzpThWY9z+dKXcv15nMuzgccDU1wXLin5Jc3mPaxx7RPD7jpkQMA3mh9N
rWDGbMrSxyKTTvZv7/vYPyomMFXxloAu2qvJjlEqAeKI5EDNzdiX5BVewHmRvkWE9c8pFJSaW+pF
dxIVHK3PJEknNOUPz+Z2K7WaIaESGbLA6mTLC2GncUMaoPdNeipHeHRKwRVxL8BQMJy4X2HYs0RD
kdZgdMTYx2zNC4WB1Lwr6Hn8s2hZ/n21FwuSXkO9KGtty5DkwNR44osONlrwpIpxXZAyb4Y2UAQZ
7LaX5KDPpi9SpEsPRommTTqVyyVeR3ozTJ+eNVkP9pn4VRSRIEhkMEX8+6sbuhZGrsp5pASkJ8pV
iSLpEhtz8nEm8z15zw68H8kULQTQAtR+97N1RUnRXTEzJQiVxg5s/rraCmTUSaEuQaPVw5NjQ52I
QEfpV8OcnSTub1cqCDcYH0ToXPiB3eXUpGqWJaNUghbNE38uovjvyMlbf4nW9f62H3jrZ8XYM0mX
UJugbrFze0nRpi3aIkpQAEryrCIfHgZZXR/q2qldre36z7ftvd1ZRUa4QKXAyUE+YFxrGSuEQD2Y
GQhzW3ka7zqr/64NdfZiKFX9KHWO8iDzpd21LnP/tvWDjRW0l0SbzOhT7t69amqYh1Glj1MAY3z5
KCXxf4XRRC9Wl8mX25YO1kl0AkuVTkIlWgjbw7qYw2IvNq5obtU5qJAU/Agp/3IfGSUF76XvHqsI
wUtJTStfTyfnpFzxa1DjdUJE7wtfC2kLJxXg6h6OMjQ05btyXAIzU2PtqplhJrtkfCpk5mYUv+so
Rjge8l3qd7tWuukiuoGpl8h9+iEndSret4h0pm6sRk7t9UaCzo8YO1kee2L1+nEwi54aFiRWyX3e
pWHrNo1NpSuzhvCaF1NZn3y6ty6H5gTNYTpYrI1uxXZDaYw3StRX3P7Qrq56a8+BUsti86ib5FGd
4A3Dyvx5+zMeW+UGqoJm8Y3QUdHmcF3LWE2KQb0ybjdd+2WYn52l7P9rZ9L2Yizjf28bPTilAI5t
wQUKwzaFie1SzUkqnQWVhcDIw95FaEO7t4xyDubONk+O6aEpi1aaDR2hTOVyawqUn9aavSUHSVfr
1xoYtIcPljz4JYuTD7jvG4oTSfRMToIdsDk7UxAwF2UVZ3JQmHbmaUm6XM3QTlxZss33TuhIgZm0
j9Tv2+D3t5N4jugOiN3bsdAJdbWlBvIXlPCdeig65VclthB7U4zo5NodvM/cNh5o8UTRv9lrM9R4
dHAzKREI0zX3IOv+WVanvRQlvY5Mnpu7vu3bh1kDGu+Wbdp4oC77k/UeuHRuPNk7wHjyoj3MMrEi
k3nKluMjI32dDsXwkIxp/L0FDfZUNZC+nEQDBwYFu4og+AUbBFJ+e4g0O4pUrWmWYNDn6lNUpVS4
o6i8T1CICyRS0BN7by+lGHGkoUTkQq90r8GRmdTjaLrLgW0m0aNU2gNINi2ElyE2u0uVz+OnpbPU
T7eP0dvzS7AjRPQs4h46l8Ljvwo/9KHX7LhiWwewRp4obCFML5Vf4rItH5ku+VZWAnhmSCcNwbdX
FF9Al4nN5XOSfm7tahlB3dLyYqpG53zI+owGbZbkD0mWxydX9GBjN6Z2VzSaBz3NKryBY6cFWDbY
K/PIsN/LrTZd1rCuPUVb+5MI5HB9IIxkxrYF0dgOFcIQi9bENV9TqfT0b/DXxQ/L4D2Z4sI5uRlv
TZFP4uQEXxxDzfvoearNyOi7pQ0G4j5voVD0blXjj3ptSb/tV4FGcFzAd3MNwSxvPxpMGonZtWvL
a9XmXgFj56XqbN21Ekn6ePtcvo00BAoDX8OdF/wWu9eiTqBKZIANU5Y63NfT2LuS1RYXZQaBUnMe
3aVENA8GHabgl98XYIWDSNbhsqXyAwKGsbztUqehWCtIT7tAXpPmvi9n80s8WppLsUh5rtS+9AiS
ursyr4cPPKLrpWei0h+BG+ReNNPxOPEORx8ZhLsi4lqB6N55IxvC5zaEOT0o6nWCuaWQP9Mcoeul
2GdibW/vi63wbpLS4hQome6OrjmaYaGtYRlEhlZ6EFz+mMzaeUjHvguqUVs/xkt/xrT21g0Jm0SW
In4V8eV2u+XcCpuc4C7IpDAS8tCqa0rj8m7J8sFPhEJgsyzqxeniM6XZt24eQgzo9/nazLjRwN1a
XoE3RkWpVkGVxwaRq6Lc16k9X6UBjcSVQOnD7YN9tLukl/h6QgYBcd3ay9MyrHpFrwKjmOwgka3M
gyIsCey10+/SNvsf1cyzlvvRGikqMmUuqDJxvFubGUE7IZ9cBWE1q15qNTE4o5jLJM+pF1W2+dvO
j5vzyt7OT0yG1TlVolTBrNeJqza19a5a+vIq27V5EpscLo0iF9oNPJzkBtulVVLW1WE3VYHe6KML
GShFhLKW3mewZrhO7fx+BY+lkf5A1ksgwtDQ1t5SdXlMjsJWzll0Z2fVzzGrUCduoaxsB8M52cmj
e/ELVYBEBHHz3uN2qtlqmT2UAQRoxpeIjr/nWEniV2iC+V2jWO+Mrs28LNWKk1dFLGSbatGkg7uf
xUD8Rmthu1Cdgec8Z3AniMO4e8+Q+vJkFmN2UmV6AzDAz74yAyJkayaqa21RFqMMaOsnsDz3ka/p
bfdkh9GHEMnih9gq4iAGH+21EdNZccpu69MwPaEv1xPWz/rJrOLRiaI/ROjHLBGU+7sv3No1uXZv
wTy/LlPQpH0TrB0i53KzThc77s9qlof2HEIEJqRFqXR3grvBROKUeZygVe3sRyGP1t+1qk6yNy5d
kblxUo3fb7ugY4skLbzgorC4c0Fm2vWk6Xzauel0t6W2FwxJ2FwUfYlAodtnc+0HbxdsQ4Yoq8Ef
Qpq7/cb9ogP9NfUyUApb9RFHtj17dcr7um76k/N05F1FmZTHhGYRTMhbU/ZQzTCS2Hw8O3be6dMy
+U1ZWX+FXTE9wQOGz1sGwG+3N/TAKgRctKVgXBWsTrsNHSlGWvOoVQHsud19NY/SXTH2kVcR8P+f
s+vqkRRn178IiWjwLVCp4+R0g6YnGIMNGNsY+PXnYT4dabq61KVZrbR7sbvjwvENTyhsT4KiQbfq
yqDbATw7oJugBfQL/3SozhUgGwBzm5UKtTNBOqGiEVf3bRf/TKbIlrBXcTd1ErI/Bja32gXiyim5
8MlQdELBCa8JMvpzlUsNWaLVRdA0C1xli06BMuAog1B6OLUfUjIGBY/DawaQLzheeKUhR4SUO9q0
bV9MdNehskaiISuBER7IDp0UUPyNmpInxMbxiZmoWnYSlnKPcgZk+HZpTPWF9owP5Uw878rbcz4H
26/ZbkfoTAECCODP8822xGh3yjbMNu/J5dRoa3frqJpdYkaNfhrUTateXmNknd/LGBSxN5xSUbkB
JOBcRwQqsV5St6Iq07ruPmG2u8/LeJUefr65/owCABIQuyihvgDpBRVFDWySFZRwZHQXel78VVKq
yypi9gTLMrHX0ZDkhvP+tpuyKxfU+YWxjY6K5lYjjjcBgm3i/0pKI2sTWMbHtGR2WO/qLrqJmD/d
DA7F6tdP7qWREBGhbgMgwsaFeT7SPPaRgzpFVg7IelyedChJ5Vmm1Fe/W7srcI6LgwGLs1Go//Cb
zgZTNHHrGgLZnqytLuKKjIVDZ7QponBdPrz+ZZf2yUbC/f/Bzt5vTVe7eBaI8tEMAyDP2XhIAZM5
/IdRtmwQzRGERecthY4sUVBNG+IWpJp9yHVyrDOTvnt9lIsTB0AIOtR4J7D/n09c6gb4rgI3X0Lv
UL6tHPsIPJzdL3DqvfI9L0pd29bbVDKB7UEC+qIVBcmLNGyGCNxVoFRREI3ENxV3tMAjYm+HsQ4K
VUFNG/K0+hCNU/YGgdK/otf//IY/eA5gm1AzPYsI3KAkzzTw+RCO5Ddz2Aa5HyhyguD1UgbMW288
E7srL+d5UIBBEX2B6wEAO670cxq1IU1c+7zBZUYGW0p/1K5oOtykVRWOBw8p7ZVFvTQgQuituYjC
KaQani8qGC0VbyH/hA50BaqTAqsU0x2W2Uq8m6C56kV6YRNhNMCooAiKUOtcpGFiYmhsTCEmbIL+
mA5yuqnjhexTRO1X5vLiUHihUP3B1QJHzuef1lWToJ3LsrIKXVcG0eDnCuXovYpB8Pvno4F66Cbk
vVHMANV8PpSeCbIAMeGrGuVO9cCeBpAB3gYaidDrI114EsBphroOZKVgkXIe5JjGmwJ4wkBHYBTk
7TKF42f0gzl4bEn3AWksue2qlRU+cxVq3o5dGf7CfQanaZxKtEugRncOqgonxnkXAOmklqr5ELWL
vnVZey2SuzQKeuyofeB1Rb317Kap4VeUzjPuMypBa1axR7+GLR2uPASXtj5gaDhvoPNuyKLnizaQ
jiQjNFlKMzr53oyyPnHWTEWsbXYM0LYr/n3pgADdOhSgU0O/4/l4Fqaj6Zqg6Sr0ZA8yI8NPlQzh
G6jAh3UO0HO7J1PW3VfEqs9dqtk1K5YXad52u2wimRvNFYfvRZmZO0pQ5KUlmPc+27tkrIpKWfEE
WLn/cayHbt8EzOnSDCSeYXKjzQ4GiPQ9WrkSctmUp584ZdOVTXXpoKZIq2EmsOVCL/QRKjT3TLdS
CL+u0R7cmSXPoio5KXQDrxzUC8Eijg4wsXCNQ5/vHDYaMz9roEtBy1VBcgC33EDfLrXNgjxhiX0Y
Gh3trErmp9eX/uLMA+oEjPPW9gea4/na446NMg2udSn6mn9sVFgfoVw1PIKmzm5G7bdLHs3h5p8+
+CxnftJ95AYO7kD8TytKu77tn/xEVtfwMxfmAwcNBU1gg/DynFc2BIuFtZWiZTYGfW4wb8dVY8B6
QZFzCEzP8xFOr/vXp+PCguNehuvIVtzcKjjPZyMZVMtadPJLkClXZAoRRNmTZIK58LyWrw914b5E
4QTIDgLvGOz/7af8FcS6BEj1QOJ9c9wbd7DeBuaB6AGc6tYUBinCiYjuY6yk2MkVgpavj37hIsM2
A3sS9xiS0vPuVc+0aQitaQmwYnQc4euOPNHVVy6WS9MJY09ofGz6MsgJnn9jPJE1qlq8qWDMf++S
jn1k2IO3sE69RoK6cGUCbLVBBDchXARpz0dSXLG5k5jDCai1olfQsOkhsVqkq978vVVzfH3+Lo0H
fjweb6SZYKGevas+V3L0I02BUzESFPX2g9ZMHTzVd8UgxLU28p/u3t/ZPDYILGC37h+0+lF0Ovs+
PbEWizTS0nYg2vKaT9BlTnWhwnC4WbS3HmuVTfkIi8l8s/7NOZRz70WEbUudJkebkJ9Q2QuLmaCA
Dj8+d2VCLi01ro8UZwcrgJ7M8wUILXCplAoKSiWPsJ0ZeTvKWOQALVa71+f+2lBncyHwamrZYSgn
fHlqglSiYRfxN0kI9vjrQ104JojzEe6CMohe7/ktVLPaNg6CH6WKW3aI1w7t3tXrrxyTC5sJ+RHk
I6E6AL2ucyENBrivGWAaCqlXD+varRnLU6aD3RA7cJZMRn6//lnnZePtugH24U+xzQcM4iz5Q9d1
rQiBalUF992PQYZaVFqJe2/gy5cFpb8HaCyYvFu5uPKlF5YOERpKfH/QOaAUne2SnsiQugRfutkY
ZJA4yCka6Q8xU/JKBeriN26KSxhwMw3cJv2v+7VeFpRNQ1aVE7R2foF8Ab212vM7BSlp1XxZEhY+
pKNXnUZlxv3r83vxM2EyvNHigDA5J7pshjdRCmkQBPhN+EktwBgtWVKJnPbTNRLRpbFw723ACwgg
A8f7/Dv7Jo0WMhPcDJkMc7ijZjdN295kK6hN//5VKLpsWSD6yQjVno8Ed4YZeeZQQQiNK2+HUg9g
iXaSvS3qduLLlSfqUq4NwMNmFgKhn0246fl4fsJhTpzVVemmHqVKKhPzlYSNhQtY5ufe2oLOU5FP
q1ECBi0yLrpOD1c27IULAL9hg1uAnr4V4Z//hrpiMUhgHb4ZPjqfIf+sPio9XuveXgh2UNlHaxiF
uz+8vuej4OH0etKnKNpN0m92max7sOqSTa07KGNoCiV7L9DBv3ql4hpAwQR7FOUMRJznsot+2Lct
j/2qXIMx+Zr4jnxoHPvwz7vm2SBnq0ibuluHAIPMka5AN8FhC/ua7aVy7vfrQ73QhPrfB238Wsi3
Q/rw7HpptazaNLLbvcbkD5sa8TEM2/V74BF+s3hze1Auaj6xsJkLAOuG+kZnYy9z4wMCP01Lf237
bB939mwjREDNBOVfIMHPWxueqyMbr0FV2jpoDijczntY5m02TJXKhbqmoXJpH22SYshOt/78eb6S
LcGUwGEAw4Wsrtp8BNHI5iiOrdMJfbLszTyhRvUA4IS+FqFcuIYA20PIjpOCes2LHnIXzxT8DK/M
qhhwJCjfv+dKKFhotUv877HGn+44FMQ3tMl5vc/zUuFcZODdLoK+0K3yUQTmaucCyU+vb6lLC7g1
4v9/qLPzH4BSn/XaeWXdyagUM7V7KJNOe+pZU3RIz66Md2ka4QG4oUsgiQHU4fObIKCqcipZvDLw
7VwqaHyA7LIuDzKw5NPrn3Yp9duqXWgSbL5yL6DlU1ozE4RYsoX2y/c1gjhoHvnjd6sgTTyHJHy/
ZezQ9BV1Dr2M9ASpkzhXPkCxGgUklB9jVb7+my5N94ZzRQkuAjv13Es8qownUs/3Sp1SMLdAOJwe
Fcza8g6yDiewde2/WrVvV0a6QXmQaCLVP8d3LGJQnr/0HurgrUEQncJuy07DDm5YDytN5H+4DVHo
gO4QarcoJJ2tL7cV+ghBgznPOnlspIWfTAbaC9/ssF+fy0tbKQW5B4cS4OEXvU5E423rGlyG4IpX
H0XTfwFuhe6DlP2XTQvoJTgRaL4h1Dq7dgParJKT2SvXOUy/LFP9doxHV3IeXuMsb3/S+X0KUAUw
9AADAXK6ffNfQd2S1u2wUOyPdg51ObSxzitvvjZzl3YhKsBgJGHishf68cguVxR4cAhjsoyHTDv3
GajAKveEafesBU/69ZW6+FUoBYN5Aaxwep6Me35qF7eJM9q298s5bdRbuzTAob8+zMsNgRwGIAIg
mcDhelFS8VfoE3Zew3ZJTfrPYgRuuBi6pX/b1uugrwROFwZDwAT+E14j/ON8T8wmnOHC2bPdGsi1
iAylBx8OdsWUhu5KpL/Fnc83BUTJ4L4ATMYm7X6OERmgMgDiRYwz5aL0CaQ1dugG5+scNpL2VAO+
ewxUYpN8TWI651W0uCun+uUC4hdsnBlQV/6Q2Z5vS1iehLVTFLf27MTtbGRw03QQzX99/V5uy22U
jVm7UdrR7Ho+SjSZRTejYIDcMFkEHpdfISQqml2tBu+DF3Q8LF8f8eIiIiSF9vEGBTmvUVXLAFum
1jBUoEZ6alZeQQJCxbsarY1/ftPxcX8NdfZxdmGup/HIdmPfitIknbkbKmRMISPVu9e/6uJqEUjW
Y9OECCTO6gewGAizprZsp+cMPtSB1u99Rq9p616aOzSUtrt+q4ec05msimlHaoi79nykhzoZfjDJ
pj1P4Q/9+vdcHAk3B8D3CDJfYC3GKlqjaK4YaJqcnUhQ+e+6gcs+93nv/sNYAPhvTFy8mnjDnu/B
IOONPxvPKxXxbVkDS3fUi553BIC+f+6SQVBlyzexRlABOBeAjGU01Itn6q0KIo8ri9hxDBTsppL5
Glbm0o7Agwws75/axLkBjE8cC3ob1jswUc3O6DnY9OvU/vV1ujgKKtpbiR846XP2aZ8ZnqX1WO8q
Sgxs5Jy6b8dsvTLKdlDObsMNOIrCMirLGzf0+QpNM60devp8hwY/uzMw1NlHnkt3SkpxAA6JvPnn
rwL1A/UrtP3AvjiH5jbV1JGqJjW2QEuOYdfY97Xtrt1ELzObjY0ENwuQ5zbo1ll5MfY8pqKR8l0f
VFFhx2gqCGDCoNg33puwYXzHETpfeVguTOWzQc8uCtZKxaY65Tsy9j3gBN30ptPanjSPFMuzYTZX
KJAXdgjUlEG1wFOGDvS5b4d1oUbbBTe61DoqsJT0BCnHa3ZHFworm9DeZtsBITps+bMt0vSb0gQU
t3cexJkgG9ZCZz4dq12Pm6QgjReepq5jB8hV8duRxiC2hK3bvb5tLlxa4Hsj70ihsrp5mz7fpvR/
1nisBYKydwXU/sg+M151gG4z/fLvQyG1xj2MtxkIhrNlFBpdN1ACml3ly/E0zB7P12BYCz1m2ZUn
eiu2nR2+za4LJU4QS9Ew3P79X/EpeHyh7GsBw4wpW25SPJtvYUDSHgxe0kflb3WHqRcc0y0hmPD6
Z17YrRgbeCD8BdOj81WFVG4asES2O495ZBetc59DTz4oIoUHPBzcNQnQSyv493jbkf3rWxWr5JLE
GA8cYV1kjeuLjMXjbWgjcSUrvnD6UdTZkCdAMyKUC58PlTlpfBHRZheutf99lujrz7Fo3ioep10u
UAD8hsxOHl6f0IsfiOQQ3UDcOi94sxaHPmmgtrFTCeCS+O/EERiR4IYqW1/5wEtD4f7cZIrQaEYK
9fwDfb0lIopi7Rx3ZcUa/in0RnUYIbZ8ZahLc4m4B0Rr1MQBzdruoL+WrR+lGDWajDs4PECuLFP9
nvmwQqmXKX5cXdsfCPgJV0KuS3vz70G37/9r0NQkkQcrEJyL1B9uiGFBMXDR3/TW8ptsMv+qe4OT
vkF4tlwKnHmw9Z+PF9dQ8WmrWuzAzbuX0uE9t/UBoRc5VKAlFz3NrsUQl+YV7xO66NubgUzu+ZBT
uPhEUcdh4M3hnQE4ZAgT16QqQb1O6rzHFXTgY/bvLVbIMoP2A/zE5tVzfupJ6zOPhgvfmU7b3TTC
wsGjqbkzNvn578cBuMuNDrgpNJ87RHtNDyhi5fMdmPLJsYFsdcHnyBZD7+n/cPIgaA/sFxAhL2GX
oa3GKVWa78TI2WPCOnECfHw5LlN0reP/8slF7ggkKeKxDbZEzpbNNhla4Wva7IBB694A7drfxUZd
s/V9uf8xaxFKesDPxRvM4vnmgKTEVNmNMxXB7xb8f7snmQUTvfef1MKj8vWV2oLw568Q+sTQTUf6
gbozVLufj6aDtYMQPsDXaVfLg1pFth+Y95jYVuVpPbmjpkZANs9Uhyier/VtXh4EgMBQe4cw4Mar
PC/C19ZJG8wgg7VVlUC/b1pu4DzRv4+pNRASVhpgSTq+ff2TX16gkKEMUe4CJBliV+f98axt0rjL
qN4h/ZmKttX6AItkr4CT3L/av6PNBv4HEiCMB0j/uabWXNF68ugkd+BBwiK2sQzi4Ux3tM9DkjZX
QOQvIwqM9of+sYkA4L4+W0uKi4yMLSQ1q0jdOKDNyhVyDkWYAisks+6drKLoBHzK8fUJvTQu8M6b
BwB4b/Dlej5uN4K+aUKAT6JGpveTL5pHR2CCxJz3vpahOXQNhOnDBVv59YEvrCQAVxvdBbpa6OGc
Dcz9cZ0wsWLHxtGdgqldT2FqbQPYtfCvebFc/MoMRRVwJ6HOfq76ZqJZEatnsdOgSqBVYQOdp1r6
+9Yuj61y6kNH5VK0E7kGebv0mWiT/M83BQ/V2brG8xSi9O61uyHxEQ/KKTqoap1P3ejLK1vo4lDg
YoALgvsLR+T5UsIMELco19uMZhHaYKCLJd7IHmM1dFeO4aX5BKYI3F+gIwEvOL95VENF4/Vi12ag
R4I5qA+DN/UgBIfBpykawsMSJrYEC+SaRzvSzZcXDx79jQOLKhliqXOJYj05zdpqhlEBnISmKEfu
EbDcDXCRy3UdSOizVX5VF1U0L7iEsBtUaZnq49Kbm7BkMMGa88isM8lV46n3AXoRFWSbI9Xnzrn4
JAGYV9B3V2LIU5B3fo8e3t9dt8TsaUlBKypSOlOZ654qBZYqHEnyIU4NLEjhZumKhS94WUJZc4zD
69kdwV/oBsSXJvo2iVbJ0zxVmStDYyNT2AH/JQZqIStbS4CTczcO7dFPWqkLObDwC0fyNJbG1MsD
ZCRYc7DMet+SJaHHjrBW58HMeXZg+OpdaDlIcqafbVigElXrXbzdLSWF22Y5eI0GH1KPAZBCmMKT
r3smc4ibQAfRUcik5BpCYfea1/HvBkKrY9FBDvpX6pamPbWyN49VzFxcxvESfUhl0/gnD9AZwDsm
ZHr50qNceaiWTLyfWADBwzn1+e2a8SDex6GnfwBO1W61PyNubGPS+HZQGa9zF5LJFVXsTad2iFTw
kC3Ev2uJ76Lbel7ZJyQA4dtp5e57J7n4CmHq8TtAMwNgNFyMMGkJknvYQiYhavl9+LXXnryDWXX8
putq/TPwgCIofC6620VUeDj8EfmFDvzlEc/MOBysVfWbRrUeyyMt6dMAMKZfxoYTUUzhJFU5KYhT
5z5UEOp8laP3Q3kogeRTpcfllkLCYCg864dvTAQc0XFdK+EKI2yU7uYo7VDyh4MmHAviGRA/DY2g
LIdijvkU1Lp6CJbW8HIcYvOlqb15w7m2KSuyeRL3CsnJr7BB6JfzAWyA4wQo55NvXd0Wqp+j6D60
rIG7FhMQ6EyytrNlwHv5eRpp1RcLXSfAO5kZSmgP9Kcp6kgMi7EKhNxhtd1HMTEIaGlVzaaojMJa
MKHgSwaQRPwrRkQGfBA4w2NOLJs/k0q11Y3EYD/Al4lkAQsIgIqQICMEAMpmeXKQcbptO0V+QkYL
T1dLq3XYSQk1wV0LdaR2F6W2f6Np5KW59uno54yYeq9R107zpkrs7xBlzp+1T92NS6pWHHxvDT+Y
VLKw8PqOaMxJ5SMchXHaHjsXKjJNzPhSpIOgDBr3Htd7Vk/zWDopA75f/KnrIS0ctrKAlFm/vF15
s5KdcIxIyHr15G4UzmY5qk/+d+b8Dh11QGlPLgpbvH1D2/6YFAw580VK77aOJvYERZflfWJCFFLi
Zl6CQqCWf6c1mv4FmLo8/uGnnKZvlhYqfwOK7lMZp8qAsh8PsyrWao2arpzbfqj3C9DXNVYDeXbR
sQlwF2sJzKEBiqFf48EL4rdVOEdw+tAGiMDcpM6J0xQGA3T6PK1qk4OVknyX1kD4ZUiJ6H8DHgQY
7whBC383IKB/tEFj/Q4GHnUVF/gRVX/DIPDc5jw1tXtgbbBOORAw7i4dWy+GlHIPOKHzxrH5kngx
IBVz0HWuGFMvPUE/Z5xyG/haFykOlP4wzXG0HPqR2TZ33pr8grknu4fyHqkjiDgHyxvWIu4plNM4
Y9ngZoYYVcj2OwV5bMyhG22bRwPDi2zMe5XWwbs2Q/5frKThHwcbeDRPYz618PMLJmAdoCAE3aLB
cwBD6tn0Zc1EFOXZUi/8QKPJfk4SVpE8bVkWHufVQ9iGhz6t93Lhc7BfV6ho7Bfo2od3C/R65K9p
DVj1PhrrTr/rqz5+vwKKDgMHGpv+IQFOmt+bDJqYP4VXBd0thAxo/ZD6swi/QLguzO6zaWiDEmU1
790w1IPAhcBiAhCnjkQRkTmMinhpG37QQNr/oiK1d4lrnTmqAHfMPh2gFXukaa8Qy3NbK0hSqX4t
OtIQLCL3NBwsiDOHqK5cs0/aAUoTskrtrzrgfnTviJS/Z94nK6g0xKiirTob3jdyFR8HbzbVDWHg
NJcD4dm71PqB3KF5Jsc9XAf738SmHQHYql4+wmR3EoVFBMjvasNnsqf4PVG5WgqLuXgJBnbjk2rK
8lkojx+FF0NW32ZQ5oG0kta3UcwT9n0xU9+UY5esaxkLMQy5b3QbvtOKd/UbbEDVFsREwlOF9LHd
HlKEXxCX5ykoJWIRIT2QoSUqb8Y4MuAnszR9ByCD56uCaCvh52y4N5cTFF8hNqbbcdF7gY9R94Nm
QL/63LZGFtCrcFHOR0tuUSOd5JFOa0r33JcLrk1vtiidVTDRi3cZU9z85NHKvpooaXTBOpWlu94m
0UeR+m68a1iYccD74NH0HnBu0pRdTGAJA7liG4GrkIW1XWfIElG9IiTJajyh91M6SA+0AphsUwbR
vXqmv4NI1P6jEIE/fQ6AYqp3jVjBvZ7RX0yiPYFpdbYfNXFiA6KScQcJVohhaMOAptg7GSzqi88g
5OnlNcBH7d7T3gTpri6Gv/zBNE075DGw9c0vRIrQOMXjvLonBc88dUD32ZkPxPPHpdCDqnErQho0
KF3a9UDE12uLhy5aLMWRD/po32Q2VYDljeOQ98BeuTxd08H/RnnW9PmmSxVBRXweKIqDoJMXuL06
l7Msmodihu+BLmZYSqWFH7a4AYwP262tbmKWO1BeIMWzTFX9aCcil11tq6W+D+ehvx09IZqSj0rc
BbT15FFCw9svAifY09RgDSHnlrUCOHpAoIqGqxC1EWEszQH2TJaytpLONybGJZevIXNrMYtZf1kg
XfI4dQsFOnpM56qwHbd+XoGvdJrZFtrolhtcblNoPtuppha2IYRFeTOb5bGbTOIh4/RDViy4Uj9R
N8KCCf454hHq5rhyJRBRdRngKmjzxMYhf8N9g3wmiFsp85YZTkvQIWyicIeZMC7GOFzl3sDvui2N
57pwv1QCGXQLrTBRRtGyPOq5G6MiQA2N531N5hii5kZMBQrNJMRmXCf2wECLqX9q2ZhZFP1UtcCn
oxTXFYnIEAUHDTQ0cxyIrNmLfk6WuyFLdHzScR2FR9HNfD4mOjDDgXmVwW8HlkQusMgYJSUf1LAQ
1SLusbqiAKSrlOVxk3T0XsW9MPdDU8cWv20AjTUP03WJs3yJU099QYyqhs+pGvrqsZKU4Q70Ebw7
2JwmrR1uJxeuqF+HszHHoCLygQGrwcpUtbU5xVWm2Vjibx7/NdZMJih3d3oqJ0hHdjvitSPWpckQ
kuFykHHOxgAdc4h/aJ4vFIbh+TzZrD+iGjN4JTT2I/cOhsnxxwB/2npYAcZg+eyF47iTOAfDPvSX
7Dv8G4cqDwyQmkelGbwIkD9yvYsoQsdbF1P9IV1R29zFqUvBmOkYHA6aRJvxcTDC8/OZpH+Q+Qae
MykuiDpvRKJxE3lQ576fee1BehBPy1QGY8V/JHOaLTgvTfItdFWiCpdS9lYjJglLwC7io0d8qI4t
goqoQE5TG7iLBFUIJ7NY32H/VR56OM0Q5RRdiUcd0X4+dBr/rsvquC1b4KN/wwMFNpUDmqPveOzm
r8bJ5kGJCLVh3oIjf9cOIkb8oSqWoIjprDrWvmYgjvRgoIZVXU0lCdqo3kF9LBY7OkzBx6St0zE3
8aKgeTCJ7hGWHOCLeiIeaQGyQvhGzWAz5GBVUXNA3qV+rquRt9Rm2XCcpXBfoAZI75uFwjjHTsCr
I3oI8H+QiS76yNt0r9vIe+zizuIKrqPsZGE5+rOFaWv3NnM2fMTGjEakDsx7D4BDCl8uKdobYByq
j7H0pM5b5BPvqrZiCOj52H/AZ8X1bVp3DMPwzH+cvYUGRecF5p6S2Q8R8Oq1uiX9HH/WPqJYfEq1
mGOzkD4qdZRAlAMp2/oZzhg48RG1S3xAGjBWJ5UpkeazxPqUWV+Nj82ixjRvbcOgjtBPmG0fb92t
70L/RxezFu8sdBef4L0V/vR6BvHHxdDmfjYKL1tmJ5/nYsL1s8NRiL80Qplup0CCh+W9SRJRcNpD
3H3hjT3g0Jk1DxgPTtkYbqUjlzEIm0VCF3T2p7CIYmPTXRtNwV3PsUchr51UMm+0WGWBSmzVHamL
4w6aAlDI3iVh490gn/DYnvQj+VFbD8CedRolRxK9ihYvzIA3ZI06qh8QidkuZ51Ogr3GCwAuPToP
v8zSzzATnCB4dGiTtnoyq22QK9gmSnbA5hOS9yGwSRGSWwZWTx2OOV08sryPdBYg3oSoxu0QavzZ
gLn5AhrHXUeKdl3EYbWVm/OOy6h5Z6fA/wHfRWILptK228tkxvkfkT83OL+caLwLJPjRplSwsk8C
BPltRboAWXwC+ESPYuVcGCJCmKrGGW3zAEQ5l9dzN8WF6IEsRsVoQmWVOAcwutfFoNwoTb5PtR3n
HZ5tpvEwCxXkAfVVfOibJGx33ayaaWeTFDonvDe08LqpWrDAqK0c64b0TR6Mo80KErN6fJgrMTxI
6GCZHJo4NLuvkO4eJyGjz0BhVTbvne41nFNo9L6pgWdGiYevZS22tyGyIaxKfX9EWB82KIYVs03t
OxJr0DstqePmplPoKuYgeccfYLyol6MeGvp5Rfx414ws+Aazh07crRwqY3hTVzUUrhPR27CDO/qb
piPD9yb2RLdfEdX+mlc8xoXAT/zdgzyDm2RZ03sn0WbKESUaflzC3gpktqs0xTACeI1ULUkQQCTj
ep+wdMUu5THClm4l34ZuntiN0B3sGonL4qkAsS5BmyxOZAoRp1ljr8LnG+8Y0YI+2M4tKQo5KLQ8
Qqu1tTm4BfptyGS17p0/979kOy9TkSUzRUg1VwmqQUFcP21pCV44XNtuj5x3+onXIOBQN+w49OSE
xayQbOb7RM0wEZ8Xt5aS9R69jU0dPgLzHLzvBurXhT8t9oReZo3UKU2bt12cLFM+hNAsywlEouM8
S4T+GFQxfwqjMf5lZkPRla6G/jAbCI4VyNuQj8dIgROcQ6pu2myddG66DPKZvB9EhUs9WH7hAcj6
oh2t+xb1viewAJah3Wva7FFuQpIAUNXyRx874w6xpFqVmFPYnxBGwnfV2odBPs9rJHOvh8j7IRII
CHLM8fh98JvO5s1E7JwDkdF/SLPe3CVgCPR5h+3wOPaN+Myhu/aL10l1RDjrOcjRygYBiCan1q3q
i5vADMkHRVEp6CIlUSmH4yl6tqnxJKLGNrgxXHB+iGTIUFUbUdzOYeI4QzOLMtx1jRsdPxG4lA8F
OkKq3vXGRzrgyz58MDJd4O5T22nEh8fBEZPRMXj1RPGww58xvYd1HZpvjYxUW7LF9dj6tB5nxAJm
eELVJfURkLD5XYMIvoOHEKSI8sYR/2eCpjbL66ERGShKQj9JUMBIPowjEtd5nLOHcRx7CMfKJngf
eX7wjYraBcVsxvCHEbR/22DXr0WiwukmW9iQFp5BGHIiFvLDqEom/Q0M6WhWeI2J9/WC5Bbmrn7q
8jbIZrJLh8p5iNKcXHBDDfwL5HrEZ0WD9otufNQftL+wZG+qwT3pqe7f0aZH5VJTosMyGRLytapn
gUlDxWlFSznyn3jc/h9n57VlqZJl2V/Jcd+pRoselfUAhyNcq/AIjxeGh0IbwgADvr4nN7O7rosR
3rdeMjPSI5xzwDCx91pzWRcK8ZuK9EwjE2v1pvSHrxo2hSMHKCYD09GfXCtrKWalU8r+SXXywoXV
pnFaL9cLE19sFk3BihrLDBr3wZCFfTLLqfwiHAhccSYd9yd7roW3Uevce+mBIdxl+lJ+pnhbfDMq
ZxmxfzXTs4Gt1aS2sLIRcsmdz/BhjGi7SCxvvi0GuuxwGIL5Edkm0wQgFpdRSmiQGadtY7CFSmoO
cK2cp0OdkJkLos+xj52Xp3pYlc1CYcQftWxXJv02bZOZe91VxpxSMHP873PWyZ8TVjAZCt8n5MUa
KJNHHliiO1yrXhUtsuu+65KpN2ZYOT8X5uZHxOHNY+5IkxJE7rCNSLSGWbSquraPvLzUVLxaBlFR
jVfwqcte6j6VCPp0wAODSdvNgdtt66HfntpJMRWo0cqvAy0FXOl6g9qVE5jIaLJzViLFqeinMbCT
wsYpnFM91uT7ctaxH4cCyc6VU3I6jFi1B4/XY6jBpQ9ZNUNqBUd50vN8Nm+E7TGG1ol0yShTyrmm
4Ql4yhqz3D/21Hk54jWunZ1ZVBqreMiK6qy15mna17o2BKFR684cje7UGpFPCAY9i9l2p9CUrveM
7KKnFjJPBvtOPhPIeIrLh6AwlBWldDSg5pRZeV6RhqZdWgVH/d1kBVob+oNF8SZIHRudQ2kZbM0n
v6EaLovuXk16me/Gxp6HcKiDMbumap9+HUzQ3BhnyuFmqB1jwBsh3OtatFV6qljq75omm/AoZJwA
YrzszRhKbGsS+/rMnlUYjd1HZAUYh0GORRV3y1Tf94PHeXWcPXb0CVuPHo2OG1w24K6Bhw6DusLB
R7EowGC8hubosrg5lYN0qtSstQxrqbo2NCg53ptCadkxkEXxxKaIw6CWtB708IDKDJbOWt67WpLb
xz5zmseiLZpTKqzmKfft5NO4zMrdKsnw4Ad6E36kCg440Sqlc+aJsp2iOu1ojAWAsptwZr9WH+ba
8edTQ+HuiXgk+zbVvDKPOhb/IEyZBaqdrgxjJEE6GS9Ta/aAXlGLMUJQIxTchO9oTzOnjetsdYaH
blrKm6Zs2WsJv/EfeMF4XK2flOeNSjjss1L75p0eaFp+Ks3UQp87tGI7ZrgTf0ebzmVKz2UxKigN
crA5ItqcKYqJTd3icMjcJf6EbI9c4LaI6BU5BzudTLKdRGk3LJZuc8s8Im4aUc0F6wMOql2fOEZs
OZ2wKGtNxiW7uYmXCkeV41/0LSXTi54jHChASF5HR83TraOM5esoxiE/CwbJhJiO0jzK2s28SG2J
J1GTOP5PrXOM65RJh5e5TYcyrrw5+ARfx6AsmwvvaUk6lIYqGHyGWjJ696XsRUH4hIs5T9R964V5
AKYm9AlSyw65Mkdjr/uUB1jnuhTVpajqhPKek5ah1Xuj3Ha1/qFqqObt5qIzHkbbrj456WhfkUK7
EKjVQ8yOmnReDmgTbHpRlihaIKBaAFAryLIv/TAm8ogeNiUMJ6i+LzmmiLBb0ZZSwff0eu/3SaXH
rgicazGMvCbZXNDIcVN7ps7J1lPfTW7W3nq0xn7ZZjcVgIfZEjHHU3YN/bRGnFCtqfOtsofiG/l1
6B1X+DjHlOjG8qIRIwdPk8WAk4zrzWdU4gBs96kn81thbQ43R/TNB0rTtyIKxMCbiILeIgLX18nd
id71HSRvWtKjzSYsyPR9q0uDTMnMeShSOX/6fSf6HZ0kF7TJbfA3uibIsZeNU1kN8AZI3yA/UyxX
ViLnqJRMoqkkTCsxSqprnDFOdSXVLtOmYD/WxUdM5T/NbK/EHKQq4SBEsL7x1l4JVBjsA9b+rEbd
nfTntCctdysmWVcyK9S0g6fOpjJLoWOH05qxFMmBhWDHscu8hqZCxfb3d+WtYIYuK6oq8suoEOLN
fXlTBtNo6qwj4xNvtbjgSN88dFadfyC9fadnjXcbAuVmIoEn/frWL7akT7LWsZ6CkKN1qZgBXOc8
FWt2+LtfCPkPDn8bhQ4b4tfDKqND2lVpIOKgmoJwzFp1TtdD/6AJ/7Y5Tb5s4MMmQJFD5OI2uP+i
gGtqHpw/13wh2TMJ1F71s1m7/sFJXLyoK3l2vdbN97//au/dRRoejoHSd8sg2H7+l4tSn1aIp/w6
XrNORY0/W0c7aJK9zBrxgazw3ZcFzd1mQke+8caFoBGEtiKhF7GdpY/t2EwHa5pkRGdPXBDAkRxN
QIl7YJfysbHWPqoqs/mIJPp2bDIo//IZXo3N1NRSSw0B33cGHMTOqhIXmVaZf1/lsGWwQ2lGbQBA
5bVa0yMKeaE2EnMtN+RAMKahk1AjH9bJ/kZ3hq1BUU7ZE8qaj9jJ702C3OEN3UfiMwTal48UW+TK
jFSIWFT2eJF7HUrKJevRFoDxGzQ6yr8fQu9eDwaPi3oatoq5KT7+MoTyFmO+VvXgZ/VqiSndI9bW
Snc/OXTnxo3H+/vrveNK5Rk6iC+Qq3hMvtsz/ssF8Wim+uJUIk7qqs1O5cKVosZ0kotFucVVP1vD
nZT06wShNgQ2K9rIVqmtbmjakx+nTe2c1WNpfv7953p3aIE1g+cJhdz9U3zyl481CsfKEwCTMcnK
5VdtxFWuwXgOf3+Vd+826dpouJHPcD5/+eWzcR44DZpoy1bqAXmgNdeloWhVc+K7JLb9I/XoO7MS
ES/MtBCeqBi/lsZnbtc5E8eDmDTU4GSO47Cnz+lQRkP5pSeDc7t6fTP93W+5BR6A9QPWA0DZfM0o
XbvSsNm3iliKNvnpOUX5iC1quWqNeT0tNpbcD9ast5PTn1fEVk0MEvLA177RrJ6DPl+yJvacoYDA
69gPdhVQS/NXL8pRekeiYngvy0Adz/DQVNSoYn7/bN9oo7bPACrVRUOLOvK18HroJ7soFo2BrXsu
HKvVPyvtzes2UYAXVWrufb31o6Krxr/Lk+PKOHO45UAe+ACvRhV9NWtICgmUnLjt4zh0aYwyRYbt
ogiFmuyP2OBvRvF2PSxb5NEzT73ZN7GELumy1g2hN2bx7GduW+08jlTfVkCrXWSu/UdxGm/GMVfc
zMdbNgqqrtechbkO6Aqi9cZaNRFE57nyespQq+Tk75yjdfCuEFR4H0wJb1bX7aKI4T2gTKhtXwdx
5+MkfEhwTTy2vgiDYMUdSSsTtWD10R7lve+3rd9cZRMwvKWta6ZN20TEuadXXehodVcfYYYZfmit
+nDg6FB+Fdzcw+/H7J8vxovdJ98RljBCel5UmEGvhk4zoSxBH9TGGs6xu4EjLfWxgCjwqlAWhDRA
tY/U/Yq4a1P/M6pkQRlgStKLDHkWPYqUM1CGwOM+y4zEDyuTDuj/YDbBMLVtEulLvLH/svm0psxN
mthvG3HUKKzFqI/bgx9QB8rWZbr+/T15b3RTW0Vxz35uW4ZfztFp0A21zYk/blW34Fyqsv2sZfY5
wLoS8FXxkTP2LdWEZ8BquPnesDXwXy8v2Lo1rdF6aONE2ZSg9WS9YXORzucJyVXX3uKuQ9wvmfU0
aKZ3VeiivnHNqU/Cul/t21Yiff/7txzEJtM3KxXug9eL4TS03SRF0sbE39ZxIJv2SA0mi6FyGXsP
+cMH8/c7b5oBgSMAiEEIvfWamkC9whKprrjlhZUfx3745ixuGvvgcva/f7hvlnn2czjjOWhBdcMQ
8Gprt9pJZqcm7ZOC3bIMXT23foLJ+4hu+HYt2MYPCC4eqb0dC14+0lQR2ELoVxeXotX3SH6gSluW
duavlQotB8FGl3jWiSPDR2iqt+fJzSyCRJeZBJMYzM+Xlyb6PGg8ZXWxRWuSA3SJSMPzst0AzGqK
29F2T0OjxtjM2OfYQ9BeZ90ov3BE+iht9+1TJRXRQtZuOAZv0mu4dqk4R+oINEAE+MlRm9X8K8C3
c6MGpxs/GLHvXot9Jcd4iv/gHV9+a07DPiporuV3+hBWswVt1yjWcF6WMv79EHrvUlgrOe7Bod2g
hC8vJUanbVbf6WJ9kfaOIVadzKT+VBpd8cHs/Hawbm8h3AMgwtAqX89EtE0spK8Bj3IuVxlSIUYj
msm0TT+4e28MJYwZYPIGt48YMNaDl18Jz1in7LEgQqpfHuXgPmh4IHbrVMjYcQmeXi0KUN4mRui0
rvzglXzvfvIVKX5sGB4W3JcXl41uLdnKt1RaFex7ujUn1En5sezX9oNLvV1m/4wDJLKc95+9xKvv
iffAaJHL9LFXOMO+anX3ZmHnFOte0iK04Yzk0HYL+g+KHe++kx49tP973VdmANPtMr0kWxVJGXOC
6qb0VNe+sTdFK/eCGModlMP+VBdBwAoz9Per3fvPgrDqj2b2d4YUBz16rewJqYa89tGsdgptuBQ9
2R+jG6FL18/qovU+uM/vXoWdoQer2eWpvrrPNYEIGWfzPl7ore6oNA3nDbXtr3/7RdzQC5tzlAtR
c3k5cGCPGiyNXR+T0yUO7bRkMWl1ZjgLY/5ggXL5VS+3SbiLOcxwcMNCxuz68lINxLzU70xekK7q
Y78ilzOVlvg58z6F/gwe54M38t0LEvus8x1MHMfbSP7LcTTzZwNtiNfTbALjqLBT76rS+YGyAPuB
U1YfPLB33sFt3oQpBjsGifOrZZEE5ozcl0YCSEitKBeOTsGj0qOFm/rBy/De2HCIbsVqyMIA+/fl
N0M67c1VQEJGz92+NRSpX7vABTPwwSN77zpsqDkygGxx/dduETLh2qwsU9C7g+/HQTJc4QT5KCvt
vfv2ZzImb5SHw3D7EH95TCNnWS1NVB+rLAATS6dgn3rjunMEr/jvR/s7cxfxXVtOBbsKvtirOUQa
zjD1c0sCnG1tUb8g9pJconeZ8vkS3rwbjfn0t5GQDHuMRdQWt+qr9zqtjHitrJ0KJWOj5tAe9Ko/
buaKdpHGB2vdO3eSeUD3t/hktk6veQEGtkKhAiFjvyDqQ5XE2hX4hiPl03v7/Z18Z2RwG8ECeRuc
AEfhy4cmN883WycZVwS43NCC8kJ7cKYPxvk7bzArmsGehIpp4LzO83QFxK95tRnnVbnERdZkR0Hj
jXwFen6Ukf8HOyAcoZSCockyGb62oJqJtIxqGYe4ybB8j/rshZ1gB1jU2fyvesP/+j7/7/Rnc/Ov
iU/+13/y5+9Nu9AWz4ZXf/yv6/anuB/6nz+Hy+f2P7d/+v/+6st/+F+X+fe+kc2v4fXfevGP+P3/
vv7ueXh+8YdYDPmw3I4/++Xup6Tm+OcF+KTb3/z//eE/fv75Wx6W9uc///jejGLYfhvNBfHHv390
+vHPPyha/WUsbb//3z+8eq75d59EPvz88Y/zXKQ/mvrNP/z5LId//mH8x9YI4ODEsY5KBcvTH/9Q
P7efaP5/EOZm8nC9jXfK1pGXWDT9kP3zD1f/DyCom4OP5weNwOb9l824/cgO+JHFu7ERJyD4O3/8
3xvw4lH996P7hxjrmyYXg+QbbVP5fy9l27YHvhpuZbhxLM3m67V5BeVu+zmBZvvivr5sw6voeH57
vvsV7I4fwYT+Vbd4eTGqjuTr8Mm5FXy5l68aCNdsNUYji2g5LR0ykKb3/L2C8T6FxPQF2oGExwDN
dyqbXUm8yqNRd/ne11r7VOmJl1+tKvV/JWVj/JqlaM603E1PS7V4+7n28gc/5dA4y6Ziy7Su88ET
XXuzZS+fu4tpfxGq6w8482002QO4qahxFv1rPg/5V9covDxSreZ+toYKACyuIpMw8Xnupl1XYSoI
u9zHtUlwtX2vSqT912UgcDZAU6vWs9Sa2ukUpLVr7Ouy8L+Yo6+JXTNwMo/Rdq5YwBE+/0QA7arj
kDpoZ5JEsy1Kc7oxo4jQCw8JCuemqDekouA/dW23B5Q8OyfNo9Z9ZwYZguYkN+YZTTRKsyifyIQ7
0z2t4sbhbcTpZKH5JUoy+IRcDmOIW3XpkbbFwiWCuX7KmrW6VmvZ2sjKJKBZgdgpWk0fimiLtSAP
63aZLinXJkWk1rQqo6quZu9QW3YSk/2SoaxVqXdRIGBqtj0yypk5mVxzT2VZkl6JfPjHsAJ/C6vW
XRw2Yo3X32QqMYYTdW0UL7bwgp5a3VLdN6h8rk2znfN4Fk15aS5U2UMHSQu7YQhr6OdyWzyhJ8jb
sz5olROhskJZKhfrG7Ib17+tArX0e1QsfGBHYr6wV07DG7ZTiXBgwbr2VmTDD2szQy6ug1Z0MSqW
QJ6GdtC/IexdDhgmRR46S8Fuhw6rp877ovefqA2Qx1kkqTroq1zSI2uV9Ql6bt5FBSbI20m1Vo9s
xc0fgsHrjdAzNfEdsZf6QY2q+9IsSr+0vSo/Igv1zketrDUEh5NHdlEw+XWY6e56Ctg1PJRAzu/Q
1XTjTi25R9JW1p3bePrQL1Weed9WWHSSzlzWGC0tcgSp0vKxMfruhtSqyg0TwO9Hv5hgJcu0QH8i
1il5dup8/g5nXPpR4Mv1MDaNnoSWRz1iV2zapHgsCACN0EAkka8t4rlei/IIFch67IwxcHaVnzQ/
0WRI6IGFhw4oa+pVx5TkPaeZYwL7M5LmNu+d9tD7jkkEHLnj16BMsSrqpb4W4ZQHZDqMeuqlMaps
lUajlVAo1gxzPPToYA6M7sEPSxcp5145qBcw3uXi0pcOKVwIo/FBrHraOie3ceCWz+Wi7wUv6zd3
Mco0LOvJ+Ajl+2pXsIUekdYQMC1vXWKKXy+nqtooB90eXCOs+l2j60e3T49/WSv+PRX/dep99wp0
YtjzYn1nlX55BQnIth9LrtD1Yb96Rz39KLXgoyu8mm6DdlRW3XKFGhEp38Eb5P/kO7DRpdmAauIN
ytJAW8RQcQx8IuhmUeMVH22pzW379d9rBoxRarxAchxOIaBrITq9vE141bLOKhLGwYA87DIbW/2e
BE7/c55i6jnXe2ztfDPSP82S0Bph50lstl51aWDe7Xa+JQt3381j/XnuOJ9Gkn7j+qU3Jr0+djhq
jEPi5Pp8oWs6JiSjQg71wdHj5dZvo6RS9gLzRSYtHWDOBy+/QdeUYAc6zwiD1bjQhx+oys/sRo8b
ZX9wpZe75n9dCRqzw5YZ+Qj/4+WVNNuQmV5pRmgu7UPi98X55K23UEE+SjN5/0KcBSjBA/p5rTRY
K+HW2PcA0I/urs575JrIJAP15fevyNs7Rx0c4A07c579m5dwxsKKeG8xQ93FAzXpTVQJ/2kW7lFT
5QfXenmg2u4dkI8tFIf/IOPw9Ykj98oBmZqwwhGFnSj2eO3DGWyYKc+zjwoirypAf16ML4WoZpNq
bJqClw+qdPHl+HNm4xGxosp91K0d6wP9Xzz4z95016dnfn1hyY9ihzbuML/6xfuEsogvSG+bhob+
Boep7LZPW4xkYWc644NnTIUbLj01aQQjY3rNqWu2omapvB9mpVVnKYFIdxZI/o2T2OH474mgPbLI
59dFAxEiKt1WZFHWJJiXXWfUvrS4Hw6T0+p1ZLIcnhfG2H5aAqScoYPZ/yFZcuMpWWXwNfFx9YbS
rznTmU6X5DvDrcYOQfiIryu3XLXsNm+JFhXB5kxo1+FE7gh/u3PV9K1qFRg5LzXVJ7f1Zy/qOwM7
tyP9O2dEyniXQhYQ+EDsdT6r9US3ztNW6d9IQMxvqjKRa6hZxE5FyiVET2894m8t9H13CDx+sj4Q
GT3rAidhOgetH6bL0K67LfzmXkk3N7G6IvE/C7Aw3xMG3DenuXWw0baa/JEv6XDjiKw51Whk8Cwi
oLLhxHYkFtOX3smWwLTDNLrWpWUriYePjYlO7pDf6KE/NZq9G6DS6Pu5MRCu51qFXWBEkrcblrKe
r9u1g4ecmF19WffL9JwQdXvepZ21y7pOvw0wzdwYvdkQVWO7F/4KBkOb2EqBghiLYgecuLlGz00/
ZZpQYd+nc4V3tug6iSuklM18KTWZooxy5aSlkYEWzo0KOZTjARMJbN269LxlZwHzu2+Fl2aRzP3y
KVgJhme+OzrNnOwzv7du2RQG90owhx/wVe+rGkmmPmohw87yHrHiJBdaT48tqpMxvWjzUqgzHqa5
l50372Y/mc7GJl3qUO9TtNx2W4gHxVsTU3l2570gesS+GINywqFPD8O5GFKFJch3tcfWXOk+BuMo
48mlTsGodvvshs3DJp4uOn+PpbrFFpQ3/eU44NCXmgZDYbD6/GQSMtncjcOit/s5WYLxvOZWXgeZ
351UErB4CLGo5aFk7FgHxa9z8Q8YdclepeqoeD0Mdo5r14SD0A8C5KJs1YK5smEsh7nZ+Pt0aVB9
sDtUe0nPujrr1JQVB6ebVGWGDTht81qVqSy+TzqCHTLG4aUfoX1U6p6KdvEsMaM057BgvRMpMqJE
bN5UbrTUgfPgUtXNLwZLyCYM8qV2QLj2xdduHYp22NmjDCCFs6ofbE5iOJ6KocIVYuDr35g0Lpp9
9pafsSr39j7HzbdD0D3shb0E9xkUwL2z2BhUgG0Nz2ZlZ3tbI2NIW1R/MwNUYutst79MQxFir9fm
Pi80nzj7fnymIaMwfOXwR+a58vE+oszogYd3I/37MZkAzPraJ5ngtA8FJiJoEOmY/WjGwL/DeJlr
EOrF+rm3LFWFsB7W5yCDTRQ5iS72npqcM2m2uK4JL0G2JJPhCwYH/3lZOkOE3jxaB80dhpsJXAmm
KSdH4t139RlWJ0N79mRmGZgmcy0eAa2V+LqTudq15pxqMeXZTEUZk9x0KNdKXtjr8rmhEfqMJl5c
GKJYvxe5m/gHVddBE3MApmNs15muDrhLEfyjXs4/LaBbLFTkWn8gSE3rdxSMbDBrpBv9UgPhs2WL
+eEOWEXvHvSgrZxzfRSzeQ2alJAgwyK2Z1c6/bBeOHaOT7HT0kWPMLoF3VHL+1VHuyzmW06Xqrvs
yTQYH+vRURRWO72yu3w35K2900Xebw4QU9snRabP0N3M+YHPLXa0MtWzDme7fRo4KUH3sJk6hKsy
dz9MiFrOrQJD6zHT2IzhrSumg+gMdTATZXQHHFDND7exK3pEhdmf1V2vqYj42TX2qiC3w0mX2l2m
Q/LYA2HLP0G8cD6JcUYzXoj2LGiNDGsevqZd5w/Lo99a7nphyFy/1JZ1Hh+6Xi/NiPxHcTNoRXYY
KX99U4gj8nAM2szcu+XaWrHeZD6GfTC8kZjT9rzq0947NgP4q1OXGFRpMY2sKPrydWnVPee+Yj2r
8FA0e29YTfvGG2xZfxkSuFB7Oweoc+vqLorOetSh1tSN8bUi50Ps/Nzp7BvF/vFiC9+85fS12jDI
lYkKUqXZDsl7emXYwgXUPOL1Xt12MSN/i8otwnzQWOy6ZXbTZ8hfTn/l2eMiENsts78vRnAUxxnp
gfk4gAnhkOWq+dwD/HdsJN2ry2UyrHQ7gvenxdSa+7qdgpY3B5/VOVGCzrTz9Sa4oZ9rBsQ8LDUB
Ylhu04hQafTnxpCO8FuSXnabuYXOQpQubrXHDbrRXnR/Lc81Z3N5FtQu7qaAt+U4laTcHVkb+qND
uaW+6oNGHnI9dT6DZ8nQjFBwwFRnTMNxJabjc6qp9cvKBODtU5T2YF78pSCMrphOXeUavCUuPSLi
wjMDfFE/3gxrPnkXdZvNRmRPS2rsSzkTxNMsgXVnD6vgzs7q0ErePsz04GOSJcnvrVLqHAkSK3YL
M4nX0ccKs7CrOAApWvLQKGa2I+SmYeN0MocZzFuN5pCtK4ymCvfgqdcnw7goA1fB/TeaRNzZje21
cTlO+j3Kc00cZMBzx4/VB96VYy3pncYhRexVu9qf1iy7Y5o2CjxQE+ZpgDpj8YXGQ6Cuaq0qIk+K
7gqAu+1f5KnUKRH1VT+eNyanqL3pFhQIBmFtBh69X1hMdR/9d1toUbIU8xk2GWz9K1uruRyq+qs2
VxXv3eQrO1ykghtHWFNbhUY527HVUfb8pmmdEdcKLdYutVr9aDsIVy5qHCrOMfctrcR9jnuHnWe6
2XS0oFso1xiOVGGSPHOKJ7nGsFXxqAYjZxnrq8C/co21qM+xxQUiQrxvthgBRXqCF8mv6KfV+bIG
OjUIPx2aw2SAfGCu7UvjCDgvd07pOpbiTJZlsfM7BfPbqmWZ3hnJOk476nplF/nQlXa1JlKAGe7K
DqpdHnyJ6/9ed5zIyPPiDE5HvxPUZXYqtY4dzr+rzF7LQ6KCbJ8OVRclhpvuU95+2FajbvOE5/k4
g2mLK/QB665JXf+ixL4tfxHFhnlywjCputw5yErTBGttWQyhl8h6up1q1ZVxMoHkA5rlDVdZIPSn
upsxSJVElcQalqvzWmKWwusU2LBePH1e9sqVdvVFUTvJwq6pTYnTeDEuzEHC0cD1Ol3oy9CYl0Fp
o2Cbx6D6VrC4sjHQgvQkSpdImKZU7vk8KfemSNb6BvZv4z+rckrTx0AX7c6EZ1ewpLneU5Im/T6z
CDiqGqXYTGj6kzaj3YuoP8vb2TLxmdW1dM/N2vApOgDviINA1VrUFZmPKjHR8I3Rgp8xrLFd3DdN
O4sze9WSb7WJJ9eoTaE9cYwagR7l7YLhXmS+t+XHAaHn3i/PA7jQ5YfpwU77ZvQN8KXRg6a206u8
r+8xiDGFDMAgIHsHGXstirc7+AJGvaPOF8Sm1Sw4uaY5i2ZTWg/jUnNOqFt9OVsoEJ60jWyFazXR
/AtWjCmqsiDFcAX05JewS3bQVDXDGVTZUpbn41iHYhGWHYvAzeRuWXsNnTHCBY9gqmMB5fR6zvXq
geb7wFZeUhlCizvxAuioj+trrFLUpw1Cxlcs0yMcG9AwWOD7cvVulVl0VqhW6V/5HTptThnO1agv
nKHsevxV5U71iVfOP3ht6Z/LoDX3mi+1X0bKm4W/rllOSscvduYkWaefr3NrsWtcRPrdtdsRmufa
ap9Gq4T7hEYpgWVbGLjV2aPqe2PNl3m3YIyaHluEW5zCgoI62oytr3c0WYQcs/ot6qa8kBWpqzGd
AGFEQ9eYh6Sfk/WUr+uClw5BWx4ZstYPtRIdFqhqUsVJc5VnnvqiS8WFX0E9CB0G7Ze898QGLEAc
HmPjb8RFOUL+aTJs5yemxezEoSqpokpa4GONQi3fWQ0KzHVrbeXhnOnmWdpt564cGoYhBdwvtwJ6
VKQDtgW9deWxLdJM3fmzDViiR1Z6swA9+NZhvb+k1+UcEg8yJmzfzawMi6y5APelvugTTdHQE7Ma
zZ0Y3YFpMx1mL1ZrVXQXALAy7wwLbVE/YK2mNEnOOSiEzmrLLxaH4hIiVz3dAVyzbrU5kV994HBz
nM3uep5m+nBO3pYNkNoEiJfatS4uV6V0XPb50Gd3boJ+lGXSzsHhjNpyrk14kOPO1uer0hvEUdpT
r7azSTmHaeeS2kngxvcW8sy1pvVCnqg6lt/g9XQDRLkdqRhBu18XIykvHcJcnmBWE7htDr2Fbyzf
uOYkhHwugCHhkWfZBVJHfb4KO5xBHGNYfyCwShN4h9v3O7dxO5YA6bUXVgG84FQE7OMHCasVx2W1
WyocTgS3EFpRTsN+mYvqrsU/G+t658Wj5VsiVEL3DwFqxK8gU5yHdmkJOBSJj6dlqPLbBvvrI8y0
9ptY9fLaoRYVV7MrEWaCGXgy+9ajQGd0576Z91fZulEB5jZFXGlnavocuG3+q2owMNN4CQiAtzfS
4YSuigfVUyY2WBN3ws2H66WxTUAS2Es+NbjtzzKZ5eTa+ea655VzwBHYthvVyv2OP1q7LKmrF3iP
dXHLlrR5GieDLKGcLx/WKxCpyLYSMBEC4/YSTgPu0ZBWkHmykFwe3GmWF2VeVheM6M08axd7Pnp3
a5mN8aDs6j4RbBMcqhshgkUd0C+5jDDL9W79xURDOkygAnufuJk6LezfYVisQnyW/dhmB36bfVXC
bmo3EhGckqmxvvskqMcK/9tJrR74C4RByoCAxVkkAdf85He1dmxmHKWhNssxiyypsWTgul3n2LMz
KFtkJksSxQr/EexosDc5SX5xs8FuTqbU8PeVnSvOcrP1d0GFYzqcUre81XJ/fgIWWt+5nYHtVUvn
84pGzYXqExAVFhKfKzCf9XFarPKuTwYv1jvfiYRXNdeDzIOjWwYQAHwO76HkvFfv3MFVX8fRqXeD
Z8KSK2ae145B4Iz7DB2UF7e6FhxQ9hhaqGY+QJR3IvnUubN/WLGp74BQGPT8FvbfnVmcZ7lcjylN
glNPPlsCpcYadkJN8qxe7PkhoI1zmyFqqUPlzIkb53ndQpZztBWuiG3dj5VyD9AVZkE67lSLqMuX
8tiYCRULIs5w0I8SGsloqL2hNBYeb2mSPOT/nsr/Q9p5LcmNZFv2hwZm0OIVQKiMiNSC5AssqaC1
xtfPQtad25mIsAirnjI2WWVk0+EOd4f7Ofus7aYgNhy1EkcKS6HVcE2vI/qLEHZ4EGQz4JpcVgeq
xhvXLEgaYsYXbrSefU2TxgJIKVBt+F1Wmr4mYyTHm5j9Y7QlLfHXqOowuZ2r5BwDRe8hk9DFwC2r
tD9+HecrvvTZjxZ6BcYi0aOHSrY7Am/U3Pnw/GKOsfGUtnnacmw12vjXZFrF21gJarcWJlNM7hkO
ls+AMsqAFIr5YQPujJ+nVLijOB8Zbz/HBjkHDKa4UeXcGLdh1IjjIfMl7T0PVRhaeCvnboVmVVuH
oM8gplSJvKLeH6ScJZVG5ASVF6/LoONzBFTjV+fp7Qp27L0qRX7p1AU3KVtCoXloO5YO9m+y07Gm
7uuMEl19JDI1pjLV5I0cTN+szFO/ASjpHwmCcZe0wE3tTVaXRLiyBtaYQeusoHzJJOImEjarPpzC
Jw9E3bpSQmNlSZkXrguy0RGcOibBCj4cNmxYs5SaI4SScYC3JySOqVT+g05lsWoX5N85/TLzbC5i
Q/fkTZVdvAoHknhRuhGlQtzVOan9dRxzUasPYoIBi5UKv5ux9SYKY0fxj9fqgrQSvBSmkNQHa82r
pn1fGTlZSaiMwbbPqvrdUFN1IxpAacs2D0GeNxJN97VCTa0gdtWDLBTS3ZDw4qxYbFexlfaumIY9
5yGp8W7VHEGoXZZ4qjtiVk/aERzgc16074ZZdcfJlMdHtbPCAzCuiV1WIrV2o22Ch5jptx09UGmg
xziPb4xKa79NVEEbN2KTDuy2eZkficmPHA9zLk0DaJGdZHKP5f5U6q/cDUFzmlm/wi5k6LY+Uo3f
BYfKxoZcn7pdwdQAXoBxkEl0Co61pDaET+LuteEc/DPJdd5DhZUQ7PBGCRI3MHOKdAyRO9mRgvTM
2oKdDFuwHEMLWkXOymMAECZac2RTFSeaxuzFSqVAckNC4HdD0KHcrlqFjaOE1uhTulB2xq2iJPna
7Br8sxGmgO7JSND+lNseDgluIe1ODpLa2nic9d9BNOkbRE7xu4CuuHCNXpZuvCkaxDWXh7HfhKV1
x7LERI3IQUD5sq2Fg+btrKpVtbVVA5elUpxLwtrgPHQsYkyJbd8rLDcq/OpbEYIRquqaBHhipd5b
xZXHcuTWhGCU88pedYKwUG6mqFYelZxEsddB3NBTnn8t9kLquVVkcmxSOrnGRxAGJJgYyraFrdLr
1dHzR/M3Ac0/uZw+eHAHNbseTPlu1MIc2iVpeLjQmD8/KY3aYlAgh38VBEkF5wQIUStTAJ+WGQBn
gPiCTjvA+wXT5Alw0uyy1qjJ93XcI/3CTEWHa8/wqnqoLIDYxdEe2X5HSKlNJGUnT4XYboAWtpB3
+rpKV7gxQAVt1XYuvPfTKlpHQoAcu5JS8pONKHTe85DUVeOC9Ji6Ncllb7RJCHpH07eM2K7DIq43
MSCigxAiHIRF6I/WNkiJ798GVO1AT6u0AYytOYa/JILjoOEFapUjNSs1+EH+aGwB6UXCBnWK/o68
QertgpOT7lp+0m4oKJniBx+0w/NchdE5LTP7ADuJ5zAKX4x3Vh8LglNpBFlg/AWFHt3LliEYLjH7
ltA/QwaBoi779zSoe9kplbJ87wjTTb8bLlrJfce5d4ddlzxsM8QCjV0Xsvwg+bkeu8D6pGdoknK0
9VVFqrdWrnhO02QU2QpCeld5ev3USrFG3LwUpT8TxMn1rG4VbKCSKTH4QSlaR9SD6JAw7utBqXQi
0JK45mwSHtWu8aZNIvjVQ+3L7bZHRsA1qrKmuwajh3uOdf0t5fyUHc4UFwIKosGfgpj0OxtbsQJd
o1E+QK7Wh6KVRdqwEfO0V+FpUoca6LX3mimmCLUhq8wDYpl85CZMFP6xlVnYTsgkfk2njCOjPwUC
RwMwfa8IABDExZAugtXUAYBAIEH81G5BpLyGFeEA9mYdJnaS4FwMxOrgNwBdRyOG051Rhsw1bnin
sdhbIfUpn4RJqF6StNDIrPHF+qOCp75P0sh0M/aKZtNRHLlKdL3hHmzWQbrPCRc+NeOk9gC+YkU+
hFpr/U0abq626LUSXC2vrvuNIlK3vbYMX4XbNxUm/ITGSrYQEtC95PBEdlkaqwJD0+Wb2I/L76k2
akevFYqdaDX9k6iIwJKipAM88scqCuEhFepqHVm/Q2BAllZJLolOIgcDB9DE0TMRDo9OcfqfWuqt
EoeoCOpVlnmRso+DNHiLvKCoVmGbcDUTK+YzOWWAFpZPOVzyDAw7zl1FDzAf7v264C3mqEeaoeWi
UUT7NIBmV+e6gUSlHtv9mBEIOYieavlr1YJYd1M0fVOA2ssyUga86tvZK6NbZW1HLYXlxZ1sV/Ik
+Husn8gQptnUHFTPI8DHGw+Jn3GlSO6A+Yp2kZEYgr8eBRhP9YFPgH4ka4WapCq2IjnDx3L+6PqN
yczTrSKusBcarR8k+iTIe5lchTYzVV2FFZRzbvjAoMFcZnedkXESjIk7MlTc3tYDsdF4ExkJ3wXA
rVzP+rAaoxtJ6oxvUiyHe6HHlRmeVdNKtjYopexkgXTjW1Efummfl7Idk4/4SQlHFq6riiKdt6Ig
Z2Fj+BKEm6pQ+NhWoZGvOsEDFcqIWg9F3037wIqG+CEjPUfPzMZP7qVGMx+wRm2ymyQaMZ5NM0N4
mepCvBN9fyptMSVspAGDhywvToD+JlmXOehY+nBMi8l4U8Q5FO4LjS6vlCzRD8wlavqLkEqisWmz
m6GR1J+cOBkhijqKD03uS163E/mcRGnga6e1MW3k1DQbN/L9SH4uOYpJjozBW05gcWpprxXACLG0
dbIEOiBK3aTq2U70TnjNvaHcRgafVBsM3fiTFycdQwMnsR8x3baBMcnCE0nRhORKhyCOwJ2hPPWN
KcxBR692Y6kmIKBFFbZU5J66HZAfP8blryiqjV9r03OkhV3iJv0wvDSAmF1qSpXDSLj6gSx69CND
2L9FvYmjl0FtXLwNqgwF2KDJKxSDxChTDzrJSk3q6CmDigtXvYjzySUwYT2lcPiaY9JgbfzY5B5M
9dRMJu7GnSmNayQMRbLGJQkWbJ/5kFTixtD/UlwnJrumLxqSNSn7o6NYSb0LWs4QPwuSOBCS4QYG
j7WXxj1TFjyOM44qIX3NrPqXrosAJHpDmL3U/WBxRq5Nouhk1wUBWCFh8zXOF0Lw0HhNQeorjOvv
MF7SXSFOwVYNciUHrppMr2GtqKgdh/gJfClxJdXrPYF3p0PpJ84Btj0qw6FyCMcU4qHB2zC8jTUh
EB+DADitHTG3jL3GJ3uXpqMU3kRkmbmTBoy+PZpy+45ItLmV4r5EzFVb+kMosw87PYWP9yaMlyeF
a79qQ7Mrwhuv0YsHSN5DC1oMhhrkLf+7zkGotrvBI9YYUUPHBace38vYBIPW+nXYOT5svd6R+W4P
e2Hyw9aRqOypXfwJwnsFZve0SzSvzN/KKepvk1AXuY3DxXzLRBQItijVzXOj6dXzqBsKaWC9EAj2
hzkldGUVuJMlyGCplBZm8Thxh3DSMpYJJhVteiCglzzw7IKEX4HUqL/isa32HeChe0nnYCKr5fRa
lGNwzHEnchVS7q40Jd2NTthE5HWSOdBtDay9vxl1wET2qCRmldllEhkzS64h82mIlfwAQU/+rYoF
6N+AYq11nCDo/B5yBiT2OaKLAAfYGICJQsJqWgTQYZCNH1LRmnsF527C6pVYuhb01XjTV2IIGBCs
9BqQmvjQ5XK3kUMdj/U0HNUXr07YYTuoXhujwaJs23InJmuZ1tJWhjjcAqO2Gqrtet9aaSQn/vLJ
kmBWFJXpelqUvNdtVR2RFQb3+RCjKGRaZcBAif/lLsbBoOkyZLLtYymX8n0dtuE6TLvhVrRE+ZtU
NdJBHySNSmD+Kkh/QMyysNbSVViSQkzkvliPdT4yS9Qstbte1LuV0gmReUPqZ3gjUpStOTmLk52O
RbOvlMA/GlphvIotPO2hktvbom+tbejH5DsTctDcVySfAD6JsYwzKYn/36wlb9UVtXUfVTi8ionH
A/m6soZyJt4pwOQJ5CSN6aZsJ2+tyOFeZGqu0DOag914gZz+9XzOfoewR+d4AyS+DlwvYT/eckhH
/Rr0eFskvZc+RVLd/1Cy0M9sAqPQAqEnVcp9EHpFvUXHl93ActC3OILora0lQ86MFoX0cUTfQDoz
KqM/ouxN3+VaIzMikmmrtoQrx5dyAg19DMgAMhZqWng4DrSobXuLalSFZbjxRNWrXKWJKmwYhDh5
9H2TqANCFumxJ4bJSYqoG+xzuYNqKJD2tNImwfgjVMyXdPJybaV3rVGu6gjEvdulaeumERDlnQd1
MXDT1iiENScKoHYJOcItfIIpeR7DabA7Ie0PMuc6yx5jdrl1zidtj+6vlTZAUbJ7zeSQM3p4eBN5
lWqf643ocW6ZX9zaqzlU3xHnNP0f3VTKLJRKm5NbZBFcP+38YxvWCKWVMWu6Vz3nmGX5Y41tcylo
w66VJ5Wos0kgjSWOm8okQCg32CYFp4ayZwekdKek6Vb6CLM6TuJ7bwCJdgNhO34M2oy0PK9iT7nO
9EK23a9vQ1HyIuKHEA3Jf/rPhRCyrvo2uvUlnSA1Qj0fRQnn9GiNYwdXWC71rIuJAWsdjEkrFxuB
crDHIah+VR11rY6eN90PLdLYtDwA0vc1hNfBjclvJVDdMmrVyUpkjy2tPqpjlu49trFbrjD6XdsM
1YMUgu61cT0gY9Gl9dryBO4rZhN3ztQW1nymT9R1lNcq5fWylm5bk33YAcwjPpI4I/Bb8nflIOBU
bzfyseluGl1v7/qyQ9+YlJXirysNIwV7ILKQ2tjPxzLKCxw4lEiVj0MmBMoebV0+7BQ9JMRlVmJ+
LzRZTHKnY6mQ6Q+5a5TVnV+pGmujzzYR55u95AXTu1fF/VPVIKS020nrDxXYmnpVpL5nOVTElvIa
Tqpp2lKRdDsi1/Krzsn7Dbn5SIReU0g7qKX03ubehHcP8cj8fiiGeKVqMfYC2jCqlADhq/yWDGJ1
wEoAEkvAa1GoDwWN4FSNUOAj0UZkvcQkvovAfXtrjgmSSWwpq3VypqaePZCFCMYnlARJ9Y1jT1Uj
NSuDrYbr9d+aelRhk1rQBe65ypvdBvKf4ip1oqcQXvHIsys1p/59TuNqdgkalig9MpxHtoEY5ZKY
8/0Yi3RTTY38YkjtQLawxwxJGcXvSPvwkIBt0wyyy02GAz9f7p5L7KQRjiBnikG7m3aRR36oJqdr
5aRrFLyXdULrHABiAn2HKJTVA5UCZYSPiV+8KIWvvqqKaLixIQe/QaZb1bZSKQsjAZGbEbdFicgU
TzwE+9GshzdrikO8KCy9EjGnI+Nrw66t/DfLrMzfUDzkeJf1OWEk1IlQgDjAD7FDhbN0HK2Ko41k
9uO3JoPsGQ6Z8l6aXS0gBsvMHwHKJrCdZZFWZPN983dA+gJ/hYH8CyHU3igdAU01W5dQkSYKovQu
akbKICR0Gb1tGWMxbamcsB4IYSIDkX0zfOrSSixuY0/se5ZhpHFgUXu8VVM1mG5wABl+iXxX/yh5
GYxOF8vsO/g9zvM8ModvciGpT2MpSAlZ9jD0tvPxzCBbSGhpTTxbH3EcyqTogBYNkIVHDa7ohrLV
fKu4Te6jIYirXY4TkuGCnB1H6LgkkymykOed2u+IHqSNb4luoZZ+7IAywNcGzx9i37Ev1K9KO6g/
g4wDvoPPg8fHhE9rcxN6Ta7vyJ0PD00stPnm/zTDlLVZ1bGFh7GSu0Kndn/NtsbvAkh8+Bi3mbmR
9DY6jIPfv8tRUxKDFcXvl+W2p6pew8TtEf85qlrREC+EynkvdRTqjgqoz8cxlI8pCxdbgX9Vufih
fSUXSRkwZoHYBaoLQbdYRJ4wNhHZeBl0svAYWoFt5bfkcgv1/nKHzmhdLaBZoA/IvmBTtugQ+qwi
qVMiulROO6LoPce593C5iTNjRp2iTpRHoT9QK74qeTUFT5U2pgmleCiM52xaEcS/3MSpCtrEG1pU
0JdpsxvuohQhDnK0MEGpkpTu3VLAxCTeiMhkJ9DEl1syT7TBpkgpKV9zC8AAAICvnclKA3ODMEdL
gvNBRFivDwEmm1t9+JWaNyFo78vtLUBN81xgyGTYFLODOXVyixeUF1NcobNVbdjzTkfwUJRusmoT
4gUQHgFbd6R79fXlRk/f2Cx7RsMma6YESWHRSbjT0mChjbPz7hEu+bbLmrXSri438iEX/yqzhk+D
OIfXRR0cObmvQzkYQo6QhDN04fYOPpWbzh1cwRZsyYZc7HDIdC2HuKODp5jTrAandyWHQbcJlTiC
S/phZbia216pEDhdETyWRBgA9behq8vpWpgQ4iudx5Ksu6F9bcwrZa4fVfYn/WZkZfh+1Dou36iQ
AG4RTMp2ABvQb0w6XNmRHWJB9mT/p9/UrjlkSB30Me4/vUZr6fiu5xBLdYorK0iaR/vLU81ie2p6
DLwCzX+qKT8XZks9BHUTzLhtjjuMeyTfJeOJs4/+VK+lW2gk6V63cUxzXgL76fe1Qf+gPV5qfl53
n+rCOzHqci+ieZjb1LfJD6bhZLsfd7kDk4yIKsj8nbcutr+QstiZTRXmaP/t7ci5RtZZ4PZYcDM4
hEIahXrnmX65WHD4PHFlxUzBVuvWKSUR9vFbpOkOQKEQoh4y8UKwle5drl9r4imEpHdhZFyBY55s
MxSnUMnDN0YGzvaPs+On4ZDylGoAayLmqWh3eVC4rdg8jpFeO7h+3Mtl5JKBur28ID9KKr6+AxqF
ZqBDoYFUpi8WpJ5YSHYDidxKZN1W5VvRc4is1f6hFvLDmMmrttdvyeMS2tYq5LFqcz+YilMr8SEr
p23t+8cCcvyVp5r37tOngqtE4clc4LLY26t6JNlJ9ZftNT/zQt2LHN21SAW9nB/N2cRiMG0B0xNL
Tu6AZ5BaUn7KqnSl9uXsCwH7BTCPz7JszrUxn16IIZPk9Qek1mWKUlfDIwd71L7EiMOUtkCDHURj
vy73/KTcZp4Dn5pcLAm5GtF9ZDRZMfE1AmUi9o/kaNuq3+bBlS3/ZNdbNLZ494PmI4zvaaxDVMU5
j/y3wS30co9Ovis0wsoyNLh7ClbWi+8KOtoxajPFsOFZrsg1bYoYbTZXiMvNnJwGYJHiRwyhje+l
SSH113flG0LTCI2Cs4Jm3o+Z+BfYBSG1tH6ZJiN/vdzYycBhrQx6mVCKYaAPXIJOZK3qaniNlp3l
3xV1H+lXOnPu7+fkxPRn2NgRFtO/sJCW+jmatREPgIaQxtQbV7pwMl504XMT8yN8mtsCvGT0LDQh
IqniKorfg+EYrdsglLg8WKcTwILzKIL5snQV393FBChwnRAaDQ9ZIRQ3EhcSX+leWfJXDrWni5Vm
YAqLUDFgThlzhz91KG98uWsmy7MNCVeAdYoeJUOFQwVA+80oNOdyp07XKYd1qB8k9mFc8fH82lov
dEFjlT4ha1q11bDddV63iof0IbamVZdNV9o7eV0G7cFdkNmn+XW5FUFnJpyOxY2t5j87XbpNhuYx
GxNbzfx/hcnkU8gPFhCdshhES1/sQMKcCc7AmYPQMh74k/nW7yqy3JFiuljqXJnpJycQTkQyKLuZ
4UOt7xITJlZD1aJ2Zb9rnVp9krS/PbVWmUiG3Vil3bes61eX39zJdJxbVGcsGXxdVVvuR22ZprEP
adDOI9UB37tqtT8eXof/uhWucHAk4CGBdVh+VgnljjK0GYQcw+1QfNcqj7jXlfPCyZyAUfFRBAw5
BSCRutglSBYXJqX4XHyEg0mgTK1ujORtbF8vd2VBXvyYEXSELCzHdRlo3OJm2jXKaEqJzF0OG9oD
tf6NWxrlsIMfF+3HVvvrgZtGJ088t+iybTxS0liRIV3Jkfc/UJUvTJXP1eEn6w4MvaSTj5h3XQ7r
i22rr8vEGgwJOyBZ7RHnoGkxQf08K2qX7KYGM3ZfbbMrp3fWF8v5y3mEZiGRyAYQLXEmx3xd7iVq
yE4pKQl1XXfvukd3f+Tf1vOP9dpe73a2zS/H9XrNv9k7e9PYu83Gftzw0//7R6f85Kf9aG/47R2/
PvLn+LOr+ff5yZl/OPzjzj85ju06Dw/ulh/7LW2580/8z+HH/EfmPzr/h/t7//rwuv+9x8KY/9rv
+fF7P/9feM79ldV6OuPgAIFYgUtNlRYQlq/DoLaEjkmrovDBECWufsnitPbig6c/X55yp29ZUfFQ
UzSqj5EtLwu2fWwRp6pBNYxxlt0VHbWI2j5F3FWETmH9vdzYuU6xSFU4b4ZKu4tOwU3tQ8ki8hgn
xT2F4jvqqxEZ94dOFraXmzqdRgqcS12GRY+LJeTJr+MX+0rUTT5Ozpjwubn3WmOQToDQofxhlTW/
UCBcbu90rwNIxdvS4dgh7VzWUwc4EhZKFBg2RPZqL8ISd5Eo5DeDkHZXttXTjZymrBnjxHlF4wj7
tWthja2GBouNYKAZ7ySSDXbYjbh7YAuI9ZQY6je+MXZ7ZDivBiqcK/vtx9B9XaFo+eZjBpu6Mn/B
vrbfaUGG2XBKWNzO7R//3KqVO0RT9rjiUTYgx2wyOs6ffk19AY6BT1S1bfp9b7f2a+GK9t/fpuOv
DXe8uQaPn/ek5aMpXLQJecxrZkn4nFBoRkadm3ar1OQpoAIo185Yp03ARTY/kBCGrJ4smAHHGgRh
LX5vmDfoAmXB5c3lqXQakwI08bmJeRl9Ol8VktkaUtUxd0Mp2+adMLramLe7CoGtg4NQvlKk7Hcs
dDh0Zsmd0orX+OVnFuq88XBbBcjE/XjxBClW2oHa8QQSKTkHuMkh13NOeeO3BKuBy9091xaKLeBP
xGO5ii+uE1RkjKRNuBolDX61wo1oHdOU01b9/9mO/HVUK6GjJhwcJ99WRM7S0UNBFEKlKZMrh4Vz
M8QCkQjTTeTzKS7WB/5nsd9KqF7KXHoAU/0rMq7N8zO7DYXNHHfApBrzVP/alx5iphcmhBIwSSjs
GssgTYYeHGjllcUuzaP/dUXxYj61tJgJAwgBM8gZtValwjG8n5h4mGlizC5pqSNUxITb9xqdvy5c
a/rMFk7Ts/kLiQD+ZdHJqIV3gISRbUV6Dv07pBaquC3r+17eiAgZ1PCQdzfisCmoCa4eg+qAsKq1
8CO3p/z98hz9iDufDsN/nmUxDGrUhGCvGAaeZcw3fnObiz88mDCKdqDgW9c24fCUeHsv6hCkrPR4
PY5XjkZnphUnQ11G0avPTgaLj6fU6UquVwxHUYkS2bWC7zV6tcsdPbMYsQvggwn6jRCdvPhstgjy
YU+QL6PW8K+ca2tqJf5QpLwq8cz7103NADmFbUbm7rPkbpZ+X6pFjLkQCfm3Lhwfilrbo6395cXF
tU17ecr5iPUhnTFIwnDN1xfd8vLYoMaZPHnyXOe3enM3TEcxugufLndpOWOXzSxWfmr2JbI6inm8
+MmnZijJuWlRZLyd1A3eoVcGcHkO+GiNaJlOyQbxEWs5J7shk/1uIPn8Lc0ddJny9+jGexx9IveX
+7Xcbj5aImxvSIRvuZ/MT/Lpg1Rpjd5QX0IWWtub0QZ/G71yLjexnHiLJj6+iZ+akEelosp9fkP9
29T/lmtXqpy02lxuZbmGlq0svjVyKMdKC7wDsTeGr5ijjd2Vr8y5ofq4v3x4Q5BS+jpUGq55cqlJ
WNkrB23IKO5ydeVKL869eK6HEvEJgzjMMh1nDTK1YzKigHr8Ad9uSgsnDVpbBsM9FBskE5iYXpkB
J2eSeeQ+tzmP7Kf3o2cxlcwabQro8FUcljCtbjhjpsATIVrd9hVAtisTfB6rz5subSLq+QcnNefJ
Fm9LaPwIcxhrpvjkCB0S5PZ/Ilw2p+qn4m0vz4yPo+FpYwTN2PSgoWmLOR7OH+2w8lIHFIDTPVHO
zikEWWf/Gu6bnbJObyYneyQqjYt0eW/trA1O0BYFOtFKrZ3oyhlCOjNT6fv/Po6+OOTrOYmPSqDv
FL5udCd79lfx0dvawjHYKzfhk/h4uf9XG1wMtt+PlENH9B+loblD3+z6D83WoKnh1XOSXbH5faXF
+YN1YcR1+euUmvrUUzoE005PPRl5ydgZbqL1/bRSbjKH2sorK1Oeh+xSe4sPKEDfHtAT7TVuc1AO
U+dws+YKk92pjvie3/r2m165t7xirnGwIOT1lQ5fe6fz739aQ1lQ5XqdfzxAfazlNXNMX//yb95k
EwsZW2y4IAlXYoxn5jXoVi74hgjhlRvqvGF9alRDWpgZHf7Z2ATwbj1Xp2yAopfO4Nik/TYjZJfa
t0IabUD0jgrmAnlWbP1VoumYUkfc1lt1OFjGUyPudPPRb7MVkjTXqNdpfeUbcLre50clAaSzr81X
ga+PKoYWChxQXNRtr8L+UUq/i77TQajQhz+XX8XJm6B8FXIc9w1NRGmyTGHUFvZddaBTQ57n+bqk
bI+QBL5el1uZh/bLhJtb4ZJOrSRfzpP9i6t7oWehmThGlU43dV6/IIybNkKmv1xu6Fx3DET5s98T
arYlLb3DbYlYOGJdMfDf01D4PuEEe7mJk6MNfcGNB0kGF350GYt3kzWCkmgplF6r+D4qT82E9m8g
jY2la/iq6f/FyGH/oxICJUhuLA27lKwY40mrUicIq1dN8g9mUL1afnHlSH0y4bjfokCYlTncP7Fx
+jrh5gKKAvofCIAEZEP/rGSN42uPQHGdSbmS/j054MzSHIZQBifJu5pxyp/XYUhhiEVpJ7ud+aR7
f5GCp9M91WuXX9O5VnQyzBLYQkparXlKflrto9b3dZhzMxP94SFSfqqA1IrM5Ho2Xfk4nyTy5+CA
PitnAEgbs93B16ZKvOKpJKEpwD3u0N50ytaLqRjbCupe0pxhWuk6wor+e2Ts0+ZK6+f6OWfTEXiQ
tUZe9bVxqyXnRuV/Rskpkg5jY5g74hiE569lF84sLaRB1JsQ7IFnqSymiKmESWGNNESNikN69Xbw
1YfL7+x8E1xNrNm9jMzq177IOcAKVcP6uQSEQZk9RKau+HW5jXPjhcCVpDI7xJzs/NqGH7Sz5XOR
OZP20xzQiX2njNoW+yvNnNnx5ldCHp9Xwqa3bKaNYnjKFaOl7vOSQI5quFJ9zTPkWiuLa5bVdz3u
3bRSFdlmCqtDpKm/U1yo/osx487IuBnch5ceaATCcS7qaMbXv4XZzyHxbJiH9fjzcjMnIZZ5IXG0
/p922MS/vptCbyiD7GknIeYllJtp+KHkN1jr2pQqU8l8m+OOXToIly83fGZL/9LuYmrLpZX4nTe3
qzbU3TZORkQzSsxVB0BIVR7FTHAut3hmFpJLkvBTZn/CRWQx07PBQ33cxJnD3oWwJId/gcxMefWG
Kxv7tYbmJfdpG9RDIZCUkYZqJUmfjFCRdwgo8/1YFT9ibKuv9OvMSM5wfZiKGrEqbeno2wpAFyWF
TaIu4lexHF2kGC11dRnR+OyooPbw1H/L9J2vRsjoyKryTTZhuX7tYmxIApnINnMUwJh919ldQN0O
vIdr4egzq40dnlz/fOPky7V4aWEHBcQ02Do0wYIJmwFZRUeWK9Ck/v3s4ND34S5FwvHjg/PppYGh
L7oeobEzxgF8yufOeqAgPKyUK2/r3JeLoNN/Glp8JAcvIACGxNvxgALEMTVn8C8NCjicQr+RkG4X
4MgFF+IFxQT7ULkyOc8OKEkiXh0nQ+LsX99cZuUlTkFd5gDiWEkClrKjupLk/PHycJ453GD9/L/N
LC3fPLWVwOfSjA8xX/V+YMH2pIq528jSNi+uzZKzrc1fSMDP3NWVRafCoRyE3pzoFO9LLPK9qP4M
wz9+V7uwDVaXu3bmi2nNGie0DCp39eVMkYRaLOuOrilhdi+kysEo3y+3cPYdfWphsYGU4ohkx6IF
I+qczO/sSWoeMU9dX27mbEc0DfAVHhuStNToNti8p53Ys3GY/oNoDE9KeOX+d36yW9aH1Rc0+eUx
LQ+5aaW5xmQfvEcvnxBSPRtEpZChmU8U9svdg6EejT9iUDhZ2mwud/DcRoxQyOABOHugC1zMdbUu
PW0cMycy7yKChln/K2xBlF0T7ZzbgVG/8xVF8oywZrGkKy3tJZlsmRMpBsyRwh1yDAnQmqAj3KAh
xF/32jfmRM8578DQ83HI5CZHtcJiyidTn2W9Ct9Z1ZS32SVOD9P2h5Eo+6LRjhkMH2dSg2e9Mh5D
UJE21DlpV6m9eOOl5U5TK2VdNCUoAkl5uTzqc8uLiyeXNOQjIIuoO1hqKKpCw8N5JNBQwWxSEBnX
0L7WRfpnro8aref2mrzx3GsGSYMmkB2NtOHy3Je0Wog/QeYQkba99qdhrClBd8L4ytZ9tmOf2lmc
/IA6UVuYCwTYu5dmuO+ynagNbqptC+soFeuiv5KKPbcNUBiAdQ44Y2IFi2kVMnmprw84mpuRoxKd
FoTerivpSreuNTMP76cvn9o0US2ZDJ9u3fdGbjeT78Jvvjwpzi0RpDy8pnm+ogT72ogJ6o4a+zBz
pOHWC6B2Q4k0tpa4brJVMP43A/epscWLCkQcmFJc4x2PtGFZ7uUQoOU1h4yP68RyngPb41qmakj1
xMXuEgPn70vYH04JOlajGKXXCal1VWX3wLnk3FtrvVrZAiwELYodKfuVatkxHqx1NxZOV1IjoP3V
ymsmxudm6VyPQ1qGb9NJ4pJtHrZpwIUuawy3KRBKSX/jot7k0gtqRSE/Fql7+d2em0AIplQECfjj
su6/vtsCSS5c7YR3W6YRINJEdWIlGI6zL8t/09R89pTxP8ZZfLHrYdVUe5lF5/JqOlqjx1CLz9Rz
PF3u0Wk8mjaoDpBl7twSXqCLpafIkI7F+VY0ZdrGiIMXnKGPdfdn9H4rfb8zgyawtVZ0NLV/ksJh
pcH2cwVZpMQR5MDlhzl3uPm8dBZ9jmu/rgU+1g4+P4LRgtPKwIYcmvBF7q6cCM7upP9ZOMvatG5S
xT7xacqXvhfmFpZHBSyj2F3u0LVWFgtHhyI01BqtWOZuZrQVdx11mP2Vj/+5dUAdF+pqjcsRyYyv
s1L1ky7C156+KL5rtRSfh4QP3xDowDYM1/iCOuZ47SB6bing28zrsohVIiH82mgYwZ2qDHYeTvEr
C+/yqJqNmx8uD+CHyGq59XxuZj7ZfdqyG8x1W1jVmSMQ/32B+tAVW68Om2jVacb/Je08e+Q2mq79
iwgwh6/kxE3apNVKXwitAnPO/PXvRRm4PcPhO4T8QLYBw4BrulldXV116pzhBdJ2yd0B14cngIYT
LIS5ZLXfiVXdZkC7M3cMs40Fh5RAyp5NeJje+kYCWSq4lWUwY1fiaoPfZbdWmRkfCTThz61eAvaA
59x8QWrKeurBCjht4lZfC/4vMD/SL3yPC7Pf137mRTsP4r2ariB04aAIaUw+lR2Vrg2HtuqdEDYc
KHkVMdp1fq+k267r1GpnMG0MmeyobKrSyB9zt4DEJQhjptCbvAa33mv5Dl4OJ/FqZokqNUtpiaGJ
w3A+DdwHC1oGSGr1Pv0pNEbwPogRzZ3AKEQghejlbKpepfMCQ5UHbDyc9Cui1lA2suGJL0yL9+F9
ow76I8Ajq9/Wbd55W6Nn9gTanGYj54oHJFKFThuCS92EeV503/wcoOq9n8hG4qASb3ySSlhafA+u
7z5syQ5c0+MugFc3EVl9aHzuYJSl29K08R4eiWyXwLSWQoNUgxCEEbm7bb2q/85ESAhHbC/kW6jA
8nglki4dwlMXmkW4cuzGsg05Hgntzcp9aNxnGNtsM3q97quXvVtCKV0VCvdUMZl3nBmqQhHavanA
OPSf0uzgG9tQ3A3FZ9OMbFiYEG9Q1uCXi6fwxOS09pPj0TOVDXUBFZHST5xcRmmv9WFtycev19e2
uIdMU06TZExZzHNwqyrGNo2xA4nBofPVfVaEn0NFf86bbuVzLW/jv7bmEIV+SEGvTqXgUT9I5oc4
PCGw4QzmdzVn5npbRU9QgKzcPAuPDApLvHV1RrPIJOYDxDAuemVQFRTprHuveMy6+7L/4fnfh8wJ
NfhNdogOcs4hh97KeQ2KdxNE73X8cX2bLyP5+a+Qzz9nJ5XQPfj8ijZqYSR7AYm4AQTquP6my7/4
gRNUK+/WSwfCIqhkY3rhU36f3VApvOd94NdQNkO2nhcC+gcmsidrZhaKr9ghU6M9qtOmm3ea3K6F
e2nMuAk7/UW12qeg9WFF8a0bXaH7CY8ighsKjzwo/o9BViDoDk3Dimtd5hcTZhUkDxPigB7mjc/R
jKw8mCqxQVXdk8v6e5gAGBAaoOez4M20Vc2X/z4qTCtnGgTAF7qg84vSlcDwShFGkwLhrF+RP9jI
zjh0D4Xkezs8DPLdMK71bRY/64lR9dyRxMSNvVLFkXptPISS/l778LuX6krmsXBWWdzUgqC2Dq59
XvUQGbNCVrSiHkA7P5nkIV6hizSTT2YFee42qe7hCFw5q5exaLJJG3HaUu7emcvC99RYDUo7TpX8
KiHkC7MHF97GVPh1/TAu7uGJndlhdCFDRRyLtZXVTRZ/1MlW6lbSm+kznGc350uZJVFlaDVgmFhK
XT6NIjJk8HNeX8TaZs0cwZSR/vRTFhGhf8RNcYwC88mIb00ZzrfrphaD18l+Tft5chcluRnSYmEx
qflJMH4KcCsjLaDwdHGlu05y7aqWV0wurY4TZVqU9eCZmM8kWQhf9J1JhVmu1Y2ffBqCh7QNdkr/
189scrp/7Riz1lHnT9QuTIo4qMDcQgC1rRmoGGNvc30Hlzzu1Mzcs/u4VRskgJxGADTTmVsfaYw8
qVZWczH+RIdhikQMUdBxYzx8Zgf8HyQ2JlXXPOhGmiidq+7kuglQaoKfN7mPZAh3crMQ4FAKIPMq
h/Sb2SXtrVyhOmJ3JeCwv185WBRmoMCK0AGe+U6Oko0FWU9GDxDcV5kgVesVnbttcunX31s6Xbt8
7qWGUqo8E1g7gmMvmSv9rAx1Y2Qrz+qls3BqZXawJQia88HlSxrdF6uGoz2D86F4Au3gw4NmRu+0
7f/DukwKTlRCpuRpZtFDUA1FJErc02DlLkQk5SYD9kVvM9ZWPtZS1AK5PEFguEhJds+3sK7i2ssm
U02j3EEX/xggQn99NYsXC92wyU8tEyz2bDlw6IT1KNLnQNATsl9HGQ6yCIvaTqm3kvUoA5Oum0/X
jS5FE7bPpLCDG0KfcL4uQbDEIe8pbk+qAIZUO/E4HBNV3eppvfK1LouEIO0p08N4RRsf6P25KTQt
inIM5JSOYmKPwmZsPVvSv5byPap4afn5PyzsxNqsSmgkHdTvsGo7PmVjM90rInRDWYXy3MoOLkYW
bmQyacDzxJfpXJzcAcJYxuj+YGnQxI2pwbdiJZsAAHBdoe1ooKkwfLE66DOL/t6NDQTJhhXPWfqI
/ADKyKCoJu85/wVJkkHe0HHh+byy3eRHA1U/tKBH0QpWvuHSGZ/wZkD4LSrXc3oZIZ24JwQg4Vao
tO/iMHaljS6aUdkimp/fM32oPmmB19UOAhMaz0FyxP/wEyb6HuZycaOLVm4w6mYKDm2CtHxCGmo3
YXfrR81E9+OIwoJtIKpy3ZWWHJf2jwmdEzcVXZnz7TV1r5fgo8yc3vw+SmSxjwkA/ErybUQcvcpf
+ZoLGTvfknfJ5FO072ZfUy4gUxtQsZmI04vbYlDNm1AofeST1DDYKlRB9nVtVu7KKqdVnOZlNPpF
xgxlVslz0Ji304ROLgq0oJnGUYR9UZg/lEhGndL6en0z5776xwzoHVlUAfFIf07TyWkZWsilOSiw
ptXtnd8nsJaiYpENW1p8K7C4pWnCibFgKktMGBh1lghaqlAVeetDMgItgvmUwxR39GRF6L7EdV6E
OyWEd28Lo5r5RVXqPoQkcmTqTggigOcwNwVHxP30txgErHHvlnn3KxYRX7hDrmaKlhA6Jpss0Sit
1SMkdDsYGOPfg4sc1kYfA+1Npmr1KJaxdcPoS18zV921r7lfIn3UK3oKT02eUm1Swh4yY+CInw19
9F6nSt9XCPDqY5j2zS/XCOsjOjd9uJJ5LXyJKWz9b6Bx+u8nX6Ie265DEMlEx0yIN0nUezwrxI6B
ksHaVpnYv17/8guDTrD1TRAd6rYA4efDa1kKAX1jphaNU93Wlfwmj8BIxx3qrTCzInddisVrBYue
GvbMnKCxkqW3GRKDBuodkhyuPETm54zrfGpg0jwGf2oZ2iwjtMoxjANDcG0pVZ9V1UNtrURXsTqE
o/9ujtLx+vLnGQTmYMoCl4HfazCKzqKIF+W6IDeiALli4N6FlfG7G+txxeUvDjGTNNPANTnlVI+b
r6no67ShTQ0ZX21tpOZmrPFTc/hbz5lZmeWTA1LfYxtipR3QTIFXqUFjdYD9y1iD481DL9FiImzj
smFR5CgzH9XyeFCKAMLrpPgILCijzJ9FUDlj8RCGR0NemYy49IiJncNkHGSq1nCVnp8IZuUVuKBr
4oU5HhTFfYKT1Jaa9l5lXkMZ3ZVAv3AA2REOBHkXFUZz8piTAyjqGgXtyjLh6JBsv9lqYIWMET3i
dMXQhVeYE0MYE/iwS0wkUbPMCw44N/Og47bV9nuQich7GDtByVbO9+XuYYX0B0VEoi20KufLiXLe
SdTVPCevpB818EkXVcNeMFBfKkmcpcrcXz9RS8tSuEqgOSFrBkZ5bnBs0qEVJET7jOw1zdEsDAxH
0tc276JMOlG9GSrpHaAMFY6T2cGN5b5MMiH2ndt3phdsz4b84ccXZ+s8rdQlL/qSWII3TAWVjkqD
gq3zBflMTbrwivpMqJQbaCj2+7tqE9swRFzfuD87c37XnxuaeV6nyD2KU+hmoxLxh8OvhMcvdPSt
wr8pLHL6O+HP7fv75t7a3n/a2cd+Wvj+8Ydq36l2sdG2+Vbb/rAf0S+zmUe0v+y3L87h6efP27Uq
y+VBOf+5sy+A8lTklR77Ihht6ARNGuxTKUeD2IueDa2TVkB0l448mTOBI1K2hd9h9nToJU2WqN34
Ttj0N1Ch78TCuAENcN/39Y4rc+WzX7oxI5Zg96nmAKwBCnn+1fNGThHJo9CN0sJNVYgIqA3dbS4L
K5jjee7+j3f9u6xZFIhdwajNgmX5pmsr7jsSCtuo4r5v+oMCC5auxZKt+9rKZXGxPF7mE2cUjVpC
OR3L8+WNnlopZl9EjpeNjg5lhBYxBaasvMKWrFh8NiBC3OXAas6tyK5vQVYDnW9X3Wkl2qNjhP7V
yrmZjsXZseHek5iwAKxKOIBZ6dxIERW5qKRdBMNWc9BQOiAUHq4fzYV1sAQdXyBa6xQczk00o9co
cck6Rrd9Q0FuV0ETJcbG3/sc1xvz0aCK4cSd15NVV6sKabq5Q/p0GupijXgXxe/X1zI57tl2TQRu
J0ZmaQLCdMMQM9zt9AF7RmP62FQxUCfub54Ysfvb78uX6yYvei44OSS/ZFiEUQAy80n2Nsg7BBD6
wNHk4Mnv5J2KaFtfij8kyXvqoxaFEvELfXGIjopNoK6ByC5CB7gVlOstvATU0IUbNgjcxu0kN9qJ
bWHXnfHDYo7le6E0kiNBcbiJi3T4fH3NCy7DwYJEl6EmyODm8yp9h+hUqGeBU4ZysdW1LDqQxQZb
r+NQXzd1MedIG3RKw7BG0Rt2t+m3nKQsfsj8VltJtCa9HdrdNnQt23R8c2OU7aO3Ju6RYLlDce7W
j6etdhJ49vu9noS7PBKPQvNQur8M46h1K8m1vHA0If1UGbwDTcePnJ2bsRy6qFD1AEgPU1/w44Rk
UVZaoTPiSTrl3SELdEdHg7zkAa839SHLZO3Rj2VhKwZl4x6SwPT8m5KbgWaV4iobZBLkpw5NhnZT
gulCkVbohVtTDFLVkSIEVxw0iHkHFkmhvINHQD0AbsuwWYmfly5NAJ3YOCgK8DDiQJ3veam5iCim
EU0fxG+Q6JR8usRHkYbpuDNkdO+b3LbKrZ+uGF7wK+yqvL9FA3rZ+RTAWPipK+SoRKAL6CiRtskq
YeMZ0nbFp6aoeRYmWB93A7Q65MKwAMx8Sq96S0vKlNdEzMfKfd7fT5b5mVZahJ4hlBt1sC3cG8Xb
t9kbWoa9+VKKjt9+z/NbdVIf2PbNJwoJ13/WgkORl0/oPw4VA3yzXUfIr9ACZHbQgdsjGmVLhK3r
Fi7qvRymMxPTTzg5TE1fgFFjrMPJf0BiRx+YpnB7M7x3H/3XNeKYhcCkwYKD/zDLicjmLBZbY9EX
cYYtE8HoAXmb6lMtqwh8Moqw8opa8hven2BCpjcHLMnny/KYjvXQbeQK8/IDomwbL9KOZiaubN9F
UjhNzBGIrMk9uZNneUXsym0viGXoMNer3FGwGjd55+aOOLbiQQo8feVmXrQHUR8XGnO3F5d/VI6t
VOmIE1h+fCPXX71ARn19J6p/v33wF8NsyKASF8k8X4IsoJW9oGJdQ/HAjfWjdou9J5iv171vaTkk
MuS5zKswNjr7SsTB0Sd1Dp04/CZpP9t2pys/c38lBVi2AlgOTkh96jKc+0IQiBLjgXLoeOKxHn+O
OJ/XPwbtz+uLWXA5qGvUibGCNy5JzbmZMK5Jbl0rcEIy6b0QaMlNUqhBYFtg9lZKLPJCvPrD6Uq2
ztP94g4MobXLjCAKHdnvxDfU3a3WTv1QeuoHJkbtASUX2RaBi35UaQdYHSmPzzGij3cJajvGY9nH
eULs5qW8hyFURNpDrNyfFZLlr6PvxT8Mo9IOSJkjNjO0pvFVDTPp+9/vF+w4IqkKvRjmGs73q2i4
pzrRDRzwcBvXR3KK2VrLtTbXzSx9/VMzs3w5ld2IhhpmEKVAcvvg1WBqowix1Lf/YGhCKDPdT7ye
z4ZaaiHno0q+3yQGVMtpr6pfJDMqninaKD9G3ScxuG5xweOgA6WWQvxhknz+3gD4KA1mHjB/r0dH
AT0cFU1etw72181cpNBTpY3rh8jN8oh45x9KKWUXBL8fg3UvER5DTZVW8s1gNSizUuHLi3rTNL//
i03QrSgW8Byd3/u1W7qDZ2DTCiDda3HbYy49lRmPxuQxWqvwLVxMfzodCrBacLxzWj0o9TQ9U6LY
UUz9ViRJTFpjoze/gxqacGMNAr302aiskJ1P1Vg6WOf7Wbi09JEYih1vNG9EjdqvqW3laiVELPg9
pFMSFRyKy7yuZuGo0RBStQSkPcVM309FhDDJ7Q7RVDvtVm6Lhe3D33n20rshxs4dpKIPR0DpQ4fa
OtqVYivcE0Q++rSq0cYTgd7ChbVSH1lY3j+M2ZTyqeT/SVhP8hbBNYWCMioyPZ1yFxadk4gCQhrJ
we3+dk6aHOLM1CxtMUd6I0VE4TfK3nJoqFBmQo/q3VdXItWCX5zZmZ2zQBRrTUmxg8gRLb1qa9TB
oRnVv48aPFL4Q0GbGeV5ziIGYqmWKHSxc+amkcoHF6HyNCh310+wihfPMmqV9iy4Tnp6E7v5uZcr
bZmFYTPptoZfOr3kgf9y3cDCdtHBB0lD/wj+03lHNHfzyNezJnJ0v+OkJrtMASPu/nU9fnr5EPso
gyi0BOenVdQq0xd0j3pLnN3RUINTUbxp0p8wlCIpudZFn+8a1weFf9pSoAYo+s2fkFWhCJ40VSjK
1GTUVLZlf+XaXbSAYgpTczrP1PncSeJmDLj5deykEORYqrspyr8MB3/WcGJhOronRxOYvBmjys0j
KXtq3duxexHDWyuqUI9ccYH5zfTHEl0mCu/TMMS8S924bYnMGrCGcHwo+oNYHFx/mzKJaDp+tL3u
bn+2/tShZ8bmtLRF6XplKmGsLDaJfN8N+wSwbLSVvIOuogTN0/QTeqSZezCVteLzn/rrNeOzO8MV
EhqJKsaLh+pJ7G3hs+UM227/M77XNveMCtGg3H+RDjYMG7ZEJTx3QGY6ptNtE9tf+znzozffillE
hCLAA4DKrxGLu3JwZOvgrU1cTqn/tQXPgmHuW64rjZho4k3TIyBva+MGSEdo7QTTqbKVh9VF2+Of
JRmMDZpodJC/nTstEtORimYsl3K+q+pHcXxHJNysPg1Idde/TOUYq99yhiMpgjiZ+L3SVrCBS8eS
HI5SKK99krppy08OjVvoXtgorDexKochFbuVV9K4RQuMr0KprIN8mFsQxxy5DH2MgXujFZTci4G6
Upm7RCERvcA4gDUnfE2wzfNFlEyrIKwqIsmIeqh+mwzPknUQonuv3mboFFsRBCOOXvDXSuV9KRCc
GJ6fzchovbqFQc9hbMBCfF75CNHbHT5X+Y1Ub64HgiXnP7U185QQGXGJQmLs5F62Q4Q3H+UbwQ9W
rKytaH7ECnSohxArvqLY+vgpTm+FgE39EOsDzL4r1tbWNDttDYInVSROa1IcxfhW1TfwGl3ftnmS
OB0wOuj0lwCqAAqY+Qby3mVZ1A1S865abPQy+BXAim4jhThs/d6jyqZXaxwiS5tICsJc/tS5v6AR
7tHcDKyq5VBFL3WNJrUjiJ8ziRFx1C5fr69vYQtpyDDOQWNGp+40W5/atFIm6NiqLbVHqVB/zWt9
3MUG6N7rlqb/0yw0orCkgkbgYQYaf2bJE91a60xCVZAGtgT02sse1Rh9Pwk0ywR0VXamlnorVqWF
zTw1O9duQI+ajEUjfgS9dZim4hhK23jBmzKgOSvoN1X+Wnr+betXG9IKx+Up6QxgF8IxtWvjsxqi
ud1QYpR+XN+OP63Qy/3ArSCKJqGZ125LD+0vI8V5mZyHYKjxohtfy0SZkaIgfJMhY/hqWrF1DKBG
PYQqoz1lU3foxsk1deV6hPZojPwvaZmLj6mL0sRG7GotZtwxaqhOdn19k/YKqL5s0JUNMqD5zwad
ym4jC0n/M05D9ZfvlsGuUnvw2V2gyx9GW2rIfA7R7eCZAFNIHcbnxiolnEKMvrpVERwR7K52RcLY
+h36U9Z9JLbZSrd16ZNBxwYFC8U8GCpml4rXiGqbIBrvGIMQ7AV9lLd6YR3zvCyPipIlm8GkDTtk
avv3txntZIO6NUVRRlRmtZ3e9I1wHD2oKPNXNxXsYDUjWjhuZxZmUbgD1DmECcN3QpHbAUrZzY27
ho1ZCFnUP9EAmCgUgevPti8ZgEhYXcgqpDux3zTt19bYKSgId2/XXfgClUZwxBJxkdsZMNy8dtQo
oeENLjJgjdP/AKO3SWxjFxW2Lb8Ex9HJn3pndTJMvQwjZzYn5znJOMxUrlsd1J3T7xC/ve225mbc
Z3fxQ3GEJXCnHdeyxoW4dWZwFrdirS51o8WguPeek8/BXXTst9TKn69v5oLTn5r50z48WZeWB77e
lZhpd8auCe1qp7Gc9uv/zcrM/8LUHyTUqNi9HzQXntw7ZlyFjXK8bmVly+RZFmB6slvHHVbCO3cP
EeCXatNug52xUky56ALN/G9OXNZIKlzEPXbUJ2nXHhCL3xIX3lG1eLq+oMVj+6+j/2mhnnyckRFm
alYY0sXD6G688ujKn6+buOhVshhKeOSgE3wJ8pqZnzVIhYv1xBYqxV9z4YbYu8na7aA/u8bOtPaR
/NsQd9ma5OK8IPWPVZRLiBcIec1riJrfuLoSx1C3WC0z1jUS4IeCSyBbQU38f5aH8DgtfqA68yEi
KW7iCrgw7Nh6s82UwnbNL5n43mW9bbjS1mxdSlRCs6+6ZOON0cfK7i58QSaYJoQDjyWNytt52MhV
RvPVTMMlGR3f5jsEPEC9O/mte/Bk29prjPDvpRfvy3W7C9t7ZnZ2EuKwllQ/x6xU3TBfLyg/h+w+
dtfG9v5E2nkyQb8L/o9pcUAIz5dniEZbF75K4RlmRDq8vt/ekx5QYWqE6iCqjenZepT3H2aqNg9p
3+WKLbZRjmBbVN10SH8+x1FWeXaNYuDnEnTHYxELzUcOJe/K7b5UkaD5CKvm9OSiszX7rUGSk/ka
FuKRT82bZSdbBUrFjXgcb7Jdxhzza3W4/hEWrowzg7OPoGUQ70CNyeZUT2hYgT7fXjew9JVPVzR7
h9SqV5to2/KVFWb47UxASzIQnfBvS60cVkRaJ7pouJEValXnX1ko2qIJJPITUy+2TRM9pOjoNG25
8ixd2C+F4jvUZ9OMCd/p3Ay65LS4oi5xGrPbwN26KXvn+oYtpSiATqfiJLhaAOTnFjpfUrtJfdGR
B6eUtnK6bRvZrtLWLqU1XsGFj0O1lQ4+enegyC9gTaKax61L7PaBCKTfyv5TnW3DaM2rF5d0Ymba
1JMrgoGAog8HcqFhb714sS072bNxG39yH0En/uZdgx6UvINJZFOshNY/1+ns8LNCyv18MAbR5sh1
VYkgmo5YofSivag36lbYhh/q04f2wJhY60RHdISbA/zhTnBUnOEQ7ru1Z9aCy5z9hNkRizQrkM1h
2uT0q27eo+Fz3WGWro8zA7MjhnxWqwUWBrQfjJTWrh3Yra1uAtrF/rb50FfaUEvPxjN7s8/pB7Hf
hj4e6h+be0jr0o17N+7Vxh5vUlt6EvbDlwYd5jfltf66stS1vZwdDkGIlViVWWr5Hh6RWTY37RdQ
w5ktTY7k1M/R7u8D5NlipyN04rv+0I4tbXbiCtIYorD1+jUk+NqaZiElFJn1TqY1pXJ01NsQqsuV
NSwf838PwZRfn6yhyP24GAfWUKTezlJyp+q/6LVdS7vrn2fRDuyCjNHRhtLmkEGtlXK/TbCTSE+j
1tue+b1WHqxwbZRtIWFBjvpfOzMH1Ok8wEjES9ETHof2vuq+CM2ap0037UXgOLEx87RId+Wqb7Ex
es+hC1os2aZILXvdoR7v5fIpgMjP+j78h+vybGkzd2OQzhICcwoWKvIHldOgUQs1qbL2qda2cO50
fjbUVsPyXPNFyz+VXm8ra/IVazZmbjdko5vINTZK73k0Dxky2eoaA+9SlR8cOKwZ5EsTN/TsOzWm
HAAFZ8MKy2PHNlZwgMGihFjOED8PA5pbb2X8AgEc1AmQ48ZQz2yue/3iU4thEUr9EyMLtMPnxyur
iqRqM9y+KXaK8dQmu1Tydn3huIlli1Zni/1dnK2cteUCA0gbEMl/AA6zL1hrvl4OAYlVuek37jH/
gPWK+oLlxLb3CQKae/G5F5i7WFnstJj5uYBc+X9mZx81FJSQXTB57u0N3pX9zrPt8rZ3mvfipbhd
e8YuRZRTa7OsDhTMOJSSQYUyOeQqw5KOWQGb3V5f1PSbr6xpjlsqrQRuvsmKVr6nOZibe7PN7agi
TjL3/H7d2GJKcrKm+XyRJBT9WMhYg+J0z6Qvnyz8ZDyQAoV2wnSTLb971Iv85xflpgRHt0GoqA3X
koa1Nc+ykqyHG43phtgZP30L7Oh+PFSO/2Jtf8lHhr3tcp8XdnN726/E1aWYwGlFsI3pSDiMZl47
5lKUmSKpYFxuSlgvJ3424fn6Di+9oibdu/8ZmfloNwLSKgfWVu/ajXZoHqgpfk/uuo1rt/vu0Kxl
eIsZ2KnBmZs2JTIJlYRBeS/FO3ffv3pPGcQUzI3ZaBCuvBAW9xCtXYnUXZ1ac+fxpqO6axVTvhek
JM93dXjo1p45yyb+V+2dwzizrgy7oCekqUlog9nqI8+u2pV1LCQ+E5n4/8oeMxdso0iEEJ6yRxb0
dmo+SGvZ/0L0oPxK7s8/ecXOX9Ox0VY1yAXqKgThSPjd98+Cf//XKJ8/daITM7N11L4C05aFGcW7
88K71j9o7kq0X9yqExOzK2aUBbPwIrRsepmeOfIUufd6/dAsfPGzvZp+wUmOKJReST2CRdB3sTPr
tw8Ro5Z/u25k6WRCZsELnTf6pJQz/YoTK2NlRkIuYyX0VPSaqQX4sZ0qdpo+UJrBXq9txmqbZ5/7
5rO7BgqcjuEszp9Zn/zlxHokKG0oiDhc0oZ7SCtfmKa5HYzU9hR9W1bxZpqYT81qf33VU0y7ZnYW
84I49Hh9s+hRea7cu1i776WvSvlNWaMUv/yGFA7+zJSixc7IyiwMJVVX6JXIWAXTuL4dNcVDgsZp
LPorcKDLfZwQFUj2MXdP0eAiz6+bok4HPXKStLLV5j7vX7picDrlKNb71niEeOX6Di4tbJJ0p98M
cAtA4vmH6/NEj/OcyfA4dgTpc+Q/C9XX/5OJOd5Aa/TUcjNM5FqzL9V3pdERTtlcN7KQrQIQnQQQ
0QFiumBeUnYlGIx8NLCdUbKT3yYqiL8tO7+tFLsubeObcK+/oP19uG71MnicG525/SDkBhNFGC2M
bquH1aZbi+QLOQ0m0EbFJVASp1x+/oGKuvZ8qMcxsU1f0ZN1kl24T4/WXXyEuyxz0oOSvhn73Hnq
bOsu3Ft32vH6Ii9j/fkvmAXhRBX0VAz4BUYLVe9Rk7et0nJnvf21GdCJU4ERqr4pmJwvlOOFKFYT
sMDms2bdKv3OEF+Zwrtu5U+18jxkAILEQxgJAakKDu7cjAgxR5HECRmpnTxHb1Jre9tQcijr2MFN
sHcZ31bg1bhvt94uebFWs8OFA3dmf3bginiUK4vehwPXw07axDv1q/Qw7GQ7/mze/zT233+uLHi6
wK4seN7ia8SxTEITg+43TbI70Yne2lvJtrbafdPvpN9I/tkrJi/DMg0PALMTleRU+5zdqaE4CKXW
4zHlRngJH4uH9iUEI36n55TPxr31TXKiTeE6irba0FxwVh6siHXQyp8qvbNrUBMGXYpcDy+K3dge
C/c5FpuHbhSqoyS6a8y2Sws9tTY7/5GhhaOgCBGQ4CKCHOZ7n8avsvfVHOXDUP++vq0LnjOpWUxC
Z5C/XmishWHuu0XBh7Qyz+nF7/3Q2Hr+ct3IQkSDIJNIo4uM0mvzGnkv9XVmWCCPeoYNNIRWa+Np
0lxb8colM5DwcKcatBYuRnK0wEwQQu94YlPoB1uXm3+fysP5RtdvmmFn3GOOEgisQICvFaDLiJCW
bLxZySSJvrm+W0ufhLlhRpgmW6CZzoOJasSML5s02gTzqa12cbPRlBUTUzyYHV+mZJkAVCZa44sG
7eBbiVS0AIQNdxeN7z7CumFwzGnTSjsG02kurElJ/zOgemETdZiJ0opVzft6PpxKlu8xDqHkZjXa
ouoOTuKK7mOvGPi54VNJYzNz1YG4vNlYHVxXhWSCXaH0JRQ2Oy9ArdoJVPyDseqOXSeob5CT8xoJ
RMjRw1yJxk2rkFCJiV77+6aLGZRtSa7uqrJr7mg3lg+FNHjNbW4E6qM+6tw84zDu5Hrwb3U5Eb/J
Q2be9oFZHRsOYuBIUkJupo6qBGiSzkTJyLil/07ErN+Nqjl8BMKgwRDjJi8+CL4veWQ2t6oV9TsN
G0+56em3eZrKULH1Vnujxrr+3hZ+sZejwZfsvunqYSN5QvqQBWa7GcV4GvgqReZa5TisdrInZcdG
x9/ssjOSxy4t6/EWdGnnPlqCqHwKe8tsnQ6e0NruUz87wno6vOVN6UPc3FqenUm1jFxzpO/9QBlB
MJpZznRDM4SdPcq+8CmWU/E9KkaIbuoqADdmaAXzN0K4MfKhK29aNa2Y9E789DbNo+yGz6h4MJBF
wy+5kDNY/LooeQ0aGYZ26BnFXVpVwe+qLmIZLYMypQhkGEwJNBCyv8tqV3/NRq+d+LrN8EPySmVb
eo2K4FcaK3eqX1FVr3VXWLk/LgsolKAhiCGQT+Q3cyhRQK7qC0XGmz8ZHbWnbCPU+zEU90GdI/aC
7rOwVme4GEfHzU2NrABMInIoSEycn+Q2KQrfmxCXwgsFqvTuPXOM0U7u1ddX76G9DRz9RXuItsWm
eUw+/K1JGgZNobKy8qWwOAnHwZU3sfXNS66a6xkqukscvGine4rd9Kv5x8IFaZ6amF1ZSuf2mVlj
wkIQBZ3w+8H5oI5s2PKjlW6Up+IY3JW2dVxDGq0tbZbewZtmZHWHXY8JfyEe7C5dyVPXLMwyu3qQ
GI78Eyk5X1Xw0MtP16P9whvbJKUgr2BoERzBHCxT8/7ImA4ld8xk4ZvRGsbX1PcoIhZmStfHGqt4
l7hIJ9tqorejXftuIG/qSE5+lp4S4r9Qo0Nn2xYrl8TS0k+v01nCFXtu33nTxEPXfBZIaXV/pTm/
5DWnBqYfcPK+N8s6yuQCGG3RyW+RnO4LkPfakN+k8n+wdHqlzl4bVpISUUJgmFX/LdL0TdjkmzKF
ck5ZE3JZu7xnmyZmTZZ3Apd3NRyk8qbiqb2GqV7IDxEhU8lHQXEzrzDLD4J2kFui2YSpTneJhrbE
Xn/xofFRXWl/3TnXTM32rc/EJBoEat9uHhw675jGwBIRNxfvfX/l1btmarZxvWR4SLXTqMh6d1Pr
wWZQN3H2porFJhXWSHaXLgPm1VD3Q8wNyemZscLL2qZCuM3pUCyv0A3xHUU9ICxoa/2xC9ecYsnR
T83NHL2SInVIBcwNCd3+djOIv13kNOO3619rodMPPSkAVgZoKbwwlnl+oFpLgyA0BwHfbJstylsv
v+gh/+DKKek1BbayFw/drXXI3ztrs4YtXXJ8knzKtlCkXQJ69KZvtFjDto+kANhuE5yINGbb60tc
sTJ/dw6pJ+rBwI2K+pVt+o+6+qw3u+s2lr7WyUrmxZFkLMciGliJlmv6vlOikgahdD/CXUJb2Q1f
/m/mZmcsGNQirmLMKcqP2PiRkiHnbm/74Zfrdv4Ua+cJ+Om6Zk4fFokpCdMrLPhuvYrUGu3xjqIZ
l+edsaWh1drmg7kLPlbMTkjzC7OkHaRBoKO0ua57SQgpXZRCnZYbNNEcS3tu5BdpoIwbbGAEqId1
ZMPS+Z4AkpO6B6Pwc7lcy5f8zstU9jRLc6hBlNusaV6aLkfJoHxoaTIL1gpqail+QaQFYQexFy6F
2dkjE0YXqJPJ9WBi2grKoxY1rm0GqXiET/4d+e+1Xvr8LDAVfTZfPvnxyfUZqEII08v0oEJ7Ii5z
JbZzXjObUh/KlUbAPBX4xxSD7CSzuPlF8tzyOFElTGmFcDQH49P/I+27luTGlW2/iBE0oHulK9+m
2kovjJaj955ffxZad49YKEYhpKvRzJ4Jxe5kApkJIM1aaL22btsJTwSjzaSGfVD6EFGXo3megzoG
AF4QnG9LYX2bVYTZpXBC1Wk2IcUYBKCPn2YCrM2zgoflbTmsNfyWg8wKTAEXbza1P9Q6ENynEr5W
kae+163e9Ld4bbnVlJwUAcnd2/JYg2fksTQNk6GEuK/hdWOWDRBz67Cwiz7QrUCuvvi+4QVRsAmL
xPsHqeAtpxCJgOBh0ZFAI6c2QVQhHVKkeyCYlulPGczNJXnIFAktlxxxV50bn1ou5DHnKID39UZA
tsoOehmP5MkSGpCfEdEOpqdBvc8wSqNOrhlzDp2rqUpWLvXEhacRqQxEMYRcyZ83SuiR6nFSngey
aaHtVGyKZrLnKPe6ZqfxgLFWLWmhM+MXeAhnXZBBNlpaYDmaivYUtFGlwUlS8YBXM85VeTWqLOQx
HkJGExAVBdVVPgZShnnR0NMG3otx1Q8XUqg9L1Z0LuOgq6nlTKbpjmr7dWg6CxYbo8rIG628hm6l
gRJYgCI9foCFwKiUtmChbwgOulZFO3PY1VZZ4aClqHSR/4wGvs4i0zGvcUMSd6K6CeMPX9PsPnjv
eZTZK6aELDIg1oGwTqez2NeeaBRdnPqYzh1qUznnsyRSnE/1ALai2i5NHJFdgQm/xJdRGskzNIR2
Prozu3hwGyUy/mWzDfB5As4PVQs2NdDLUqujsQSJ2aj5mRnRHngRgZUaAacCubrdCzmMESug1QUo
InZAkEGEMMu20MrAKvka/RM4JzwBT2nU6zSMu14aVlABk6QccckxhMm0lMKsrMwsONF2zUcAsgII
B9x31St4SXToj8gK4mXcoWXLCMqjmvrHrjVeb4fXtVUD+A5SdxSLAlwgl7roZS+EwJ2GNcRa/qyJ
U7oDBEJ3DHHheVWz5O22uKu2GBrmkKfC+CxFc7iyzbDHPEMdIRORIn/etzsAdhX9Fw2vv2nfCalV
6ad0cBpeswSbjP4U+5kWlmiNle3RL4Zc67sASXVYw9FoS7JBv6hoiYXaPBjtPkxBXFmg3Fp8cPS9
Dq0YjJSQFENXC0VUZOJCBeKzFiOpqhU0JsAT51Y/CuH4LjSK7CbAhLSyzngT4n5+awekTNt4InaT
ROdAUb4OUvCqGHVyJ2jTvEl6Eb2mARAvb3/i9aUI30dveZjaxvgjiwKXCmIjoBqBlmk0Z5dvQ/5+
++dfXxsufz4ThvOsCUmGCQYkiTeJ8KrLz2P6mGYb1XBKsGfeFnbtNZfCmCIliXMyl6h6WH7qiEhn
pUrgoUjB6T1Yi7ASOprxqAdDOZ7BzK7KTdujggNUQ5AtWUR/VZOvivIi5COomI+J/FINh6b3RP8k
gxjztoZX/QJg7KFohOi2RB2LAvddemyu90VaKa1qydIXKXFotbDqXZ380lUb0O51M9iqOrjm8OIn
aNszT1wE5M/Z8+Vz6/cnYBQbc/6AgWVNRtAKzRh7GLU+la5UOolfWVW0b4kbghy3FO47gJH0MdxY
s8dKsvPCG2V3xpMFnUrkQUa3ebitcAMHexmQXew2RovIc448Vu0oYmiLKExWaugNBrExMGsV8ROp
txMG4UejtvLmg+SBkwintvyakZ9N/WQa98TcxBNmToHRDii8NHvq9H2e87BoVq6HdPX/qM5YcxTp
/pyDKB4lmsQB+5M1AiwomMDmej92joKc3xSf1Y5XFFxxoguxzKbH44g5hwFi+8nrBsAMYx2f0E0F
YwuOAIPjPJSuw+WFlgp9by+vTsOQGE0AcQWe0C1apsV0n4yj1WLoEWQ02vRDNHhtxCuuu1SRBYqO
SgwqC3mvIj2mAZ9lRvEEnL0zt2Ai49uvjfezExRvCvRsXOrmT5OvJR3kTPMI8IDMqv2nPP1pqnup
e9R1wUpMZ06ccnob6sTRJE9WfmAK1RpUzZKzwRIA0Voqp2HcNGJiCaDVve3gn0furQ9kXiB+FhC1
kLD4aoDFByXPDJsnGcTB53WAqP9MJwnt7LKrBw9z9LUoDwlqqa2YO/kINIYIQynmY6eAKam6NzDT
VOt3cqPxTrbV/VrcMpkY2Ou9OE0N1jGYZUfQbTN5icJdBUoBIOfHZuAQ/WwALDhEN3P11pWoCf0g
hcFZLd5XMP4oV/6oJz6+AvV+i/g/qkay8i7jBd3raxIcQqNsaWhSRlqcVVY05zKXRtVKq8dM9kIg
K5DUCiNM8JtOZ77rxRcRC46XMf7+UMfCFc0vQw2k82eOdVBJV9ax+BJG4QIQhorS4Esa1GniatsB
fCNPKlBO7k0fl97akRR6B74XmzPqpMF8N04vRMAUdrztAJUbx5Mld3uQi9uN4WYqwJYiBYRPyJul
77oW4a1Zbm5/88qlj64eQQVKQ/vHFROTkKSDbg6TCvqRd1/eoPokKKFVN2QzAuHa72e7BfI1+KCk
v2Vq/TypaF85mkKAjMGeVIHRa0UfzSqmPAaMeoAZ28mE/gdp0Sp9W8l1C/kjidmXwPB9otSQBGxa
PAzQXh56LTL9WqdxgjNPEnMWyBk2zU8gKVBEx8dROecAzEwfCC9JfYVHxqweewyQvDL0KUTYQR+f
YxCU8vGv6b7sZieLHjshdmXEpkCyZ+FOEjeysg8iNCbgGvKamu9K+aobM/7j6zAB9yS36u4+N9Hn
W7mF/Iqr5mTy6pyr0YBmEA10wWtoKb6M7RjN94Fpiw/WBP9uDFtHr/XHgI5xtKPiJTIQ3MQZmRzd
yUzza+J/r2sBLDJ+tJnN3gGkACc6rVv+4oOYuDGHpBpB9qJaOVCCiqm0JRHkgOaxCWVAWJXI6Bwa
8WFoNUuPnNsGubIWSBOjiY1mASRM816uRSZnwhBlCBR5GyJfJZz8PnXbtOShStBSIBOQIEcHOC0l
q7gi40FDCpiodETgURViWwjQUhNPIcBNphbsLn4jePj/+hvfR+siuFVyC+U+wBj3Bo+JflVhCs2P
HAzCNNtB51dKY+YxogxYzXapPnjRnLtFy4NrX7uAA3/ojxzmApEq/hSHGeTEdfMxBoAENKVXpdUc
eQQuWaE++cGwM8TkaIq9nZHwURuk+4gQT+0T3tzt6uIvvoW5K3SJmaqiik3uaLJD3fT1TtROxaxb
ZnCvDDYqI3tdPXYZx9Poz73adJmuAoIrUOsZu04ByilFVG4S7zUpsM2WUw1Y8xxVXUhg4qnUkykS
c6xyZt4F+tuo7JpsmwxvyviYFXvwLBD5OBQcn1m73l9IZZwGKNJBSAzopeov0vzmC/4mFfdC/lBH
v9IWeN+eCMqNf3BUEKeD61IGLiGbm1BbvFq1CZoSDX7hk22G6maRm5xHK12wqy1biGEWtBbrcNKp
GDrDUw4bYGf6uauM50LRgNPPySpctZzg7ABk+R+tmJXELVtuhRKnVFI8SJknxCfQG0XBzzQ0kWlw
sxwno13kPySCtveBc+NYDQX/Ccc40WXsS+MsldoUYVdpQncwxfteKU59anC8gCeGeufymZQmyHGl
0LFUz017H2vvs88pJq062kIT+ppZiCgiMRS7EbuWzIIlDpXd80bjeEow4SwpWlEFDjdCSBhulBGP
yzHYm0Xj3rZyGhFY80PFEqwQoMikrDmXigTVCHRTEVvSoBkvAqyIb5ykqgUFx0HQeIwNn/c6Rhru
ABQTG0kSsPpRpRfLFhCjVJsYO1NJ+376pYbyNm+3VTHaWozpNfNenDuQH+NOoqeWoG9EvdkY45PZ
bTv1h0nuROVHAZJ1xSHoLmtzpykKhwwHQf8wtNpOWh7V+lq4u/hg5uZSxKh8ltSU4kRu7uV4Qgak
aL8rZtkB5hVgMyB/iV6DIM4P4TRHqACL90bYpZy75ZrbIgbh3kAZoYCzx2yT3hWST0I0ULeYsHFD
w6wcWanFo+QX6KZUA9NK82GwiRk/hSmGz7RhBrdbpMo46kG5IOk8B1gLyaBDRIcaeIDQWvi5cout
RD/lWOutolpz+sVMRUvN34MktfTqRTN21QgcVf1JIMLfm+vFfjDrgBQb3rcF9iOskAKRtVbEY6vr
d0mGojHAz0sraDE2c9tHaEy8ZbVMiA4y2YiAKIQzb3ZzpNCGHGPrUe6CycDuYmKJyouB0bTbQtdN
j47f0WweRbW69BVSjEqujfBMdaitZh+nBoIMuEcc4y7V7/Op/kW07Fyjj5kjmMauK3X/CGbxA4Me
0yRYZfqofu6GL5L8KzBFpzSei3rXxmBVmx9L/VB1o9XxgHjZaIT+IfS1gcIDPW4gVmD5eqtAycM8
rBMbKUMSboPawOn7OCebwuTs6ZX9/hYF3GY6q4bWdGZ54zRTtT6DKP8RM92SqwJkZt/akewqP3jO
wsZyRtbntyx8RZZKv8pjyOolvNfu0HnQ87Dd2APpUwS4KWUw+tJ+X0adetTkVPLB1dSWJ9Us0K10
vm0W7POWEcAikKZ5i+xymCXII73kg6eFh8LfaMr2tpTVlQJrGh1XpBR7zAGhg1urajrAPCs64H08
AdMB8cC52K1pAk4N4HNQDgi8xC4dqyhnA022iOQhGsmywEu0yUoLV/rr3gG6ZEtBdM8W2y4KcU2y
lgpq2vKYZGaC1Lc0g1qgaR7wBPbtuu9AcqFpX0dRakAZrXqpFikA38Bgw+2FXfMscFhR98Jxj+6U
y29JW2UuZhmJJj3xRHm0pfAciIcWddlR4lSW10xxKYrGl4XaeSlX6LyEKD/FuIbyOIS8tPu6BA3z
9LQKi/6ySwkU6U8H7QWMvdmUxZ3Scy6QqxYCAqb//Xwm4Js54FzrET+/yn+g/u4EOXK4pu4qES+7
/tm1uAy2nzaCt5pC6bABFssYIwwRDE81RCEl5oSquh0jwVMDkLKmg9fOutN3aKUPQOaXFMdWmO4m
Y9jNTWfXQ2/FCmUlFq1oMLeddNf55uOQc9aCBo5bH8gYcdsXHfhB8YGd8GZoD6G2R2cCeoyqdl+V
W6X7y3YBdj2YAJC1oWqGEZgrkqRB032LiTRg3BfAuOdNFa6FGvpK/t/KM1c7cH2oGBuAYnHthMpL
K9yJonvb6VbtFBkPwMqDEhlNiZd2Ogi5imIdgI5j+RgmEtB1eK1zVw0uv9frjwjGVCetIKMcY706
O6lsIPgAF9ELXB2TJdp9txOc/Ff03D0ZvAwHTzXmvOlnPRRKuk+o/kV37QPQxMFyY/0Qj6g6OJJd
2rwu49UI9mcx2bHvKE9NZNkhMQUoYdo8N2DWSt/T5ihkvXN731a6qRG5F7KYaOkPfpuATxaydvNR
OShOZZt3pl260a75Ln6XLf04bdXSMs4zp5eUs64mEzx9U6uHimJjh1G5LeLoqJH0H87YpXJMyEGL
wzTGwNe2Ta3bFMpwn6u5leopx/h5+0U1XRwDVZ/URPKxhhM6ZZBm1oGLWCUO6Z+G+G9zjIwXsPRv
4OaUp17DqsktcbTiJdMSSzM467bSRX1pFUzEiJuBNCIIRDHxbB7J4+iYnr9DyfFLe/C9dN+fJ4tn
DuvR9z/3ZpNQvihFutlgr1AmEusExZnTNJwqLbZqzcmljal4t01/XSBSM7gYISnAhiyp06JRTTGy
N78Pd5WdHJOHea/Y0dttMVetGp87hvYVoJSDCulqPq7ES3ogBHL06Bhle3+8T40YvRNvGlB/RC9C
/4aEqTWMxBm8kYzVwA/iGgPNeKCvYe+Y+TgncRlDdNjs8w5tDRjKD+MNR8FV819IYYylj/VEDamU
BgMZ8xPeyV60L9/y0g00uz5Mu+opfgGnCTlLu9uiefrRL1s4HmY2J6Ru4AymsYn1TY1BZbn9lzC1
0I45dqocxbtZhYwxC+wc0CXosritxWogXEhgDphgKMtIECAB22j5QmH3KucdcFXR/22DAIkAfSie
m5/+vlgoTNbJc04pw0V72ETn1FG9yp632quHgoHdn7T3yAtxqBlec3yZrGbL+YD1wxu90//7AMZG
RoytF1qADxidk++Y36NDvfuZHLVdfKcAYlXLrT1vimbVvxciGeMo0CSrFRnYuHMjfo5xB7KyDIzp
c1hotq5MoKxOp3MaNB/AVebYJVddxmgUORpbrYJs7RT2lh445n3saZvoMX9TT3poCxtKs0sh1jm2
tBptUGzDCLqMdL7K8oNUydDEBt3pSA0eM0MBBOHz0FRuFJfHvtHtfBQf6/Hb3IJjLnYJGh5vGzPd
SPYSDUBrvGklglQOS9I3CNkg1xI0z2IpiT1Rn8Qt6QXkNEHWdTSMQnq5LXAtBsCuwM5HCVHA1HYZ
A8C3LrVhD4XN0JKS0tLy+xntULeFrIW4pRDGfCF7jEoCIaHyPUJzV7FNcSfq6ueme70taXX9Fuow
VjuO1RT0HV7S5dja3ZAjXs+Y5m5shYdby1s4xkZxHdLSOoOk1vwIgq2ePOm6e1uZq8wejTuAOEZN
VsSkEpCjLzeHaJidEKjbV7ozH4mrOWAh+anuh+fuEG5uC1vzdx0szKAORVvVFR+9LFdVEw0z/N3/
0CMv0TH1WJZWJVqD+aEIXhV8uy1wfQH/E0iYGo+RdmU8NxAoF4qL/KU1aq2XAT/stph1l/6jGMsZ
loyRLE0Ah7flfd3bz03syD9qpEg3A1LAlhQ7PE7FdRv8o5h8uWtloUq1nFMbxCx97hLi5OmTwoMo
XTv2FvtFmMu5mgNVocOkECa73jP0X5achxvv59M/X5x5eqTNKDSKSM6MdtwGFn/iddXi6LXus+sA
PQiXEvq4SWkJCBcf/aluJzseX2t0/prECoRdNL2JPa8tcjUOUbwFJPXAbcXmtgIgzPikgERTOkZ+
b+exlweDNXQSMgjebbtbXb+FLMYKZCMVVLXG+lHgFEF7zBROqLvqY/iMDgsJjAXkxpSTeoSESkPT
6r6sn4rgXBM7rzZdfMyQRYj3AK0dBMmSNDvnNjJTDa7OKlSYKO6ZjJoTc3SAwlWTOh8WiAkEDP9k
eo9GtUioTauOjQLdOH5u98pYnVNdy+5BzpkUNjLsIYaSZlJjJivged5qSAEEKQohqMZfQRHqcjBU
ja/gi4D7JLvNsG9NTkzmiaDOv3ALJTOnKkoJroKxfpd0gCDO47scs9O3rWfVNxaaMOcYDpfeiGaI
AS9ae1B1NL/5grSPxwjTuGq8B/sCsB7i4ECqgpfvWr1+gTfkv2VkjrahLqVJ1rGM5xTk0fey639p
rDbfigflMXNqVz5TyFXeC3bVORdSmcNuaLtI7UuqMnA6RNmrk6ci3BShPVec6/Sqa/6RxA6Ix3HT
G0ENSSG68GsiWq3McX6OlbCBRlcKXa8LSEgJ3lSlJ4+1RTJOBpSnBhNhzFEqtdDENvUSGvUg4+m2
Da5uCHCYcDkEhwxAJC5NPY/jfFQr1PEipOdF1c5GJ05Pgv8Qj9vbkq6q1jSU4XmGdzbiGbhSGFWS
VIpTRStwZBqT5SuHvv+V0rGBO6FG61/hDspWz75M/qlUHwCyxJG+pigKHSL4MJFAAQ09oyhJwjkq
UIcYHk2PbIrzvC0AqrZr3ePk6OgOsY613TW2wGm9W5dLQEYI1B1cvumfL2KJj3b5WABBMqCgm486
FDxt/BqW5v2oPisJr39jLaJg0sPANRKMS8hlXworCuQ3jBk5KRmzsON8yOJvo2JYKviq8kOfOE37
8/ayrgoEkDkYkABcCp6OS4FCiStKifSonRjFYWq+NAbSoONdaAz27AfPcwaAqSTm7CX9oeyZhEsD
ndkCpw4QTS+F6sjX6LnUQygxLDHZyf1h6v8lL4TzDjUBvJc0IFlcCjGNsUNRCbm2mjRe489omhc3
TcDjDVi9/mMm1YQ66P8ElNylnHqQEy3R6WMwSk9TfT9PSNzXzR0mrd2sJV5YhQ9AmjxPcWOb6cft
7VuLLpgnxHiUCVY9lAMvhWvmnIOFkL490GUjjMe++HFbwOpWYfwIZWgQS6CCdikAzbzVKCq4PmAi
B3xU8H0B7e6BwbEIeiBfWcRCDHNgi0pqFDq9h4FOyupk2eoy8M09kdC5rQ5PDuPMUiENfWfgmeHj
DhsBdDjJPiqptVUeLs2qXy0UYk7nyPC1rpyxboWMnhbzg5QWSZ9act/pTl5E28bgNB6ubhTYkTQE
DyAmsjgF5dCZYl0hPIKyc5rfRQ2gRZxu0TURJqYrwTmHmVKZPS9BQIBMtYAcqBnHtj66OYhoWl4J
bM2il0KYQwa8AzEJcwjJNONB1LpHMz/ftgGeBCYwKEqeFVOG6FOpvSWN92rK2YrVxyy6NsAVSpCG
ROcL4zTiFAVDDa9sjDexuDO7wyQ/Cd1LHD5KuR2ehBOy4DPvDb1m2wup7EstxF07VWn+ZkhmsIu8
tpj1KA1gLm1urx81XdZXl3KYgBfU4jDmIuRIlZZvInl67Me3ejaBwvg9w8CmpSffbktcNbw/66my
NpEnSpEUcKZEFW2tAd57d04q97YQ3vIxZpHJjRzUPtTqzQ04bK1Zw5i0pYScFztPDLXOxXWi0JtB
GXWIKfHiTMfJyrRv7bAtRV5rMH2Y39omuqgLQWSSUl1GO4KtIqcfTB+zjw07+eW5HjsrSEpbVmXc
5P6hmQPlJowfoRqEPkI242HGQdzI9DhMe3Hf5vpd3z3f3qg196IVLRPdikDpAY7rpWa+Ch5h06ci
9OquomkBzDFGYWdlsWJNA6Zkxb2u5M6gvo/Bu1wGnIvwyhailwStm8DmIphrZlYWM+5SFsk4RERU
y4diE5P3UPyqRhw/W7H6CzH0MxYbiApHQBIdYtq22/otKOJI9avNRef2cq6484UYZjXbbq76qIWY
tIlPBCSvOlhJHkfdPNWFb5lID9yWt3Iy6nj3o38CUFLXXRSxBGL7GEOddqxVr0Qu3LD7FfrBRhie
6Hz8WHwzI16n+qqOC5n0zxdLicbVQa1amYYsp56f6uTRspQysuKW0yy1umd4J+BeC6KFK5bCsqmz
IKKCwBWy6YzQ6+dsX80B503CE8Poo4x1oA8ixIztptIegC6b/j2KH65aGC6gIHBwZraTqfWrMk8M
UA30g2nlkWvWyFpZPa5MmCO/bRGr2mCOH1OLGG9CieNyd4DPAZeiosZwcDptq4ydnfLyJetCAG2K
+ws0Y/Hjm0zBTL9qIOs05HYqv0wg+FQDzsm/ZmeSCDQcXMWxbOzUcxCMshB0GBYksbTxQ1Q2YgIo
czI5Zm/abToicRrxWAbWNKOYowYdDsMAJv3zhXHHg4aHcRkAr681RNuss8rRzR6DWcrMUW8t8C0l
MRFpnnUALSdQLzSJXXbkmPfmLshDByfN7u9tAmAenxAmCgA9GKX6VPBTM0ESuBw1dxDjTR1r7lSb
nNOYBjfmkAS4DN6hsHWKLMQc+gCzMdMCxLKYq86taNoAaC40DppuTbF3W6G1tVtKYs79UMhmfxqh
UC548yhbmv6tN92eB51Af8wthZh1kwRZDKAuxKjzvT6Ym6IoOQF8XRPK1w5XUoFdemlvIEfQURJF
RivLf00jkrdveucOPFqJNatGXe0/KUyIixJQgoc0S9yVD0W3m0J3HDlxR17TBOMXyOzoQBcB/M+l
JuXYZ4kYq9DEQsT5UR6j87R/Fuz0MG5Vrz5EO32Peu69bOV36F4+PIoO7mtvtw1jTdHlR9CPXLhv
lGVmN9CPaKe7UX0VusgWeSB2PBnMltXjUOPEhQyDeCR4HwB2hsGH23qsxT4U5E1dBlA2IazHjqmc
jOhURiIynr+VWXjsleyQKLGXgpNArQzLkMKGI3PtLqEAHYZm50B9yd7E1AJsWW0AvaK+dCTxLsax
UWUFpp8CWyvdTkZBjGP9dKlYB1uKZLarB5h7UIqIGFWm36EjzpaH7HtfSm5mGl6vZ9vbq8rTkNk5
AgQBxdewqgAMKOyWjB9+CbKKtG/ei178IppB4fqReZehH5mzuGulK4wgYEhJROUI0IdM6S/uw7gq
J6wuWsg8JYp2kibbUg9eZL3d4rBBNjJ2KIdG3yse+kddI/gQheAhDTmHwbWfKioByaMqYtoc2JV0
kRYuMqRhVkYjksxpZ1o92UXl19h413Tv9lqvW/Afa2JCjiB2yZiW0HfWpXEjlsgXqobYO5kufIyF
/0UspFOo8ioq18qhSgOie9q6hkFGliQimDN5KgV6BA0HvNaUMbEweVb7v24rt5anhBxNB0SEIiMz
wQQ7MmLESyugXSZrJzHR7CnVHOCgbiohPmTJl9bIduoYYHJm2gZq9/22+FW3oflDJK415KeYg1br
+74GlgDeTMX3NsngKREQ8nvcJD4y4W8xCXFlRUPGH2HMWYs/ivym0ZELk/1zqb0mc7IzGwBeC//y
mFlKYhZVLao21mqoNYE2FveMg57ruI7r224s7uNWdOqwtYyZO4uyajQLDemfLzwixx8ZxgC5YVxu
5bS2Y4D1qxWmT8z0NE6Tjf70h6DPbTkWt37XPmWldq9HAyZB23RTJZ0l9TySt9Ut/hMu2EozBVqu
AZ4E90HBIA09gNNoxPFRvZu+3TamVUddSGK0H/TaLKQQ2pPxK1EAqbJNUfxCk4gP4AOt55ju6uG5
kMaE4GISiQRsORwyCoYDJ2CryJYEfMvbOvGkMMEnHBIVYPPUkgCtMLhErQErzqPOWD1NFqowgRR4
Zl0o0Yg+d+07eEaOIcjWev/Vr0OXaJEbhR85hmP+vzRjaVfbStD8MYNQX5QdAkgOo4k2pdByDua1
my+4gvAKUoCVAHTjS5fQ06ZUzQQPvEBXvSHWtvGcbv5Fkz8i5EsRGOwBNaeAuNL0wT7WQ3Tzh6/+
PHPErDr3QhMmVhZKCwqOCZqQKdjVTXmS+rOUG+jx4YHcrJV00S1LwHWGSUM0lTGLRsy2AUiQictn
0FmAHpvVc9pYqvKqE7Coep1/D2janPRW17mAj729nFzpzHqGuJY3pIaiMhJpBXnUwn1oAMn/INdu
2n3T8CVAeAXeuIwWwcG9LX01iCxUZ1a50Yeqq2lCoIhqvC7tWdsEUecE2UtuWkTgWOfagOrFSjNn
UhCEZZjhSWuH853auyV6/tV+M0c1rm+ArT6nsjPGnN6DVUOivdDUIRSwgl3aK3gKBlCSQGbph7u8
BvEHCta5IWw6qHh7NVeDPybewD8PihxMkF+K6ic1AxYFUgNA/0ZLouQKHQGoR2PP5B13y7++EFJs
A2qwgJwC7zcjbSoA3iYQgGTjKQI6pST90VYmUPMCIGsBPunltm6rCWdcPzFBCMYzWWRzYUFhGoA7
gjg0PpJNk5THtqkKR22DcdfHk7bpNOV7G1UNkBO7wlFGI7BKf37KtFLlxIbrdcZVWAMdES5RqDWz
wXQoaqVDR2FqE2Nw5THdaSYQEhsCDM4vwUg4Vnt9KF1KYxx07oEyF9eQ1s6SU8mym+oP1fjXyUwq
xFTQfEDzwWwHixwmY6CbEUZXs+H7MGrjg6H3L0XcFpxkz4o2MBZU6gGRBsBmtn6pEmDC4hoMaHXh
awM+rS5yuZgY1ycsqEhwj6flDx0jgnT/FhczqRsHwPZQN9e+pf5uTh2QrQD+whmTQ1G8ja+3TXNN
JfT9gJgVGRdkHJkDXWxFpOECAP0mkysYW9V4mv++S0qhrUX/E8H2YZXyAFyqEiLq6pQGXyrNFXLO
QcBqgXzpBRwGe/eRuwZAp4Ao0FRKEfyFNjj3vLLv5/YuX+6sFGatiKZVvT9BSgwonj5pNtH0Wkwz
UHkcxfgANoGEAXJgqYKICtgTuMWGzpzHAOd8KuPWSSKvaN9lE4iqII6c32/v49Xr7PfHARoYOGLI
ebERrcnzMisnCVig3cs4HVJlp6Rer9TOOG+D6UfjHzJiJzxOrCv6WFYs4+DJPCuCmQNwbqDhM3ET
4I9EaeS2goDhNMeQDLvwP0DaLIW1VaRAjdZtocqtKdikwjmTQZ2IuXA7Blxpaxwa3vexZ/Tn56ER
GJBNiPMY4b70piIGoWAoYFU0MjjxhMJU21tm9+Druyb5Ms1nzi7w5DGGKBQBssENliOOxi2wHqVo
sELJK8tdKuyj8qU3nlT1hHJtiBqqQE6TDkCD4Gc8OpH0qJUV51C9OnhY/RmTRbY9k/qYbo/6nnfz
rk5BCgtolC56kQU76V4nglaZ9Lma8EUuZzHYAjIjnGWiwI1RHcE4rAJ9tQX20jH1S0/zTz4AsjPA
rJU/zPB7/Nc5GAnsejKtBaHfCB0LzK2sFwdjqAQDfBfiTo1BbQ3uAvWoSK91fy4KTj3jOsOF9vLP
SjKuSOhtZEsndGaynwV0r75737zdz4fv7t1T4PDgsq/njyEGpRkAwKOPCrh5zHUlEEqlA61XZL+q
1snzLOtobTaW7W45NX/z6sIHQaB1ARQgTjcdaBiX/iL7clrIQRnZzsk5ee+n37887+SdLIjFb/xy
/9/f+JeNtbPw2/v8+/cfupabW8ej7WwfH7e/HrfO4fH18fXH65ZjXVcHJfDsUERHghG/QY/KmHZW
tSrxCyS7B7uxPc+L7M9fWx63zjUkAxWEjK0EZhOQRbLNOOJQZEk2YfGdg+N4jgelXYtzT1rbYQV1
P3TGKmhJAIHK5cLXipllVVRFGJM/HF4Pzumrt3n7Tqw3l7PFVwcFzvgLSUyIEvNA8s0Qkg6nE7bN
dnmqrG0MRpnAiwsmbKTVGVWiwiziJkIK8nBynPeT99PawBzsLScr8JlvXB7HVJGlHEYRqc+KMCkg
5/T167dn8Ghas/U8WucZrOUz/h3/BdHu0bW3T79K++nXE2ZA8NevyQIQOP2fx9sm+Ynpfv1FtIka
BSGMFtJryuLuVgOJJw8bCZZC3WV3v8PyWrYD3be2zVH/84fdEkZdeSFs0NFCpVZUmAPrt7zzBp4J
Sc7W4Yj6fBNciUJDMcYHEeNAUHkpShybYGrNhoo6UQ/wdtTtaSCAetDPob//ZS0XMpmLRQDe3K6p
WsgEpomFfyQWwEqtV2iLRJr9c/O2eTg+HI8uZxOvp/qpWS0EMwdIV/VyKCYQjAhYWJ73vPli3/GC
yqq/L6WQyyXVA0kGwQZVzzkBBRQR9GEDS33hmcnVDeDTSxbqMDapRWktiZ+C3h1vt7HueBI+M+9X
1gHgLNw7wRaisqDbSlzkQgL6DLpTB916773OdbzNw/fS/f4ZKu0t9QHO0bvu/guxjPsnip9lswSx
1D4S672z318bd8BxMNmt07i94+jwCgsnJbFa/JXiX9/ABGC3LhDlLc3K8RfWn3Mwmey153PFFx/G
HExGHoLWhvzeWnqMOqfPf8BxqPPQExXHKHVW+g/8E7+O+N9PZ4I74ZdD3fi2P2nUX27sEtvcKVR+
1YkXX/X5bZ7z+/SmX0G/Bb9xItBfvC9QqEmzXyCjswkpHsxeo7fp0uSLAiC4pAbzBBWMG8XnL4TI
s/UG7e/sPQ2TzqPHu9Rc3WnQt6WaqFghO4DGQrZIjxb+UOkNyO27qbY6oHvJZmeZieoqKY9U7pO6
/EJJRtj/cXZdy5LiyvaLFIEHvWLKbe/Ni6J3d28QXjgBX38Xfe49XUVxi5h5mZiYHVOJpJTJzJVr
zU7lJs5JHDk6Lr/CvQvd0EU86nXub/zb6Pb4Zzi93AKM18Wwt9f33uP+cbsPAgz/+/vhF6Zlv5k2
0uvD1e7Bf3h9vXrYte536Ev311rFfbqJZx874bMUPAhQhzwDYpiJzHK0JEzpU4VVHgCyhQggbgmR
b9Gz1t6O9sj3YZWnK4fswpIA3WZqCFfBcYVS26krOIyIYTQAwOxVx3ARvrU+tK7ezQE9b0lerXVy
LJqz0OCAxAq6j+Z5m6pFa0A39sgJkE9DRC6hgUaZq66pHJy31IFNAK6tgCoc2G0w2Z+OK5Rc0dlk
SK2gRmd5LZjVeA4oMNQ/pgr3e8he6nzT52+avYV+BlDdKQkca3t5s5+HJbPvmHth0lOlnaDIVgzh
SQ1sNHQDxXjEwEZ5AyQFy69tHJxqIEDC4/BrSlYyZdPhO/Osk4mYvQHrkZTpoOEDDDUKPYl0JgqO
bm7yApmRJMhCFlSaGVwe9oI7nxid3QhML1szngDLTR8FcXmogDVEGZF0O9J//AtTAHxBOMgEZmWe
GK8ZbTVBsXMomEhIuC2R2ay4r3U+YysX3eQzZ1NJEV2ixILa+9x5naSw0UI7QTXp3djss+5tXGPx
XjaBlo8p0a8o8yJOrBhdLiY8coTWo6H3B/U7Dd8vz9j5Q2TySfrXyOxBF1URG6FHigJ+bSs1RECU
GtqoYfueoeQcWE5s7MJkVJ7yPgXkpyzldVOC3TXoW8L3ScrNtUDo7D6afdDsoScibSy5ARxxpPm2
4lUReGUc32RXdvfEogfK94JueEt9y77hplepax8wGThfWRspEFTQQMUwe1aD1csY7an33kZnV6N6
GQl0Y28pN2btFSYKWsSnlWeD6ln8NNbgcef1pD/D/2t9th5kMAZzEHDhQtlGze1oM1fjX87gS/mm
OJu02tTVyoiX/eyvydmMU5mILp+atHT2mSaPQ3mTGd+X3WzxDKB/Tcze1YVQRrWcTEBxR6l+Qscw
c+66EcJVa2iFtcFMfz+Kv4ysUJx0YhnQ4+G2aD8JVTZatFb7XjxIj8YzO8lpApxk1U1WGnC3lABw
baXj2Uhz21Vgr6FZz0L3mU/Mju2C5sl/2Az68R7C3Qa9tazrHj06EA9rDlAQubxY6tpqzU5sFPbN
uCVYLZQTx3f2Xbv6bvxKv8J9sY8fS7faJs9wyC9z5TW8tHZgFQYuHZUWCrj96dpZukgr9qeuWT5w
+SOMobyxxhW+YmNO8ttqiZrJDoUckTDIHiWu1u4kpC4uT+HS0+ZoJH+yPUdeqEG7RqKBE6CsVH+G
7nTQNr7SycRV9ZXNu+SJYLhHczHgX5CVn21eqGwZFY1QoIWQFSgdMohlDO8tb93WvJJse3lYi5N3
ZGy2jdXUtPpOhTHJZGCFDzEQ8FX3ddnI4twdGZk+4mjuGE5AvAphxMa1p3U3mbVJIRSosP1lO+cp
BWwrHR1NKLiaALbOIx+nycNxqHGFQ0XeLX72nXRR7vZNNaiEFjjRUwqJILVAiJB7beUP+l3U/6ja
lc9YHO7fr/iT5zwaLpT6Ok5KfEUO2hD5ozcPevrEyMrWWrKChCziCYCvNWjwnU4qpbjDrQSl7ma8
ResCdW5J76Ot4PKULvkHntdTSQdaVWcEXlbZRbXMwFZchz0gax81KLpkvNKLc55iw7qBqBV12KkX
5yxyHKQKWfXJigruZq9NRWpAwalwdokmQNWB8z+BBMiYVmDjddobxxnLQInRuXPTW3ZdebqTOuK3
JMiVQmexCKnmjXHU+k6Yar+VOjVB28jQ8hEUZq6ITT0AoxsYTtY010DE9soWpOQ9XiaVURq+oefh
WuvW0mI54ExGVIzUHurOp4uV5poKuDhEf4Wq+TkLMhUSY47bDisV+mm7zl86qMLhjQOaK7z0Z/dK
WQKLT2xMpKjCdoPm/W/AZA33sk8sGgElAJoGJzrTud4va42IQDwXQU9RX3GoiqKxZOUMXJwvCvWw
SSJ20kg7nS+ri1oxjkAaTC1aft9/VmrlWr05+GAkW9lIS8MBNwtEsuiEXNZnc8ZQdxDDgNMpGTLX
KR669P6fzxfmCuCZidjnDLrl0A6ExykGY04qpe0+bn7+GwNQB1Im6AuCl9PZomHch9SIoAkvbTDb
KZ4DbZuVRf9zwc1dC32AaKYEf4IJCeZTI0WlZaKKY4A/arZV0WamIaLNfGL5uvkaxtIX5Dp3FJeu
QSEX1+fI8PT3o+O0K8NuqNIk9WyR/+g62zNCbWXbLLnb8dhm21MFcxbEpTG2UPswNR24IGA0zM2w
hglaevZBHhcyLEB3I9CcLRSURGwnHiH8VdnoR4jET7QHeggDqi6+pz34SY08vUb7x4qHLw4PAnBo
eIPmAjrCT2cwQ/mxYR3Mgqs3Qmel7iex/ZUW+mtOfl12xWU3wT2BBDU4+AHDOrWlIFmcW5OWfVfq
nsWu7eJusG4jvtf034XYmeYD0Z7tbnfZ7PSrZ86Jqx9XFCp7iN9PrRq8GPAowAitKrrXwCKa/xIQ
JHWSrSE3l00t3oh/9B7QqGGgH+3UlIjQCTvUOMqJoLeSo89C6tdNmASXzSytGRL9AHv+x8zsxZ7W
Rls0Fk7ygemdq8vey+zC5ZAxi9s1Yuo1W7NXupFAMYh0sNXlH056lSc3aXnbrglfLwbCuJlAAwrw
DLhXZ2bCjA+1jtvYQzDyu61jTyita4N4q7UMN4uq+yRP/UJ88WoN/L94hFjQywGJmYH+jdkGKIwu
soUG9xANwrtarXYsjNe4RteMzOL8WLHBITjACJfJq2TKs52tmVh0c9xV4MiZ3pfzDhQy2LQfCW6S
gbS/Rcj3pRw8CPDuHPkpqm7F05cCEbTu/9fabEC6giBfFjgVW3XEQ1ppA6Rc3VD+cCLyxjp6q5pv
l51+MZ9KKQhMsYXBE63MNheQpCTjBCaLqHyQY+apJX+xneI1VwZXQsTczFW/yUGkyfR3nQ6+1hp+
65QB6MFWLrzluf77KbMNyAAXTVOBa4ea0hMEW++2EUFrNkHar5hamGg09qtImuNmQKQ8c8+60kaR
/dGD7CECX4M8GooUO8vO/ND5JGsyLGvWZsvKW6dBr3uObYh42RpfRAjyBQ11GoRM9GDlu8trunC4
oIkbUAtASADLndPd1GVljppscX2b9hZ5v5b8MptHZxQrl9zC3YrWYJRGcWgCFDCn+jX6ivAq6wCw
BAKregaduUkOubFTAZOvNETP5Uq+eGke1QmOPwneQ0Vkdpw5WQsVZIabLh3vezBJ5f2VFuzbOOia
egUevuCLaLZHBhxt1lTDEE/vHIVYVaiUuHPq1rnq8a4A7TfAxOALcVli31vGP9VgBKALBm2goNCo
Aamx2djGsOhZQnBUx1LbtsRxG5Q0JPbZP/eNIzN/KrxHT7uq1kqzmcwwhEVxfVPWHiu1Ta+tnGRL
rxIwfgFCBiU3UD78+fuRIUHNtilHiRdyWUFpNiRpAgZGTVwNqfFA+po/OHzQfzIBztwhL5JNFFst
GCEjK1+lxzsrW09zi6IVEiKgTAWo6nQxSeRoWeOo+Jb4unTQOSEbMLhNb3dX1zdEwYGGegoVPy7P
9aK7Hpmdrq+jKYA2XtZ3kYb3e08eRIGNGFmvReRsCR3vhR1DXW1VPnQayuxZdjLU2bvaZD3T61xP
vVL73ZdB3201Yx/Sa5vubeOONi8gDxNm6prxXrKVEHLpPDie5tmhqpBMtQeJ8fL+kyufUtuk46S5
fAAzUUhrl68lWdcmeHaujjUTvIAaGMq7BFDPNzG+ZCx0tSL2ZPap/mPaj8mN0FwAwCL6qkH1dbqe
rWzGIizgRo0SuqTeNba+6RxPgcC9rFeqjOf9P5Mx5BQgDwfuBdASnBpLwp51hGNsulUqyI1zAEDk
APRxZqAjX2U/jTAugySS2kFT1CfCVN2XdmN5SABTXOJRtr/szUsnIkAG4CGZCL2deaaPylLEZg4S
iJI5gW2WV0a8BbmKQ5KtyNbavM7A19NxeGRtntEDujlsSm4iP5XftSr4+0QlIDH8gMPLiwrDl1ns
55V2I6JNqfqaZ+8t/lzG1zikSfao2G5830/qPGt8LAtPTnzXVAdH+mzSlz1dFqLXBCk1zEKPumgi
yjtcDSsTvXR9Q590In3RTMe2ZluYJiyqSDOdVgm3E3/oEuDLB1vutWoUfMN72jxdXtoliwDfAtQI
Vj6kZGa+1glUzJwcWHW0XMV3bVgjT6aMyY3oVI6+0WaNmmAawfyQQjQytZsARowG79NJRPBhEiCZ
EZTXxGctOkGg2P778pgWL6BjI7PT1+jHWpERjHSEUrcvYw/9iUFq6n4TS7fo+u2ITEoe0wfwOaE1
iv+6/AF/XPRklGh9xRMCWG3QbAJwPFtHBaF/TEbkiOJr3Y/3WSADGhiDSwCU0bfxd/hs3+D4GFzb
73+2XtusvHHPMZuzD5iW/ej+4dTKdGbjAwAj25DdyF312vlurt9/OZvh0PvhVX9lfGuB4bbALlwl
zwDMx55yuG1GTzAX8gMrX3TmZ7MPmh2gtoZFoTGCKTEEVl2gzrfh6P4J1xoKz44q2NHBXQM9UdDm
nyn71OnYsrZlAFP2dyDW8GqxkeV9q9WbUq7c8Wd33mQKzfnWJDcIGOnMlRNhgpLRgCmnaOlDAuDq
g0zrK7BbVruiA65UG+SXXg/9VcL7n5c97Owsgm0wBtCp9Q59MfODQoZ6TypnynLCy5mdB7W6Mrqz
C3aygBc3hETQyHTGTBCC1DLNrSk4NNvAJqZL7eYqKflbYw9eNzaejebUfzEoBNoGKPYAoFJmuybW
Wx7h3Y1HhLiPQbjb2NvLBs4OH4zJRLsBmgD+4NHnh10WV9QR6Jxl+f04+ol4aNfq53/uwvnWh7Yr
CjjoREQtdjYIG33dZfcn7/LZ38VQTt52mw0ICHbh1qZe7Y9BIEGXE3uZv7bHlm1b0LbB0tkgLp48
9mjXO1bVq9xB5JLsYvQtP+UbHK6eDGpwYHnEEz79PVreeBNu+tGtr1YbOhbn96/9eWuMEvNSN3rY
b6E3i2sZvOGe449esZXBfvRk5Kveyv11Xmyf1vTI5mxNed/FbWQgqokKN96jFepgv5PC/UKF+meP
wftgSArYW3mzxnhzDv2BnyJcA50ZBa3PWRdWqRUtGL/DqVP6DSqnCpA13a4PQY4SAuRy3+E9ItAy
ZykumuouO/L5aXpqetq8RwtdNj0gwjpMa3a/79VAqhbe+49j41+2c/4UnY1x5lEN11SWjzBUXuu/
qs34nh0MiMFVsWcGxobnbru7bHHh6jwZ2tyH4qY24lSBRWXwjM9iB972u+EmfOx2qZvdQNLVM738
AdppLyquz0O5MrML/nRqf+ZPeawyhUPvwYv25I4+ha/pXrzGPviunocwGKGV4+aeeNZux7XSy/nu
ObU8C2nUtJF9o0YA+TjAcSdvUV5umjWW2vNL69TI7NKqGJdxLTG8UQV9Vwv1Ua18rGnvFo3yGqqN
m1XSrSX1Li/rOYb01JHs2ZOsx7gSNnmssu2ulXhHXeHx3wN1W+lqd9LvD9qVs6G+/nzZ8OKkqhRP
MaggA+YxG28p60QZDUzqJNOrgS+veGVrhabF3QiGL+RSkfOm82NXE2FHusmGoFa3kyb9nYzqHWRs
yx0Cvc2/GNBfY/P90UEzAXk/GIv036YSjLiFQ2NtE5xlTabVOjIy2wQ2JHrRaA8jBrlmht9Z1zEw
i3mmbyrtUKvBWP7UyPvlga3Moj1zf2hd0UFlsEm5lvtVGt+Y3WC4CS1IUOjAoF42t+gYR0OcOUam
sLy3ixgOqT9E7F50XrvWR7lmYubzEY2j0Q45lsr5AiBcR0bEXiPdXd5YE8AVyXPIQMzBDlCjMQ1p
YhwmvSGqN4qbAo0huP31HUv3Jn+2CXiOFVcPkfy5M1I/tiCUuJaymBzi9NUDhzn6imlxjy4kmusl
wlR8RV/tFd3Vot4FWYmd/Ij6u6xFoy7zrSigq+RKi05zZNc+tRtVaC8ta9gd4ifNQqv2DuhXH/mA
y85yXk3DhoAZCnoE5DPP5ILqsUUChMEOMVruGhiHaqGuxQpfA32lGw0Z6muqT2r9gNLaZeOTm8zn
Fv2TU9IbqGzULk7HKPSYI20MfZEoHG51IoIkXWOnnqbpzASEh4BmcNAKd6YcyJk5qBqGlwjnYNjE
T5XGk73+aRX2Ply748/j8z+z+X/mDGU6fo68BXyIohi0BNzKiNDs32Wv+iFzjfoRuoRulUOputhk
udzjwXh5KpfcxfjvOLGgp4YtrtSDBi0ngMVqX+jWPuTVxgYbWgdgzWVTi89DA83aFuhIJsbOmWum
IG9ocw5bTo3KQaePrtOOaBZI/cHqXLPsg+m/V7V+m6jpDt/qj85KJWN5oo++YfZOFMhb5qnENxA7
Zs+VTeRVZuXEj8cCAmIK0meShOM27J3hUHKtusv6atuAQm0F8vH/TAbqUX/asCGZcTrxapRm0AjB
hyhW7LHG79pdbP8kzSYxN6HhFlYPQhC3g/Zvv3ZCLq45hFwgrAI8OtA0p6a1gdIMYFLMAf8ERCHR
f9EpF7TywFk665HQQs8RoHUmQFSnVmLS66Qoq+mdYR5aq9hFoAyXw9eKUy2dBUgr4hAC9wjY3mcO
bKclV50YzyitwxHbQ84gt0nmmg0SxawFfzNDVSNuMgalA/nVl8U7CP8ehMGQF870F9YY+srptHg0
AtMCiXkg4DQ6R3SBjQ0XU5Xh7KizgOnskdvjroHuFZGgB2H8wWizwOyzIExXXgyLb3XkQNCkCb+C
/fnSJoAi66gueUl5X1n9llfGVzokbtY8oofSV8PoNxpNoDPy0snW7coPsBJGgay0fW0meKiBbph+
XF6haUfNT1KsC5SKkArGU3C2QINdC9EMOKx5j6avDsp5wxaJR5ex/rbIuw2Dfv1li0v+fWxx9m4q
0WcyDCMsQpFSuDqea7WSfnAT6i1krca05OXHtmZerpJm7DUJWwle01Ry1y5fS7m7PKCly+jYyLQH
jm6HyiToNqcwMuB8jGPhcrDg0wNDIN8Fl00tRUPHpmYOVKRNGwH8AOa6RvPqPACHjc0/WRL6GuK8
AeRvZbtyJi+bBNgc/Yk4jeZ6XbEsedJNamEKE7AUe1Wi7QcKeR+L3rKJ2y27S8i4AvrVl170EDtE
ahQiNaCLnY00Za1FQIiJF/2WvxnIPCOMvS5udDf1rkgweGxPr3vfQI9xdlP6o8ue34Vn7PsDf2bv
4pexssZL55gNsilTm0i7UGs/XWOSVeYQqTiUkS9yFdu55eHqm23RWZEhpYB1aXg/zS7gIs9G00yh
dMUeID++KQ5h0FG/97SNuQ03iV9K10tXNuOS706LChWKKfM/xw4UJXIHRQ3dsNyyh/I+GzqZ+QlO
TdPnaSm9OGzMx7pG5+bKc2NpsOjbA0AdvG9ISs0GW5UZ7nqoWXvZcJfomwbtmXLtlbh00qD2iXsU
Ah+gDJtc+2hjKk0vc25KcI+3P8h4G0YvnL5YzubynlwcCWTesGRokz3rHxvtfkhxnWKDOPypbbvX
uIpcR47BZTOLTxL0zU4SZfAQRE+no2koY6HSo3MvpTdmFFjJlcw3AzgP23vFDAo1AB2WZl2r3fNl
w4vjO7I7O6+jXm0jGY3TGYr8bBLvdfFYZGRlFpfuoePRzTZYHPIxzKau0cg2Sq/S7d+T0R3lBshv
y9ze8LIFd12ef14e3bJd6NOaqJbjTp75iClzodeTbMrIM49nzlVnQ+B1JHeMgJhAhUyg9X3Z4tJR
MjEs/q9FYxZMsCbjnY72W08vQs+JISu1pr21+MQ5NjFzFUR4hrBCmHCgC1S22FlBFN6H8q2ENK22
09BZztZKeEv3BMUDD+g8ZJfP7glmlmY9Tvz3SVcEjvkBwIjXJ9LXu+aWV9AXMLJrRQ77y5O5YnU+
mQbu96TrYNXp78YS6Nd7LXqtyH1t7CrhCWPFW5b2wtEg5xQsVKdtQnSYk/FTkV5FOuqRa3SqSx55
bGO234q+KqxQgw0jqUFO5ppG5GpTAXrwhwa8ACsbb21Is403ZE4yCAXm7OhHCp68vA9We56W0vLo
OsY9DrcHvH1eetSTsBE1HhJeC9gk36haF36AwsH6yceEbsACnT/1hZPc2n1Tjd5QheQuyxXA0WUS
yutIpOlVYzqAs172noWxT3BA0OYizALV9mzsTk552SC+RhZqz8JDbfeu07GVm25pN0Jcyphgjng+
gFLy9OAG2VtV6B0ShVIK85o4QrsPM/Mq7SWCyopuh06TPt5wNygNgRIpLsZ/MUzAcnS838CeBY2U
2QfYdl1mKYJZ5jw5xj06p9Q12Og5k46BqvKRjdmRo3flmFPkzL2Gx16SjIHRFK4cFd9mVdBwcq01
tht1FpBVwkt06iVZ5yq56iYQuB0A7e51zW2UTxs5wcuLbGF0swjn5Mtm+8mxE8HqKXFahQHVX2WL
PXQI1ypcC6c6nNuxgPYE8vqMisDq0hqMK4gqteo7qZ6j6uXyKJZ+X59AikCo4w0wP3nA+A/yVRu/
P2KeBmgf4cK/bGHRT8EHA6kIfD6QNbMnWQgJiMYMEVwU1hVtdn0dOAW02T6MCGp95raXSLmswPDO
Id1wm2Ob02F49ESroom6D/3Onv5EVXfYgq/DNT6KLb0dUXN+ra+pb6zkfpc2PVjBAH2awLlnOkup
pUPOtZjCNXKdWluCoC1fq0MuXEvWsY3JJ4+HpSpMaZppWAJ6JsgR+WN2w/gLwF4JmB7XnqCLu29q
B4auMx6GSG2c2otZZKt1j/Ck9Tpfeem527kog3iQ5d1wKN9Mgjfkqtmk23+hxzXJQCCRj45CRIgz
p6nrIbRaHXEaVw9GdCj7T4evxIKLt8exjZmTFHlitHmIwEjZ2i7fhYH2wa7bDd1GrvUY+upKhmjR
QdA7ixQRLgewAJ5OZiYMHkWTeLOj4lb4KbOboVkxAXAXfmR+Kk3x9ISiRrg3x0w2cV8NCZoZvJRw
8TJR2XyZStK9ou+03LUl0z7TOqd7xmNya+dxc4gzNQti9DjtWKFE+zCumg+jZ8oPERdsp6jhuImJ
GSL7YBX6tuhCtgFwvz0o1tgZ7mjn4wfowaBuEfYp3KM3lBJIRafysyFubxqewkdqq/R43Wo39WCT
u0qwvkF77TBuhSrCH1qspjdW1pYPrKz7ayPmzX1KqhZZKQhpA8mQ0R5MHXXoh4r2BXVeoN1zo2Ya
GC3K5rltOcet0PFb067M2ucmFIa8EkClys0jG0C+Ea1Tr42VGFtMnHzElRLuVZDrBVCJjEZw1zvG
Lir7okRpSlTXXNenL2PxvkPzpq+JNgejrREBbUkLuRGWWW2UXNJs24ai3aFUIPcWy3joKWOkv4Tp
6BykVUMtXulznQfMSAfI+2aKca2VCtuFkvaxW9ZKXbstJnEj0d3vm9VIPnrVysiua1PutbbZ0U1s
dXybjdR6z5oImANFIc8xrrjPkTnsri6lERA10luPA7WauhygJMMH8ZXRBYOSqG/6qCHUD3vrKs1a
9UebVtpvo+DKvbTTOCgqlSOmZGhS8klepG9ZYkkBoHKR/sqZ2R9idMa8xmrX7YtcHb1KDtkN/vf2
JnKcHIJ1tn7DyKCiAKtHe6fX4huNm9BQBG9j6QqUhd6o0KwHmYc0BjFvpZduaTip3LAsDNNtW0ba
vtDq5iGJdbEB4JQ2XqzrwwEqfPLT7iIFkKsKRSUH3LtbCYJNQGkAib130rC+TZmIS7SPTM8cNDI+
hUmWPxb5aBV+XEblvi2E+AgNK0KRXa3kD6OLSeWm6jCaBy1Km/c4sckGOhDlgbWK/py3pc72IK7i
uzbRxgf02OWbLBlMjzBiP5i2YPtGrU2U7g3U8APRCqa6Vo7iCRT9IHCyTeu6f0jLbujcPqXsWpok
21mMQKCTl0R1bajsfOUA6jzrmJfIFYC5PoWqWec+5AfT5yI2+ictbNRPWtLYC1OqNC7k0PPnXO/E
DzNF5tHVcqtxINAVibdCpvSB0bAG3V2p62iaMLIrR0KmZ2y7fpMWtXzWxKBVbkiq4hvUBH2gAvHw
rFk8q73UQVHZzbQCMPmM0+hJTxjYA7gZSTdE/PqsDRrZFKzVI1cplBQyC6yXr3oVyj1LswrKj9Ky
rmSpsdtQb7CBC8XssYsGYw9Npu5KykT5GApddbVEGPh002EZ4LyFfZtVSHy5KrxsLxgnODqsKhnA
RTJWB6Miyf0Qj8BkosNY7AXUHze52SCvbo5RhSyl2V8TvL1+QW5AvpQ2bfeZk1IA2lAsuMuRxsjD
QUR+WRXVj9Bh0S1Ow9YnVTZ82ZkmNqOhE4SQeR+5tV0CnjYOQ3jFO47ojg4W2wojzp56HNcbJa61
zoUh0JbQUmyAt0xujLKIHwkbop0V6Sa2Q1JiI1lRE4Q6WnLSYew2BcQQPzJaE9cYojbIhsTeScXu
etcKzc6vqsFGcUDVAM20W5SljcEGmY0hZMDj3AiKLjHltrSsinpOZpijC2bLmkJRlovG16I6jZC3
qABfMUvbBgUBKASC1uaN7tmhnQSWmqTPDsjMazevewIic4jGDN5YG2PpUaVOvtFnQkMoqormVRSU
BYNelR+2wZpdF6XJZjDS+kMPSbMTYHnzKtI2QWVXpQ+CTfkS5WR8M9RW+ZZG4ri2nRQPgInZ1yG4
RK/QZzfuVTgimi0IEGmXn5SLT+8pMTYRbyDOmj8OTKVmQ42bNKMBRI2aKnUH4Tv5Goh26cY2dfQ+
wS9BJjPv7pJajNgywctVZweN/Bbd1klX0uBrJqb3+dGLTgFJE0jNYKJ1nmjHXRCEKGv8DGs2pr8f
2SiSqkNPMV6mTvEtJhL3u758/Dcr8nemzh6mTovLCMMocVQI880pPlnmyWotvbsUrhyvyGzluapF
oWXCTo6WGv0l7v55IgYkA3/HMXsSEoHLmRmYKpEFArDx2nxVndfLc7W2HLN3YJxoegcGNIS09SFu
3yr6lLCHyyZWpulPSHa04lBlhv5wBRMatKdTdI1UK22Ii2Mw6ARORjoF2//UpdCWmwxKhsAgUw8c
vAUZB7HOWhA3RRfztywIuf9rZLYYnQ45AaWBEesh+yFuw9txRzzLbzcSgkNe+UPZXZ61xajx2OBs
ZZIUkFUQTiCj4qm42+7H3X13BejVvb59ob5yvRbkLD3WAZlXwJAAFR46L5YrDgHNYINzbMiA95D3
DnlozZvQuQM6+fLQtKUj8zgumGUrdCPtK5kgLjBdQFg31Xuzv5NB6HjWNr63fNuLQLHz3hwsl27L
79zDFfFiqO5OIrESXP6WJTQG5Kv+xiizqDLiZEDzP4u9Tn8c+UYBHES1PzT6pgA1iKGT0k2GjbHW
Wb60KQBRBhOFherQWTBbtXlUqBNikNRbMZFHVtXKLC+G50cWZod52JZaSCe4IG2Hz1L9NfX+UQX9
zjoqXvwnTdN7o1nr417MrxgKGqUoEBEmOltP92Id13qtxn+WVvNSQGqQeNg5LZpXwjv+tbJ2U05v
viePjc32pKjtuO0JjCUOcmt8b4IPGpsfvCU82vX8jRm/YvG9YnRyzktGZ/sSMq5I/kMH0os4KOSq
X9kBaWXP+Kn4cdBv85cVc9MYzs0h2ADNK9B889yDoQgRMjKBSx4q9C2l+y/uhTeNa2cumlnu2abe
owjh3IZ3a9WqJQcCLuu/lmezS6sxCtnkolW6gajId3it/Kxe4629gkM6E7tBug9soH8NzWY0pwmH
qB8MGWhoeSpeN+OWuxm6sgzX+pXdmI/RF8K920kv8bZ6cVb2yWKWAtg3dHVCmhdgvllWt0ZQpxkl
FvSmeGzunHujdJ2twDPLo17oxZ/F/XCFoJr6a2rKixmtY8uzc9CkUUGjyZWad8d07/AsVrcgE7JB
3OZE7rCpXO6DX+or3kIdc62tcanWCuH3v+OenXyc6CTHwxkkJK8SMdnuTrXd9FX65YFs+WatD2Xp
epnEXEFMgMousminBwOvo1SzJiRxwW45d6W1acqtrG/YWmlp6TVwbGh27oEpaaDdBPAl1XNbvevh
vl2jhFs6vI9NTJ9w9KKJBdyVT0fraO+hFrkNVf1fPGkmeQ5kqtHafKYiXKCJ0dAmnCKEduWAJqWA
misp4qVL+KiYMQfIq3VWKxDswTyNzrV00kPDEzADcpCMav7lQ+x87Q3csRMfIeTgELnMLoU0JY7e
pmhBMgbQ4esBOEVcBlgPSV+1f0y2ARQE7vNJOwLEDbgdTtdGyfS2oxRkGxwkyWOcB4gZhQvnc0uc
sO7lgZ372qmxaY6PHGEs8pT1AowbSnmPXFcjX5K1tPfi3FGQBVE0/qlnnkDCyE4BF0Xjtcghhktc
2/lhQGDTtAo3icyVAZ2f+RjQX2tzOgphiQYRLgY0cOMpcj7G6j2k4wPqlFdK7gRpCYQSXmKXZ3Gh
vejU6uwErnJHGOkfboo7JfLCx7zzROomtzQYb7kHWvhnuoVgOfg30DjGbov9WpPe+YY+/YDZQZyG
gmihiknOANHRkHvt4pUtsNAGeGpidv7ZRMlIH2Nm+426MZ+i5yjyO984iG15JWJ3jDz74IUfynvl
Ur/aXJ7hZSfCAwItscj4zwtrWVYi9RLBuBF/6+iRApmRjrs2fzHLlbVcszSbSWRo+qiedkSrHHDC
AMvp6fyh67jXfPybMaHSjFZD2zkjn2kiE1k+qwc7UaK4dnOLZFnnPCvVrmNrgf7SNp9Et6DUDdw4
Hgqn29xKnIHr2cSdAjXUpJRItqJvSXu9PKCFC9n4o+31f2ZmpwmPSFxoFcyQHbspfhBIdD4aVZBc
S9+8d3o3W+uWnH7w9G05GYTUlA6YLlj9Zucy8qM5MHMDGpbtH7H+3f8PaV+yHDfPBPlEjOAGLleS
vbfU2iXrwrBliTvBfXv6SXpmLDYa0Qh//8kHRygbYKFQqCVzpJgzP9WG4DLj2QSa7tFPh3kUKLUx
x7ut2z6oQnypQDq2wU5Wb9P+oNL71hAkTDiPOSxogcRYn5wR2obNbBNKsZkq+xA3duNouQbx+KL1
FBSJUlpuVOiQDnX9uyBv1z8hd0Oxwj9cGdZFLrCtrGlq7HlDMbBnS7oXlKsGvjr4uo7DNcgFDhOa
W5KUanosY0etQ0zA/LGWapHD4n+177UwUXmGykRfKxPutnvjXtmFSDvf158ZMpxb47ExPekZ1C6T
G4HVQyRuwbuF9O/l/embXVyryWAgcxdhG4fudbQrpxy28TA6gfY1+tFaHW9lbXt9Q7kfDuSJRJFR
MgebyvkJN61R7TFjiguA/tb10TWUr3D0Aii5XMfhbiqECSAihxZnwJ3jZGPUqjGBgSbTtop/FtGT
hEnw4kREHU/cBc0cAVgPirysx09BGkKDGHQ1diph5vsLFKx48keuXJWC0y1CYs5clfrR6FdA6tV7
21rr2atWm24upIPk3qAg7/y7JOYGlcsUpAg+eFjs0rqZOupoRgW+xvi5qPWHKmmPkVy4Q/ikFi95
FN6hvcSRomnVWz/0lDpjUa0mI3LNMt6BDHF3/buKNmEOMBYW26akNPQSv00pvdpeFfqNHHqV9HAd
ZT7WF/4aLBpzfIseK/alGpR2ryodSHis4T1tv7oOBFo7udyPhdv/vg71p/f8GhbzWcMM96ChAwsq
3G/qJj+F3boGcUDQeAjHPBkTQ7FLf4meifNGXcKa9kwVgsZplhpMH2Olt5L5gAwnqpxQXHOuL4z7
pcCD+f8BmC+VaFIxJiUAQKXhxdpxbLy0BG+UqDuG66IXOEzMYKq0y4wWOCR6j7LJIcq9kvy6vhau
N1lgzGtdWJ2kS5BTnjHGNnPi5G0oAjdRQjduHyyRoAZ339A7ryNfCTIQlmyrD7oyM0dgVQXKvW9D
7ciyO8iCNDvXwhcozMUWVnUvazI8f4gja8SrxndMumrlO8tf69bT9e3jXjMLMOaGk4O01xQ0a6Jf
4Wbm0KpXVb+2lSfICNXVtox+XIcT7CAri4aZMPSkjX+Cg7eWboZiE2pPQp51TjoLMRDC4pkBB23K
7LteL0YNnR/zvZ0dzHX3Jq8CBzK4NHbGu9yp78jGeGy9n6MjSqRxLf4bmO3AVAqatDko6t1asjaT
AqINo7nxG1PgarkeYgHDXKEkGtLCR5+EC4J0J4IMtvp6/TtxcthnO8gOvZealqEZCwiT+qWDjKas
tr39ousPavkaqrhVlL1FVwJQ7lleLIu53YawQ2EmASgpcJvlpYNoHELeoYPHD1KCv9uIrMP8oTXw
ArF/DFHoSu0rlfOnbkB3C5oGYtTBr/8mrsEufhLjKqVWDkgR4Cd1IOgyrceiWFfpQyViv+B9UKKh
X1oGPZemXrSiFU3WgegZNH6qF42dm02i3mDuy2oBcXH0SBRYFIkUN7hNVugJAWkouEqmTbtOfiO1
ioGv6zsnBGSM1KCBHMg5AMGA95Xv/H13aNDdUDnTl+yoYCtcXwfkfarlApnb2g4So8oiC3vYvQ6y
N5j3ivlGRCVCEQpjo34Mc9BKrGpMPwcL6wCF6PDe2F/XF8NzJBjWRTEX2Wn7grrD6GkdDyUWk5Wu
iQcH0ddTLJof4Tn/BQjrrSx0v4VqBZASFaMseLRBxBTfW5VTxwd0UntFVwuMgne3LREZm5BRjutT
FYhGudYDCPbhjKPNOT/2vxMhx6pgD1kfZtltB6YzgEn0KWm9oXvWBNcZh+RCB5G5AoZ7zGqBK5ex
hqaR9GpskdUlVf1kGmW9HUZ1bZbTG2YdEieBOvpmqDHREQWdureM9A0yE5hXgQJS9AGG9CPJ+rU2
TI0ghuB5UgNdz1Dsnqlu2RkyG4TYoUyRgrI6CdlKlMsMH6nmn+DYaEyB2+Zt8xKLOXdVQMGyWgOr
KHvUjSG6Un3ookF93rFbgjAbjZAosMYWIPmIAcJA8Wja3WZS4qBNfn396PF8sQH6aFCKzjVcNnuO
sM8KoXODq0/xyJA4Yf7zOgD34ywA5rUuQlY5tgLbzAAQKBidUDUX/HKO371QfaXkmSDW563G/MOj
bqJzG5MF52BopR3laNBBlze8F/1H+c9CCAivln+fWUwZtroZ+CD3tZG+DbTaC82nZsgEfoO3ZUuU
+f8XW5aja9zP4nkVaAImG19e6UqHdkm8cB+vfxyeNaPIjJTBfBtfaJWlfUYti+ImHnVUBeu11vpr
1RT4De5H+QZh24Fy4ndqLQPEL3PHMjdhJ7p9eefFnPVZMHaBV6o5u/7lhlXg7B9iXFNauZ1qKGFg
3ush/i9HZYFiMQNHuUlQMVCxDjWAQtnX4AvJSvg7hQsQfDkYWybMOtqWwL+MQIAIBhzZDrkFoz1F
wyaRPcvfFdUrTmjSbIoA9VScV7wyr9sDfyP//gCDWWKM1ooKI5hzOjV0K2i5Gs+0fhu63XUYvtl9
wzAXYyBHClVqrFNR0LeKuyF9tEWhC/cQoakJ0/Y6KMdYFVV/1NA4i95+jIa+kOqRRDs539F6FYty
l7xbHqPYf4FYnwABjCCeScaRRVT7m75/HqWt3rxV2VYX1TovWZlnB7QAY1yDTtHGjqZ2hH2tM63N
R9uJnDHGqIJzd3ReXyfXWR1XK8PZotf9+jfj2uYCmXmoQxQjT0cTyDHquFNGXeHYlCqCYMw/zvrY
hmIZjvGpzbz6QXKlW/BlboIbc1V65a5wV86wCh57L3/Wj4Enes9yX9KL3WXNP7cqI5wk2Iz1rjwG
t/RF8Qp0wD9+Su/1nXK/b73KqW6M1fWdFRiQwZwGqg56Pc7k+GqGfnCQeYPlsD2iy1pP3lNDMKPD
AwNv9ixoBSKei6biKbD1tJ2d8ZDQdaSq86THrp2qba3YmHYa0M5ciCadeN8VTALoYIBKr4pC/bl7
1ho/ivwUoSl6DXxNdlBT1rTIaTCOXu6I5UT+J2JlJy5vE/UIwu1m2FzfYe4Df/kL5l+4uCAkCzKn
UYdfENBbdfCmwCP9ukhvwuCmgn3FDz4evP8FE3mzuQCGuTw2sYlen6aBwi8eNdCj7nVUmu+i4k6q
DqGBQXUjc0qaONDCEsDOm8nmU+2Zho7okKOyLwivMBoDNSrAgg1O+l0kU41SCppK0DeX7fI6Ll3L
nNJNaRYDtIHjee5S7fFItSYZv6yxNl3bJ4IAnefv52KgjHYgdBuwRZAWRFdJpQaZ61cPtfaaVhq+
+b+35SP1tQBRz7+xmk8jGJfCDGyJkL3cG9YJ4VIsGgnm2fIShbFljFaYnSRjKXhnOGapOaa/vf4F
eXfwEoGxVV9WMkwQA4Ek932GrCEwdBsT1N51HN4FiUlRGePb88Fkg43EgtZRUcUZJMbR5Gfad5Ui
3WrGcLCMdlOrjWBZXBuY9X4g8Trz5zHOvUTaNbcnTPwbMrjOm7fS+oKegeDQcb/ONwgbag4oIepo
oYcDr1u30mW0P4jOF8+BghIF/C6Yfcfusd466P0g97EOdIOWmZN9SacINO7FOj/gcRMdzVWPq2Ja
QQBuL9TVnv/4xeEGVQ8oCHG8LyQgFCRKrLKGbdDQ7WwHF9QRIgH9Y7JLvBgDgYLt5JrI95FiE3Uk
ATd50IBCZIRiGQ0+WqkEE+jvvLgrRdUGrnl8Q7EJO0UfrT6KsLIhSD2MUB6jIfRUTGdfN3qugXwb
PXvDJ1kUk8nHijrSbgZluJ9w/V2H4K4EpEqKAlYIG9zj537IwFBZB923zK2LDw1MFwm4zoIf1zF4
DVSmhRQBSA0VDNqyExCZkVYdGoUx5OJOa/uou8E++Ky24WtwX/xC4lF7AHO7+ltF0e6P8i/Nd8nr
9d/AWefZT5gPyuJObY06IGBZz1ywOfq6M/qyfIdmUAh56XmeRqvraLwEK0R50cyEZ8M84s5sq6yl
EAXUsWId0wpgJoK21tFH81ZrokHHLaYExI4hlK/utKoB956IUZ5z7M/gmdtF7sDLaSQVvqq+llCa
GpBs8uwUXcPySZYE9yUvXjlDY26Zus5okkDay9W0hwbphgmzb3XgmOFLq+FiRwLu6Df/4Wo7A2Uu
HjKCb6pRscNhcSqCHkG+6HnJe76cQcw2tbCZQLPQSJ9iXZJ075N1ba20MPB0+Yb4b4m0inLJqX5r
oGGKw1UYvYYxJv/HFbI6rgnFpOjQGx9y8GMsn0BoIjKwy9kCKFsaEKtQ7NnGWBVPLUqyMhrw29ri
JUu+6u4nmaBaYW2y6kmfMK6pexYdBJcwr+puoU0WlZC5uA42k/Md0SJC09DCpo97+VP/gXnCblt6
xE2eiNselF256mVHuFaOY8czXsZbErwecIfMdwhjqcklFWd3WI8r9af/rq6mD9vJ6Dr4zG+NdXay
Ydm7+F50fc5/mLnAAIzRSQ10lCphb0951P1SMWpEgoMTay8GvYmb9XVPwV0bnjYzTTBB4M3saCrJ
2qCZLU6qqm3M4UNN12NQu0O+GURaRJxQzUKL818o5sRgRA8vLQqoUPFSyZPbrZ1vRlOwIM6ddYbC
fKxiKBu7rIEC3tRBPdVWLrjmuR9lsYx5mYtT2ceEqkUEgFgFkcJz1K3DSNB7zmvUs8HlgnLI3G1M
7PmrLTBCjJpXUQdVETOSVx3YQS1llSW/Et+LlCMGlKA/l0aqg2YAweJ4vvQMmbmnJC0tNKIBOYTQ
CMriGVpZfiE5OKFOUXgVinSi9BYXEuSO6B9F1w6Sq8xiFTv2U61DoQRZmrR+osGN0kpI3DnN2Dpx
1jrSiPeDwJVwviLGB75B2XXKVjwms2BiPt1R405WvgyR3g3nEjyDYGJ46MlPWjkri2ByD+KklemA
u/loOaMl+Gh/ZqgZP7FEYot1ddeQXpGBpBX9E2nLfeyDOaePnboAaWYDCSntq0rfDOURr4nSOGZD
uFIs9N2AGyaJMRAW7qLOWI9Z5QXGs+rLbqZ+RKrpoInS6Uh+N/TkFGPu/7rv4TiEs5/NBilRF4JO
AT+7Qz5DpeteebHRL5mvrsNwvwPojNBTiCF0dBWeH6ZAD8FVMkJtZTQm/SUCtfJ7ADOsnEzXQjxD
CDx7kxvQh5UT8N8LFnnpjwi0DXCGFWNmGGOZv/q0zPImiNCxlT5S+ZCngtVdGjL+vonLCRAEGmXM
6rKuiCp/FqmqUai1S0xkycnalt+u7yGnuxAwaNxFpgR1OmCdb+Lc8EEogdhtGj1U4FlP1rK2AaeR
EQRO7Z/I5JWdY9rHxi2fCMj8XXfmOlhPItfIWy7GsjD5gyWrF83STVgo8ahiuSX9pIlxbEZpM7aq
qFP68lokkEOCIDTm7lAYY7OMTZorZdqUSMKNDnkCiYgnv2R7iJXfkMrFdOFN9jt3s0O6NwV+6Y+4
x/lZBjII82UDUrU2KsfnGz3JcisVMhww2Dqm0JHQ6PiloN3wMFK1Sxw5bdDL35RT50ZUq+/pkOZ4
s2RKpXlKFNE7BampE3q3oOVFC7vGvFzvq6u+rsBlgY67DNqEahpQB7Pa4ZNvtvVTP1F8O01OrK3q
x6L7eDaMi/Wg19vCosA7x3r3ss1SQ48rVNr1ALmZwmxXIP9QXFOyLAeS28exShGip7G/RZwlamfk
DE9iO/H+AbUnhjsuxiAUP0WfeYXDH+/Ud/+nholqCTlqGzzBvkffOqSot33v5M4+O+m34ee/d56c
4f+5/BY3uaQMdiXbwKeYEDUOfrTp/FeSba4fT+6p+F7ln3higUKSootJBxSrfkgwpgaSDV15vo7B
OxIm5GjR/IU5UETh54bZYpq4LsCGgNRscadi9j20tY3hT7iiqWNJvuAgXCwJrcwEMuYQVbOQAGPp
Is2yyyHBjiQ0NOsSDKfpX3aT7ZE7FnGRXzjoGQiBALSTMZgNud3zdYGDBV15A1JUWTv+oKUdOpow
KL246f5gGNDzRT1KRjrqHANj2FmfN8DITaiUY9iOxlAu1FWcSEHK5jKaAhQiKdAqY9BjbnI8h7Ko
hMGECYldo4GG8L6xtSC9aaukGBwd2T5jLiiDZ8vo1eRWb0j4oIZqe7DaKhT40Ms1o4cYQSx+iaGC
D5H5IUTrCXjDs9yFFuCqN5DyoOiOJk6eP/yjYWIqAR3fEOcEO4NJWCCt60mr2WXu+vUxN94HkPml
+TZpnbzUBZf5pVGeQzGxP273QgOvLqaNR3RCYeqUwrGUz9fXIwJhDLIjpAajGUBQCgnqX7bUOck/
p93mSQ4E+raN9CiibubZF1ldJQ8BKCSTovKMtNtmZroGgdj2n5cyc/EooFVF4u2i2XZURuIXipy7
eW3+xI2+MX2TOkERCFJAnC1b4rABMJrWKZqVJ9haBvbUQlrXEgT0iLL5D8vBYAG2DYLKyCifny3J
7kapLg3s2uh34PqmlmMbNId0kf/vx1jBKN1MlwtmWgRcjBEEJegFshTJq8gonMxaWSbaMG8sGnlW
9W4U4doChypGFa8v8CJUnikp0N2E8GqWnGTZFAyMocd+BFQrTZ+KqnpRi2AdyxK6anKw/EvgkAns
1XVMjp/AQBFkqrFKA70cTGTZaUGctlNEIQkqrzsNYhj9Zmp8b0TR8TrSRSiC1S2QWCvxIxrUwwCk
xnpG0x7anlaST1bT8E5UkGGvyn8mjJp9MdQ7QbcLVi8Yzbm9EPCVW7YEX5xUzfPgp4Xjq2AmxCtN
cFlyvf5coIbKM3gFTXYEMyZQq7Hm1lNNtfca1FacBLN1fh2++13/e7LVlzDTXJXmd4peCoxGtK3M
qUgb6gd+hW3FZKtj9mvdvI37taG+Rqa1qqU3U0SQw7UYvEEQ+sLnE3ZbW1NvyVAn1FWM0RnD+0Ed
PTC3dCLmDd5pgPre/8MxZKa/p4IyQuEbWFgMsfJkeNXtaZ7qkchbZr+C5VCwj5eBCB4as5w1jh7W
xY4vmRPY7oMKzrI0DipYKDU8ra4fAI6bREXRmlmuYZMIq87tcShTaoYt/FdhqbIzyn28SpoMjItm
IXp08xaDupsho5QPb8KKJyEWT6VUNXM3DQqHkDthSHVZ1MFNDxadOQ0NXwxa8fPFtJWcJJUPXzWA
ktEpfHIwM9KspTE+hTK4w2ud7H21PyqStLesaiep9Lksp5tCDQIkGeBr6vAu18A0mpJuT1HC9SVE
ZIGsiciMLqsx80+FAgUeIjik2JPzn9pXnUWsJKTg5TPWhZJt5XDORsjookYbCRRfyxharMNHMBEv
VgLX7kRsR5wvD4FdFdLeGmRf8RA7/wV14YM+YZRmyuh90JlOUD2gVPbv1yNAbGTVwPenQVryHCRL
szIrxgCOAE7Ir+WNgbyOsKvrUhYGpFDKzMxiQQrxMmCvU32KVRvHcliTtXT7a/Cyn7VTocGprJ3N
+FG9PoD1+JQfjskJFKIvj9ITSInfTW8UrJfjdedfAq5sNNEql2F9G5e5Al57ipskWeXtszlWE2bt
hy2oacEZ2XqY/HxQCrQGklrk8rlfFDxkMzpiOLYogbC7RDkE2Hps/xyHxh0K5ZCGk4B9iHOOscRv
GDbizStUf1rARLRx6tS4bULR4Bfn/sCDBdEh7FNHWzXjlSBuPSWZhO9pVA+6f9vlb9o8OPFg1W+6
vm2FVHWzrZ9lJGA/S7zZ7S8ey83YWP4YxdSdSo9Wt8noIJ0EOb9+2uvSu605Tf8sdYJI+JKvbkZF
oI1wAEYL2dVz1KQrbDSQpNS1t1Kzse7lFXXVH3gPGZ7uZbtuk3z8/mdvf4bIrFNDTJUVAa7JIpNP
o0b3Q0BOkUgClWeHoP5GmxIIzcBcxHgWo7QjW0rR4UjScVU1466sak/JI4Ed8nwoDASs+hbY6THk
zLj7xu6TwRoovtopPA7rble7iau806P+ETuyqACjcmxkicaYPdJzvjLmQGvWjSdtjU20UQ7VYbpN
HTyk/5lfBbYBNiOkp3BXghiZ2cM+tsIS8TwO2Zg7Wv2Jt+t1U7gsnDII83oXNm+aBWnBAUldTXHS
XfOGSQxHlpzGMRTIRHf7yf2JOc9/rl8CVceNAzErvNAVtlwLsvDJ6owaPkp+UsheQx4yFdkFJ0gz
0DUIGdn5QYvQ93xlPqlUvxp66ua7+GTdPBm/1R2UA/byY+KB+772XDwLpci7vqE8q9fhsuB+QXoC
18WgJmNIfa2Fz0LNJK8MkC8gwyHKnV7OEM0buICZvfPis415YIZV0cFpnJCI7jxEhCCze1JbJ9mY
N/RYvRjb8mDvJoHr+COLxfrIJTBz2kgBUm/Ic8FFbd4HAE8nzGHBa621R/AqfRZHcEZ5XQCyC/UU
O+WrtF+1rZv+hD6NQ3alyHnyrojlz2GOoyHFkDIy8HOaekW25mPtdgfDK1bqY0G9ej2sIBGxLY/R
KXl1UTi8/q254Mggz21scHLsqz8wLGonFBYWGYc23WR16in9fRJ6uf9Z9V4mkmDmWLQJJkNUJzE0
BoIzZu/Trqp0O2kKMAPJrtlClbi/b+hdZEVOGqONTtQ/w7FliIyipGKBdo4g6XBuZNLYkRLZIOom
eTc5jfUBYVk4ClXU4zsbK2NTiD0Rtf15FkD98hwn15TCDyN5fn5X0n7q1cbNOjK417/WZaUKF+zM
2QP+B5we9OCfw8ShGRhZP+JoPlvv5rHxTAcdxHcQJ1gbUNJrvWk/DynfWGswJgqweVu5xGbOaxlX
I4jmgQ1lxq/spTqiweqAEU0LRmoX7oSRG6d4ll+vw/I2donKGIyVlDCYFKh1dhgwK6YKtpRzAEBB
jEwUxmygAakzH05twRduhfj7UrUqZCe3Eie2npT6GCYrNdiMoklQXqx0BsjcVkWS2E1RzIAHY9Mc
laN5mA72SvqsPbQhKI58qAUehrtEXFQouSFMu6BvSHufQIoQtmnSYd/aw8ZHVc2wvzTzF96Zjq+Y
G/S3Clr9ud8NzcQojkHsC+f93FL7Li9B86vOIXyzNYMeQ4uiNgfexY/UEw4DSgHgvWcffjrkACgK
t9QNkBaX9Jc02oHOoUEWAy2/3bMKnoPpDpX+IPqZtpsOwZUo8uWtcvkLmI+ZkKEbylzHmfAnaY9e
I/Wkl+Tj+hG49JloLsaUBsbj8YaA+zzfykwifgDKqsJtk0cZRKjxvhkOjX6S5L2uf17HmiOKcz92
jsV8tqSPJZrN/nlsf5r6JvedeDgq0Y0t6jmf/9A5EJR8Ft+O8WSVliiwDny7OJFXEv5Fo8cOogEC
r8VJp5kYA0QRDMwlYFtm/D90XMdosGe/jFdkU1iuMqCEGJ1KStfXd463oAUSWwyFbEoUhZkCRSlt
2ma6v07seDX1xsN1GN6CQKKqQ+DpzwAYs29popRxi3KTG1TZybSDX0MV3chIvaDXTlB44EVoFsao
wRxomgaCXWbzIMYEQZgAWNAfOLRtcDeNxsasIG9tWeskabaydqdAlzctVcceblXlESIRx6AmTqn9
qpJEsPTLzrE5TPn+PewWN9DnoHWL3zMR/5V2ykqvlD0p8n2chHc1CgmQVPFMpCuICU3BIf/ncwh4
MvPmmvMsD1sk7jFVn/RNUKDggwZJZTcoYNtxUxCFzQPZIo5Djj1ZuOmRBjJMzA2xEcVkBNCbKSKg
TRjFIpsx/Tl1AictwmDcF/FpAnWYEHqkUe5M/iYfA6/EEOE/m+zZShiTDcpikJUaK9GTjdX8kKLb
MPXCePW/oTBeEgpNbaO3WIuBjrrgmGo75B9VEW8Qf8fwRtfmHl145HNfbClTDPUdrCXFvKqib8Gr
5oy2wJVwzjg27C8IOwERDm0vT9X86aWbXD9l5jYe3UEkfH15rcCckcBG05iNqh8b+pe56ceDiQ2T
ag0Ra7MrtPLY6kXqdKnqghJvo/aiqgNv++YKAGb/kCnG0ML59qWxmVQ2eixcywJz+2gf5Szf2I2o
nYNzLUMoDgU3uHwAsYMXZVLGyliUsAVDvcGc1ob6v65b2+U9Oae55iYmZG0whsO8zMO+btVKw7vC
tKLM6ztwESVhn62UOn/vITgGvxhkAv93+cHO7+bZbBYP5rlo2uoUd3MTeJl1G/vPtg+hVihNHQf1
32u06izKNhdobaTV9fnHLMCgFqBnSYkvFUbWjoavskbcOAM7oolhnBzuaED/ffro26Ko7nJnIYwK
XGWWowDhF+MtJoQ7ja0jPm4ir7N/6NrKb/e9/i5k8uYCIc2OjBuaYy4KF5GvaG1NEaEW7dtg/PCr
XdC+VOp+ygXH+dIasaJvIPbaqmlikrRHZKBUb2aCi0k01HoZ4GOeEnO8c4INjZhsParWu4k2jYFY
ajhMzZ2Rb6TwtQq2ZX8o1AMEyv7V9s/hGDukAYTDqhZwaTG6o7ybINLtR+/SsG3iVHB38D4Ssoeo
uWCSFbqgjMPoJky2wp/gypdfGiveQn7qnmrVCrJ8DtpVBBHPpXtS4XfRyaSB1gb/MqeaSE0c0Pk+
7PsMSlLr3nr2i3++p2YMkATYqOuh2Yy5QWjcWSPtMajU0k8yPpTxEWyjscjR8mwO/CQGIjfU5i56
PBUFnbmaOaMo94aPCev+/roRcJ0Rrg687P74P2arWrksckxtFi7NPaNAX/VHoJ+0eAd1MUjeutfB
eFaAM/oXjHFGyO2GLbQIcW1MuhMlO2LeE1I4pryrRe9zngmYyBdhHAaBL7qqz/1eA+YiyLZh40qM
pKbVxoZINQlFIREXBczLOm5eDVk3ZvfCihJUaVOI20j3o435PPtBMkWDapdhBO6LBQiza1bZz6yD
AJlwOOmujj4gDCyDnuk/fByU9BEVI2WMkY7zHcuLojaTCDBWQg6ZLElbZBVqRw+Gd7M1btTAzwRH
iGsOmBhC7xUaFzS2FhuSMAcbLO4mP/s9BxLgnC2lndQXXkM31xfH3cO/UGg/OV9cp+dNHVMKcxi3
dbIr+8KBFGcoGh/i2sMChnFzhk/Ktu0B46cro/vRhg9F9HJ9JdxNQyXGREELne5/suLLCz0O9SpK
s8JV1fsuXjdkL9s+ejVdIxK4Bu5i4HxkkK3AO+jz/y+QQt0vei3DYvo6WoOS0o3T7G3A5N71BXE/
zQJm/v8FTJr1loH23MJNwICaxu4QrUYFPF9UUIXhuVK8wf4uhzmrkWGmqpIAp8IoidZaL/kUCKxM
tGPMSUXyOMhRcCncLngg0SmyT9MgCOj4n/97FYxfq3W7LclsyLWSrMPg0IJdBDPWoU6dTpg4mM31
PLkDz/O9ZewDprLTvi51gEHqKnFIXyOnOm0k8m60lteY2aqbdFCEtrEb026bTPb/tp9s1GCYsd+V
AfDhXlv1qdM3fi3K+Au+GVHPzU9NuyixCmCkle2Z4UlubLAzCHyrwMYJ41tLg2L2CaIUrhJ4drPq
rDVR96YodcW1DUyDoMduVolgu8Q1eQxDBbLDbl98+LlTjqsuvU/9wDUh1nL90HJytjCNBRZj6qHS
R4PZAUvdKOt2H93SW/qMKtfWnKD5NJNa3bVb8+k6KvdbgUfNwmbhgmKvqFA3azxyCrhXGYK3qzT7
NEUefP7dFya/gJi9yMIbxUHaQEoO6zLyFyv/NSg/E9vtrEerVx30Bl9fDycTNu/i94IYF+uHTaqk
JRZUUEeJHPVHfqgwuAPxJs/eaL+vo/HN4xuMcbRgOUlpr+M1XUmao0WtFw6Di/i7J78oebmOdTnT
gqffcmXzj1nsY9IMNalDgMnjNlvJbvQCRoOVedvtq22ys58lx151qwY6Vdqmeoi8QhSaiT4kY6B1
EIBOgWJrw4ps0VTQDa8EXbuK9kMtbjr1P7w4lstl3DLa/5Iq0IGm5vqv1BwjB81P67ESKn5xXfK3
xbC6CqYWFGgoxL42waryn0jumehEmuLt0HrU2NIId2i49WVTcODnBVw5F2zj56QMISkM4PpV8tLZ
8c4enog/Y2L2FdLSCso1ZSWIQATfUGN8M/WnOgwSgLZ9tc7UezB0QqJ3o9Y/QHPoZP3HdaMVuBe2
FUSekjKRZ/eSt5BuMzO3aoqHFErd12FEW8m4GBUTZFOXAUamHyR2i2Zvtj6yj9uwd0fbqUXvB9Gy
GCcTpEUoDRrw/PEGIjuUPqnl4/UlzT/5mnUwrqUr06K0Z4ipfxzGXxBcv/73OV2MZ+7koivY8gMj
7gBgDc3LNEoPmMh2CiW8D9DRNRrkEOWnIg28ODN2/yM040gqSy3lOAK0odMXLWuPcRocTHPcp3q0
r2zZnYrcgRDoigyy4H7g2z+ifAiNaCi+zs5g4URzv81arcFlFEu6m8ofchxuwmxaK5PvZVV8M1FD
kBPi2goCCIwq4dEMMqBzRG1K9CGN5xNH+pUB6fBc0Z0+EbXjc6+iBQxzsPXWqux4xJ42oCbILMut
+ujURaqXaZ+hXQu2kVMAg/UsKq/Mqgy8/CI9Q8bVf5dCJ3rP7o1deVNtAwji7HAD7ePBUX7EO1HF
nvv9FrjMMo2q0To5BK7SKE6TzTqum4Z6lTxhlPw16QQ+mr+r3wVmJsrUSTzVqoQCs09fJPTzWq81
9SZwwIruVl44O2fkwZdlmORi/pcYNWknNF+5USTvBsk+4PDfx5Vx04WhyFR43nKJxRw/RcpzUOTj
DAxqsgG1TA/RqWmLrM7KlpwgRKyJScHrR563j0vI+Sctjp2eBUWZRlhenX5l1kFqv4bmOQl9N5Q0
7zoUz0Lmx7WC5mzMd7LsKVXbQeqqnR1nsjZ9J4zeVevoj3Stqp4VEAEa140u4RiDzKipFW0NuBIR
kanv0lB1JOveQpfRZB+hiFBkn61hCGC55rJYJGuXYdqYhTZ/QnQ0DZsOLIkJGlYMdXt9M3nOa7m6
+ZZafDeNmnHSII/l0v49kV05vEtGQZw3/wn2opvz8yroZ0G6aTF3KYpEbWCU8I/Uordd4T8gXhBc
OCII5i7NqVRYFJydEKT0j6jsrMpa9FDkbtQ8iQq1dTAysIk3JJXKKLfgKDSMLSvhj1oGdw9xr38N
7sH9C3IxmYREWGTVA5yfOY7vU/MU2WDwQMJ3+FVLj3Gk3FtJLoDkbh0aXlHUBT0nGJ/ODSBHS4Xl
1/g6yfhe2Xd64V1fEteQF3+f+TSDnI+dNAeIkWFsLTs6hQk6BgIqrfzxv+Q+LJRz0aOAXkRw7Jyv
BVKPUR8pWAsqv6kTmBLEottmX4YiJVy+MfwF0pnUaGsOqZoQAMkFnhTF6/+dFxa4VP7OfYMwN7CM
uMmM8NJFB36HEQ3Hih3MokSh4HhyGitR7oQANJIgs04x26WOirdqdWhHdsd7Ejr+vTd80L0RQysE
VKmvwWbYg87JS3a+k+5FHcBcX77AZpxrLtXNaGlYI3TKLCdIQzfMIgyWDZE72QM4ctNtj9fSdZPk
3FVgJcR0NLFAT4g6xLmZpDmJQ8y3oeM6XUUQI+3u0XtYUU+yX64D8XIV6GCHyDfabzEiwrb8JmOe
G5lhoxOQtCt9zDZSOq39BIPs1bRt9E80BdwSJNDi0TjGRNTlwFsn2qXQawxRekwessdhkvu8j9Ez
pLdl62mpmq+U/0PalyzHrWvLfhEjSBBgMwXJaiSVGsuSLE0Ylmyx73t+/Uvq3XtcheIthH32YE8U
4SwQCwsLq8kcEpt3SdGC/5bkrhpWo+Tjnh0NkBMix6XB3WN2BIJtpx+XVsToAy1qHK14GJTKMQYQ
8uSzxKucf1kBZln70b1F20yBXFGIYZF5X1ubprmZh2dDMZwo/dHET2qxY9W+mr9d3tCzIymgCoGV
Uo5Za2RYHK2Uq2Q2r4f0E0zZL82k/LqMJPuMwt7VvVrkOUQpcBPcM+1p6h9b//O/ghBFj+Mu7XIz
wGJIMjskwqi0Pm/mNP8vt0psfJktO2TdsHw0kEZWV36a8c7a1+SuZ96g/Yq160JzVSPb/3fLE1xL
EI69poaADdiPGpxZvfbAyMtljDP3dWoPoidhFqhTshK7FA2NU/ZgCxyUH5Y1XNeMvMfWY2NFkniN
wq5PgikBcfn7kd1PdlKn1AdiXR18tUVGBwpIkiO8igHeBXDrwklCi/0UI2+sRhvYYhhdeFvYA+RX
bFp0H//w7eB90aiE/Cr6sE5R1BRz0WggBEpluJOCseWDn04uwXuhMu4CEIz8d3jCl8uCeUrAnQaP
UX2r6Z2fbJLpJrZeM/9hNP5aOnnZpqPFCVGVqUbo7TUANmH0IqT7GlXhMJEkHla90RGI4GqToB+S
uAGIP1QeGGocNbIdNbXummKWmN2qoR9BCe7WQN8LSVRAgXJZtze+77Xz+zQ+6uRaaQ+XN2rV9UGM
ln1x6mDO7NQwzLaZSlRg4PpAUD8NV5rlRlUhWdB5sn3ZoSMUwRxySkolXS4Q6xDe1bt5h66rfXZA
XorEnHCj4JGr7zFidsg2KhLEB8sjkv37qr2cHeaj3yBYSdtRcFglOAL9xx3E2YJnm1u/fnwnDIKj
lds7bGtitmR6sbzOQZ8iw9QilfyG86KU8B0EI5rHZMyaAN+hm3juZoPDvo3Xzbbfxe/VR/igg1fY
C3mleZc3WVu1qKO1CxaV5mQymgq40PCzFF5w9PXvyC//V6dz1ebqhvDqPd3rd6hy6KaXyaLe1cNz
hL/8viNH6lOKaZQI+OzxYGc8fPFvQJuAvVc3mJ341l3738gtWLCC98sLl+EKF3tsNCUzcuw5tBai
ydPoYVY8qfa4BEXsuzMTEDeNOlYX1e+xfw0tmyTu+Vy9XV7M8mMvGLCYbCWs8fXYXj4i6ulpaP7W
W51DNYer+uccqi6e0y7kiSV7JzGdr5Hio62j+VyH/QTUrvyl+NRNk50fpuDf/G7YHIHG5vIiJf7o
6wQdwRVIafTh8i2rOocWUOUw/aVNZGGSbFHLjh6hpHVO1WQEihp/NJrXdG4VfrDEg2ovj2UTKOvh
8x/rF5uwmAKKZ3QuNY7SNyjbOKy9V0036ju3g5xX4XbgeDTb5yiQtQDKPqZw7EhXqQrLsMy225L4
eoSiYigju5V9SuGItfpUaNniWmxQ6c4/hmyfzVvLz73aBOGtIemRkZyBLz6To41jUx11/bJxGMJQ
Og81YjWHWcb7mfSoTV2PMuFQ2dX19fcjxNIqlSiqsXnpHgTS5CrD8PpNi0G6lEeHZgN6WN35Nm2e
0m1/NXDGZVyWq/HhH+P54jc/wmf2jD7R5epUktYLTBMsq5Ijtzj/c7/C0LAAPnCwRwkhQN8pTKcE
4YZVPHfh3rSv2+o5TD1TlkuWAQlRABuVqsh8AJXTpgp/zepVPjrp4HbSpMO6R/6zJOGuN/ohC0cK
JFQwi4EjWksrkxeyIeP1vcHjHRriIPsRx+anWFe11EhwvTQa+MUSx6L7y+5w/XT9QRBO8AT90NkC
oxi0EqGtHFXwuAvHF73pC4WnyL83gym5Zr56fc7t4Q+mcKJBZBzalQrMKK9eEgKuuSzNK0+102xn
NiXVeUUVfeYpnhofUUfBEq5AnCPLUlDH5JGiv5Nubj66sVBuamqNN+owlm+0DdNvvRLTQxRBSZFb
dh/tsrlp3bg0arfqWuszHVT/uZvU6R2cliH0LkfqTlBTt52pRUtIAp7cXdCayJW1TEckU9rJweyD
/oAMboCRTGN8jtv20LQRg8ZQQUcXdZ/oA43Q5d5KbLabzYb+DtUqhmwauPcdQ2FerI+PamlmW3Bk
PuooFu1oQZhXK9F9YUeKZENXz8BCRg+uJRslFeHmUXJi1h3J8VDWXkEiNoEP2tQ5TW5GmWzoeS1l
CTaPoISgz6gH21KgHOrYMdlj+p+H1q60XxUI1GjmdRKW6BfyUhmv2JqHxgOTgEeZoo2VCBZbdZjs
zCnOxDRmHJyxmylPnKHo9jXLUR6Ld1PWuE0rG99e+65QJ0HTKYrRWLjgxPK+N7vJSvE8Q5Nuaj70
LAbhe9kgILMP8l7ktZv1GE5wZX5oMkUdAZeoD0PaeI31FLf+Pzyij0EEL2bWlj1DYxa2UvzO8URK
XLTLVTXIR4pr4suKYOfkMPhsFq4ACE5q6BUXSbCjdB7K0S4bx8DsSOr/HCxeouVQ9yGz+73D+Wta
bucTt6cWs9ySSH31g0KLYkFHBldMUKQKLWNUlfAOJb9Av+ZE80srC6DXnCmGV/6DIWxalTG9TsYa
m4aqYjRvh4C4ZowI4pV0v2gjCZzXV2SAIQ7XJ4gZRTeqJ0XABpx0iKtyNTQ9+j6yv+4ZXvYMjZT/
AyIKhCYDVamSFAiXi+YZ3eobUE15l68gyTrE8T2jnJW8U7COpoy8EK/Hamodo/91GeX/CJL/c+uI
K5n82ayNBrdOHnhKuaXjzDNMvTL9R6VyW7mZCzCDeXYvO2Rry1su8P+5w8XlQe5YI12BUCHH+1Mb
Fe7DJSay7jQZipAfVcw0hyAdvCJ6XhnrHB+CF/7vf/mEIB/BPBuo8Eyx9htUNk3yCSBd/BjMW3V4
mtk2wQPRD7ZZtFGa9zp8imT9yWunClLO/0EVbjSK6fqmHoHqNz+j6jnSYhR5rpV+ryePCZOlS1c/
5BGacKmlZrTofQBNUV4j/YOiwjJLb86l2HcWAR2BCHfYNBZx4NsAicsHv7sj9u0IzYeuuJpCtwla
nhfOELhJqUgc/toldnxjL4s/ivXL0E7TucWNbdb+dkbzaxaFt90Q3Nbm9NNssn8I/EGaQSBbs9Qk
RYdv660dRTH8Ya89t4lDjBhuN3atEq+YPnUvW+eamRyDCWaCXMVMIMmIaKR/9I17zSpd9PVaaeEy
cx+2fztwDr+IIAsDfQgF4POFcq7f5aXpa10DBp5yG5g12CWYlyeSS2v5zaKdHKMIpzpWIWMD7Q0k
au1bH5RJhrlNyH2cSmDWQqpjGCG26YZxnugMmGDOd2lLt03f8Vq3NmVCIEa2SE/fqVor2bC1k3aM
KtyWduIH9tAtqOTV7j5Je0Xs75dtQvb9BHuPMBHcEA0QHZqM0GCK2gdIVV/HnF432rfLWKvLwYQi
Ci3LjKwqOI7cTLO2p33jDLAEVHAx6ste6+iv5VgWw0P6/+vKp6bYB1q2RTxpHWAYnm7OaNn3XUk/
9aDYZtJx3BV3ASZ1CJDjkkf/hVjwruMILOpJXTvM2t0R9BQM/a0eySYpln0WjPwERTi4+USLEAoz
NeZPduXc8loWlq2YNwDAAaeqiyqKGLpPxhRNiQ8AljRuFpt81uim6L7PNeOqr3yETcYby5cUPlb8
EQgXF1U/24BatziLAjYKQw/qtnYqE1ETmI9Hgz6YZcjj/Ka9KVn8cNn+Vmz9BE+8UwLU730FeEq/
0SHJ1BS7NNvPTSJZ1znvkwUW2qOFCXFnHhpG2oQA0iBfTfdg5W6NbdJ4if0MXmlS5RwpXOiSsbkD
5zrEi+jMLy915agd/wKRIhwPI4gWEPyCaTqk08SJtUtksuRrr9sTEMHDZwFYwedl/xJl8vwRIo0x
lMnH5qaxQRVuxl4Hb4IpoMcCTx7JAv8PcNBLgKgXZJqqcCbQjDBPA+lqR0fQyNAuqFjQEnvJ6WMD
Rmvf3GMSF4qREtjVgwLS/P9FFVyYUqZkUE3QGpvdBnNaOXHwONyoUJMueJmhxCobh17fyD+Ags0O
vp5nyoxl1s2hsu7s0alGSUJ39VNCDEADxwWEZc4UUSZq+mVQDjBXNWpvRzscXbWafA+sCZk72jko
vA3ScTtEtYjR2eA9LXRJ3LW2Tg2nBhKqGJZHOHQad2UGBJCSYa6dAM9bPyAOmW/D4uflU7HmrY9B
BJtRUvTxzP1UOzn0pcbkR0q2qu/apjPU28tIXwUF0WUfQwmG0qp2Xfsp1mNAu94AqfFDxF7C8nFs
tzYm34bSS5NDmL7r6nbudgPEPqGOHbnEfL38Q9Z83vHvEOynjdDEjOYr+LwscEr9OVcnF7E1j9Ft
dhlpdQeZhqc2xrrQHiqESMnSCRtWBCsGfQi6kyeiYGRtcxnkvE0frhV8iP9BEUKi0C7DlKZAiVnm
ao2LSRJLveqhYl5tQZ3em9nGJzdRctBM0Oi8suTTn9+bUPIz1m6u418hWOtUqurQdhqcT+SZYEEA
qSZGbnkbQhuvRt6y/ZfTsVAXapSCYlektjQs08eMEfDm2S7dtGGo75jkJ2uZ7JX8xTB3Zrh4vKJ7
D9wYZ7PjGOwAI0KID8w4tNC80WUcFTMH7di3oEvczxzapF50BU3F9LPeTZvoJn75XXrZHbmNXG2L
y+wFoos36k7WWLtqX39+mDjVhlxq1Y0DflhlPSY+1I3mfaJL3ixrDoKgFRJ+0FxeY8K+zvowpWmu
105WP1cqfES8a6crNnsakc0srMV0x1CCL4omWxtnHcsBFayKukVCZGVBGYLggrKqTYdkBkIBMZlG
g4i3rJq0enMcL0LwLvE4ZhHtARHFe1Zfh9Qbsp+huoup1ymgzr/RZLPta1YAdm60siDEx3SJsKiu
zrMp1hYroBvV8qroxpZBnCsywMeA6hkvcttESCxy7Pg0xMshhhVAZPKq2TRb23abj2j7MrndBio2
ru/4HJXIDIysu8JTJPfxmss+hhcsA6SMoCBflhiVtaPCTyMyNulVJKPEX8VBrA+6XAhpwN5Pr1zL
GNDgFGGZ03gXgb09fjeKO0YeL3vs1Q07QhEctkqUwYbQAhw2NDgNUJCDVK/pNpdBtOW3il4LJC46
ho0MwujX34/SNgNJO0yaI09vW9mtom7rceTWsx88dzPXWXGd2PcZ8Km1sVPPlp20NXjwJCEFTDHv
roLq8vRTppMRhFoxobdvvGvo4I7mgxm+MMgQ598VUEzPLjpeLBwK/Y78tdwKanyIl5ZpPBS0NFF2
oDHx/tRsig5JVflllZUbNEw2NbbiStBYDcYAUKCDV0Qc+euSHn3rtoHcadmXHGpYG2YmktfZyp0K
oktk0RE6oPogCguogwal9T5sHRZafI68Gfw/tfXZRV4z1jyyJCazYv0ncILrMsIpU6MZcMoQb3zF
OujKyOseMT0bd5et8+tqEqwTjLwILsHmvEgbCe/B0KI9BrJTyI1eFTzcDA4kG8E0xBO3uyq2fQwS
+8J7Rw8cZ5D8CLnpxDxwPzJQ2uuOys3XWrL4tW999IPEu1SxUzrMFD9o7tAJ/XsC0Rtcdgi5xT44
lPX0Dw9ifACwaWK0YhHOFlxNH7CCmjnwNI3bXHEy6mLVH82PcGcnHJPavDB5ImON+RrGPv/uf2AF
30PqHunJBrDPmTeqPKh4twUHPff39D66mXf2pr9O+QiaAfsNKfqM/7T3P5udH3CdB5vm/baY3XYz
OVIl9jXjAxcdeNzwdNUxlnHqL4I2UlGrxA/zn5RNeRO47Ue3sGv7N4Gn1bzkkFl2sr1sJnPtGB/D
klNYP0gVbdYBGzQ61/SeWy+XLX2twxMb/Wdhwkbr6sB6yHdBxeWjd/Ud9RbSj/hH8xQ5/iNDDpgH
j/QHhq842hHcq9BL+Od/+ROETc/KhAVpkLXO5DS889p37Ya6xdN9dvh4LQ9sO7z4DnZacTH96k7X
liPBX/bu3Oj+fAIhhrQhy4TaKj6BsjuMd9mn5WA2A6Ng+48fxVbFmBGUa9/oo/Vob82Hif+6DL/2
8DzZgcX0jm7CsUYfEY2wfHZ3ZznGtn/X3BHtpsHDh+ZgmNrTnXrkkkLrWlct0U0MwaArBLeR6OHs
BOy12Zy0Tud7TQnmmgjZcajRGC4Ko2p7UIIrlA7V2LFaR32LQm+UFQJW72D9S5YKpHvgfhG++1Sa
pWEO+O5zi8e13mJ+lHI4ZcyubHV9X9h3VsODDl1C+e1s3UL+5PKXXz3Tlga2P22RYBXvSGUkc0E7
4A/s2ordIN7ndoB88PN/ByOc4cHQVdKo2F9fgQurihsoS30odfhNa2Xijed67AgtdMwrgP2ZgBdU
nJQL87DV2GJL9p3vtG649R9AvLwfv4M1f6vv+uvxG1hrPx/ZL0QdG1wlGxDb89FpXmSnau3df/JT
hGXXcWMOgYKvC5kj5vZ4A+NpGm8ySI4BcKwdwvutupmvzP3l7732xlliHg2NZDaI58UU/zhhqkYD
s71jt5Mzm+NWIbbT1tjaMcOsQzTdIcH6s211jzSDxJmsOWykxim6l/ESPytlpEqtV9WEY0UCTL/8
7v1vlxe3EpxDWXeJSnBk8JgSXlPqxOwhWC5IEk7TCEHTwgw2oxaAYq3JILx4GW351wTPiOlOxHfI
GoOyVySLg55bmJvgC3QgPcJbxX6sasuJGCY9o7e+lGXhV1K1J2iCI6x9rTaCaOm9ygMnTw9Z7fi+
CTKabwlIypLmQHWJqawjIvECYbqlGC94IPTs0Dxp4PAwxuo1Nd6J9CXOMP2V6Y9D97mwbPWJrKi2
VmywEUcgtkSxFf1ewpUb07hvDYbmEK11GnZLmoATknNae+qwJ6mnzKlDFRTNf7Ku4DWIDXVJfLuy
rydWJITScVA1UzXCiqDpvoeI0KZtdG+yeieJKHQtXy9b0eqZgMmi21O1dLR8nl5wjakFA/gTMdEJ
1mC0WtyMqlSMaRUDb2IbHRxfmfFTjCAuJrCtlK1TQK4o6gsQpqPPv7a8xC+u+zy/8odFhSLamTXl
c9NBjhBC97XuEMYktDZk7V5BbytISnG1QDBM2F/SZ4Hed3ULhnDLKyFtQG3/OpvS7eiPOy0lmzxP
N+bwqBWGk6n6Nu2mfU40Xlklr1l8AxY4kFIUe5BO4nZ+i/OfCYqVrAOFUZIepsgauNKmKJybEue1
6jlNFPZQLYECOsLw06+YUBIqgYpfrlU/TAhY2py0r6W17cJ7MLqO+bWhyjQg1jroMNT9B1M49WDX
rFW1AWbQJDxC10GuK04weJmubNTibrQPWppyu0N34qb7h7TwCbhgmmHqkzGeAN4NyhPIRK8M63uj
tR5IMfnoV5xO75fPwmq0d7xc8ejlFgN/wrLcEr2WyPGF+WuChLRBXSMw+FC5er1TA4wUUaRdWp6q
20iBN/w9TNem/VvyaxZTFBz8yfoXB3kUe6IulgbqiF9jxo1rjzdfHcPMJaM3+4ln+vdV/kMFSUGe
vFTpb8V6lOAvNARn+EjeQvyGYsxdzGixRKsrqMDj+5PvNaJcGj4j+0LInhm8Njd2gl5DWW1+7SkN
yYz/YC6u5GjNNNK0cqQ9fG/6GPYbK7qaFIPb+qYfS14EktzgimM6cfYCWjgNuhLYuNR0s/iRg6Vl
b7eklricFX9+AiKcWxoNSlAsbZNRH+yDIHIM9lAbEYTC001L/6F5DWgo+2H0Fg5OlFkwY5CEjjNu
TTtSPZPMjhW9aFH0vS2szRQjQNBk7CnL7xfM5BiRCWwWCNu0uO+Wjk3085Yk3flN4CTpP2T4AYP+
nYWhA8QLgjdQQN8+FDGaeSHHCyIyZX5T1Z+XLX7F+E4ghOPvE0hwk6X3VI3zHRKj3Bg3S9tBHrhj
GDlEJpK5ahlQJjJVKBbbZ0wS+hihgayosKSc94q+afy7OtpakOvOJ/fy0tbjmiMswdT73J7qZgCW
ORfq/dSWBzsywOtkb8se3dE6UR4JjRquIaMMgqd0uveR7/EqFl51aRbftVaWPUl+04qDgzzLn/UL
J8Puy6G3I/wmP4uf9aJ5y9TyNk2TD394zlAATHzfHRR/y5KYzzTHYz/4IEYg8zkrIYFtIx2L1y4U
bcFif+pzykBHm3iF1rpC2w7Vz6517eQlA12SZLlrAe0xjpimYnblqw1G/aEdmoKaM9r5bodiNthb
2fancpjc5m72Mjd4VG4M7zL42iE9xhYefL3dx5NZLNjg9GJpvEFFaJ/psk95HqQggkQieJHbQi4O
5YPTb0m7NiFFpaZOB4bKovrZd0/GDJ6GTai8jOSQhZOj/G0Eu0CiVICuJ3TtQuToFBK86UES14gY
0wG5yKy5gWqbxIWfWcgCQS282RexCDTDnUJovpbMGNNAUNrcqOm1iYc62drDw+U9OnMHCwouW2YQ
EMxAsuEUxYI6A2iLaeqA0/oeQ0JgHqoeJyvygq67hQa8xCUsJ/7Eby9wJiwe9R2Mw4nN1WobDFB5
x2yv3lXNdWMU9o0xW8+X13RmdwKIYA8YgcDcUw8QxkYcq4orceJWROK4181uaYKEBO9Cpi9sUApZ
gjxOjNTpafZQD5CXsst9NIQ7xV+I3qAXXdrXA/tt2tVfh+XLClHaNIkK49OtxckdRSx4K4a2H9kp
eph0t41eNcQrYU02Pdjrxi7bZuxtKMZtAFWgy5/2fMAAyJgOImjxgXy8LiYACrzmILG8uBIl29B8
a86vgX9Lp23bBF5XPxD1u6V/2urmMu6a3RzDCluK14BuZbqPLY2LjaJvLWOUWObZPbwsDG5keeeg
YCymP+tAC/SmmWCZQw5pYk/rn2JlS5Vdh4awNJLVG5cfLB4EyjDRAr0PJFOY4JfZ7OPshzjdmoZX
1eDELXWa+K1QIu/vv9wxkOCEMbqfB40J50jL/LGb8+96/tedivh01NQwKwENp0VY/NQaI+qnutUT
9Iy0P6xuH1f3uSyLtrY7xxCLfRwZPFPbtMpQIgZrzRMcuwkBNI0ypwuctrqvNMnRXt2cowUJTtFO
bLWC4FDqTMmVVvcOyOD4AC4z9Hte3hwZkGDWoxKTrk+wrNgHZ8hTnx7q5psZ7i+jrPlD1Ocp8i0m
Q2e14KjGeLZmw0eIF6QW9AOU17KsdkOQS66StTOKkBLHFHcJRFMFk/ZDlc3UhGuwkpheQ7W840Gr
xU+XF3MeVMLakNTGUAL+jzlrYXPUNjbzbshhCp3y1lX6FvQ7XIlUZwLL4TCGN0Pzrg+oxE71xu4C
L8CRssrASdGlK/kpy4rEQ2whn7x0k6LfSCSq10tjwHxqljr13FIM7fYjT8aY11BpKCCJNWDktsC0
sV1GvIlnp0Df5eVfcBbdfX2LPz9AOBaGXaWZieSRY+CGy7tNYl7n/SbFWznIVK8rCo7o6zLkmske
r1n4/Mwf4qAMitSx63ETte9NtC0G3Z3b98s452kgYW3C2WB4PESmhrVNoNbDcEbOy8F0DbO+Clpk
Q/AKdc32HVTG22HIvRjlqlSXqijLdlg4OjTpCRSG8COaDFyCZEtR56bW75l9VMb7FB7asXMSjJJ0
kuBvzd8ttJCQ6YE/RWfPqb+z9ClMqA7cUIt3gWlzu/BvSPzYWm5svMe95PJblnFuyH/ghG9dFQgg
FAq4IJxf8qnyempclV2D7CO0ejX78/LertoQQ6ZgKSEg5hQvjDaKbfCSguEFAiNT5Rbl7axuwRT9
L8vCgwDy22gBO2spCqO56GgEnCp7XA5FX21RGXGt6mD9tcraYq02JDkQEmEWTLzPyzoLjTqu4ApU
zVGDna5AjX0z+T8j/f7yx1szDXR7obMRRMJLzHJqGtEEbvRuqhE5tF7LXEN76JM71RgcU7tp/rpr
Fcs6Blt+zNG9q0VJGYQmwPK+ydHmoqlo0qftnnT6X09KCVCLrzuCSpK5opkGKH24NaePVLkHU7/E
INYMz4YlENBoUSjNC1eU1liZinwOXjvo1Ug6CLMTwksClYp/Ws0RkhB2xZAxnu0CSEHbcvA+cs2/
7XvJK3TN/R8vRzhHcdVTcC4ChNEIIr7fmiriGttq2vdsqngz3lWy+t/qB0TzGFIWSNAinjjdJFw2
QZdPLdoCwltabEp1H6XfiWxiQoYiWN2U9XY3ovfVKfPc5lqgvM3pfBVp5C4NfckVunbPgEsdtTeK
9cAhCa421KFDE1to3wfns1cj4TNA4c2oUt7RTzNV9lTHfGA+squg6/c+0TAnJqPeWznS+AloWMbs
BHhPxSM9ltU0lctPMOknMb2+dku274uaq+ZH7yuSQ7Di7KGsA68LthU0jhrCQSPNWDTz8iLIGNh+
ImWD/OR3aow7Wymus8DQJF+YwiaEy2X5sOBMRH7YMqlgpbNWj52uYzdn1fAGw/LQnHXZJS5bdIYA
1lhk8NF3SMW+w7xB6rDWe9yWylsZ3Gaog8eppD9GhiHYJE0j1cwqYMwDKlLWW2IqN5o1bi6vZMXy
rYX/9n9XIuzNECUM0i+whBocczrokqp9pD9qrWxG4DIOE4Xy5qBHOmjGalTa80K9C6N9B3XIQJNE
i19Xubg1yAksOtzgIEdv6KnDIBgXqvQaz+q5RnsK7+oJVa4Q44Sur41R6EIsNCy8rKtsz1dVug+H
cdjHg2nfjFaJ35cOYeLOEEfczmEYb4DR/c7VREVzUljl91ZrQ68wqWNkyKJxDkwORUt/8FqcNXPX
5XqqgpAJtewkLQlnyjy++MOsvsZBE9zYUTm9jUFq+g9JR/RX2k1oLgiVsOaYEAuQFNeMX36UzPfQ
lMuIq1h9vi3LMgcX0hgM6Pkc687f1n5r9jd2nSjVRm/AFLDVggCKrqwfXpS60nUnL4rwtZwsaD8p
0FfMUfcm/c4vSb4Z4jq2JQd8zZ0YqAmDUBxtP/SMvbbE5ZdpyOn5eetCi7xG0FrS3VjdlNTLrG+X
TXbtYByjkdMdDuIummICNLMaeIfRT6UNwUskywCsWewxjGBITTLDaCbAaPovLXtI/G9991EVkk+3
lt+yDPRII+GKf++MvqX2WWjroYGAv/oodZdkW53eJWHs6OW1Em/N4s6u7g3j4fI3lMIuqz8KfoY2
DFK8ApBL1H/1PeNF9i1F9dvowXPRY7j0rlG8NnKUbi8BXtk9GxLfkEaHY4a5LH8/AraqGV08oKZ2
QNz+QYu3uR83jD0E/VOXNFdGMHkWngFBwvZjezsn7AEX6H4OQeKgm9vLv2XlXjr5KcI3aGsrVVoN
P4Wij5zrBXMVVrpUbwOI7yZ7UmSSzV4Jn7Bw3EsQJoW2usgt4xt+Dr2YATSQhfFYpIVnWWXisMy/
7ZTiEwnwXTM1jyW1fl1e6FfXhOAUj4FFlhaWacmgaH3m9MW898H7rwVWBk46hbYH1ejHAYFPEl9D
58UsrpJQ8a9VM40ipy+b8NOfdFVx2sTQkP3N+nuVTPEuziyt4CCxSUHZ1fnta5iw8bkPMF/LYxpW
V+HQsyt0xKT3aoxrOA8KybNkzYQRi6IioWO6D9LPgiXFwdy0YY8RYk3pe8e3uoNqNQxegb6C5z3x
6jr5jjzMPUu3c5WgeXnsPi9/13OCVoKqAho3MQaP7VRFDj4zYGYz2l3mGNMTK9VNqGXP9oA6Z5w+
2k3IA0t1UqV3tKaGHsZ4j+I4b1n02JJH2sUHX/s+mqWj6Ex2ys7TCMu4I+Sdcc5UQsVvY+W+Tmu1
yjAaaweI1FviROZ8h4wS94vQK2eVx9P72GebtPnwK/Z4+cOsHXK0d1G052lo3BMvYRqas6JHKvRD
lexF18Ot3ZjPhiYrxK24aLQNL7kwJF/wQhBeV/MQjwarYNbTMEP2ZdMzcFKE2wwya5fXs7LRS54R
I6oUT2CUQQSkRhtQy7ImtI6C5wLvbfqjh96S5mYz5kifaLfxOx6GOx1SAWmA6Sv9Lo32YbBT0d71
9/IBCGL+v7IPGs0W2YRTF6qm8azgYCEJxzKQTe+6KXfSURJIrfgM7Bycq4lbCYlcg56iKKmNsDZE
I6C7Odx9X/77tuXcuXIeJ74L+W4niXfPNxPtspjzWOgkcK7Fzq8u7E19rHAjgS4FopXuyN4IeR7b
t8tbufzsU1d4CiM4fQSNOoRvAJONkKikt2CLlxjL+bWyIOC1A+1zCIacqcSnU6RlDAiF3nmT+gRh
hyRPt+ns+bnknK8tBqIki3wGPBA040/3yDBmH6YA/5PYcXvfgjL5BuVOGXnTSuHx1JsI3ywOFNYb
bZ2h9oHxl6oHl5gycV0Lb2f/s4aK86TQgM94RYyyzN3ax0TVCtclLk04eWGFRQFCgTlv4GHxUI76
A8GAE4Ijf7yeE1lZac0Cj7C+ZjyPQpNowKgAxBAyR5/RDqZhCGO81qNrS/ZGWV3TMiqM2p+NFkch
skxCAxltA3FHhlSNBooqM910023avuUyHtyVSxJbd4QlnOKxp02XmMDCkxUx+W9VQ0y+MxbBE/N9
Rlo7AmnL0nj2/fIxW1kjHmA2Ct/gecAShcuZ2FbUmLTInSH7DHKFkxw3M+VqfGXasfcPWEguwDyQ
O8R/p6dAGeosj7syB5cxWnvoloCioWRO2IAp5e/LqBrmG1CRRswBFhoxfC3bqSLBVAGr2RraYQaR
WTNqfO4k32+l6nQKJJy5Up9qIx0B1GUg/TzM5XbUfxHLG5EaNTve59eotKjkuSj2VuN1ssnK5VwJ
bhLtt6jgffX5Y8Wn3zRndhogGM0dnw3uwkbaRoYzLFVQ8xE9hA7RfyVse3kfV87fCaZwr+nwZiSj
wMSY4caON1rm70z9irWyOppscYJTKauWxeVYo+wOCUPoe2BRExR/PjTmuy3tnUjdRNbr5cWdv5Gx
n38+KBX6ryBjN6EjH4vLTWTartrGnenb3FA88kEZUO//Hg1hKbr7ER4wNG6cbt80qn2N5Dke/kXk
6VPlJPWNgvxeUo0bcL3ysfxrwaglwX2EKGweY12UD6YKMQit3DbjTwWylINlbKIw44o0OllzL3gz
G+AFw1sKgdnp+tCUFYcYYc6ddizcKTc5MxRIBRQuCZ5zRfZIP9u7ZZQHQ5cIghBkIuj6f6Rd13Lk
uLL8IkaAnnyla6uWN6MXxkgj0XsSNF9/koobZ7tB3kbMnomZfdiHLgIoAIWqrMxLa34v9bTrRCgw
ANiFpokwt0JNsmNyY8T3eLFdX7vFpT5bQ1c2AC8I7xbXQxihMSP1YU0wf6Ojxu4VTgi0JCtgLDCX
gh8qbVXEqEJom+kz2qY7b9p+yRthX75E9ge1EluziIPJ9UJOV+9i58GypqN1CH0YCI4kJndDi0aP
qlQXrJzgJYTsQ3tqipd4jFHHBjlCsy17nkwxzySzeGnW4ykqwT2C8T1FbZNAVRcqcalXir+podqm
z9l7i8cPM0ZmdsGi3dIc2VprGE6G5Mno3hejvz0qGRvM9epPwZTpIWyEOJL9wAPlnyWAN5tHZL7m
i3hcIVODRCe8kTlH0E7ThFIEO3X5lMpQri45vrg+Wf8YYI4NLWnHCfKhMDA8IiMhivfhwAkPeGOY
HeQsrGvVUYZ+J0wYYeCpkMSeFJ6PcUywMmGFGCOrM09TE2qWErwQ81/5lI4+sTnK1xUmGvAHKMaB
3ARjiBsLfHB1/SBpD9fPnWU37OxUBsqUsglutEVs02shxOEoRqE9S5s36iQv6a6HtP0m2eWbZsvT
NVz2ZzL2mEFVudoRqYQ96omP4ht9k+yHBHy0jnR37I/SUXfIhqfLsKy+MUYZj1baKQkBK8NMBokT
VKpd185kHmhnxwqYmPTbUKitqovQ7QdGM862XfUTAyxypqkiD7iA2AaJlug1Rqz7N1WG5uK/fUP/
DO6f32d2U0ApjbsMvy+Mmq3IFB11FpluUp7gL28czJaqwMGojvMRV4D+IRO3UFmzOc64CAYvh8Ky
EdZKJ8Q95Ekt5DkgcvUe3U9Huv1sUHP7zsHAoHmZVz5XnAn8f3zyvzPIJnoi34ymoYdZU7LHh/vs
m9iRlSEiPPS/wOWT7Z5NJ1M5GYOlvOg8WPwVwcCPMIN9wXSkEwhqSQLUkkEfpH5Km3Fj3FTfrfME
XlprvA2xFwIHXAjP5MBDzS+f94x15lKuzAZICB9bYgR/V+gWL63V1mg+c4WN9BpytsCy/ezHGgSC
keoBboVFGhVZJBbTHALEx+q7epFspMMP2k7cDA/F27CvLaBnDglBxzbHo+YI++JJA8MzjhhU9fiz
1FiOp2HqBwxzSApLU50SZYb4hAZMedyVqhP7p4pX9VwdrI6CvgJ4Ii5R9hncJD7tSgGDzTK3c4mb
d1a1yQ/qQ2r1x9EDtdB9vx02sfvXiIZ5sGeGmbNVa6q2ogSGE/PUEmsUnxSgFSt1e31S1w6CczPM
aYq1RJ1Aghki/dL7uX70dd3Aaqx6boE50gTd9yUfKE8LmUj05e1LT7lrLSs4NoGjWYb13Gzzzb28
U+94+2LlBEIjBOrF6HFHIoNtdJeGMlSnGqqLVfMsolZTOaOyG3j6tysBEKzgMpgBEjMZ02V0Isdz
d0I94ZxT3BzFk7BOULQOOcfpyjohaQGKC/R2QG2XhWAQv9blLgdNfmw+m/o9CTkSeT9MFRebCxlI
Fe8xNIyBFXjR5UXFSm3CIgvtw+AYdrA1b2XL2MSO71VW60WHxG0P2b2ChqDBBt3Gy12/UU8aXhq5
ld01tzhrDr6rnE7TJreLnQQqo+eUMweLmWY+cZ6jszgwNKJWAIw3RGf7KekPiebK/t9uB5jAGuLB
bYLHHM1ulyYg6iuadZ9DAydGC82D8tdd8/Pvo6aj/Sg/Anxy+fsCJWAn6KEv2crfYv3Yt/s+9PLe
CXkSqgvfZwwxcxWYPvZFUIa2VExW7+8j/V1JXVJzluRHVoZ1m59YCETYOlByzPmRTkhLykWHATna
y2DpbnlMXPn0XjoAVtjBpj1GewpWI/A7n9T79AHtXA4igI3wVLi8otlijwCo/kPEBuEPODHbeyln
OcnqvA9tUfoGTUBHebiklUm9MMAcZVkbiyDNhgFVv518L8x2JXCoPNzCPGXMlKLqBt9TkZGZRWMv
fSTxM9FX29lKdZP6kHaSti2ddbxRUXGuH84rO+rcFNtTKA5mIYsDTA3TnVJsumZPDU5AtjYaZENA
3SCjhRLVrsvRpEWogM0eqlKi8qmUlpEf/Ab9VSipJn+/d1FK/scSc2PmkjYBVQRLhYr6bY4qNpd/
eg6k2KU5N8F4u5kbhBSlgvlCZ6KFPlTJ9Z3SbYLNKFkgl7KnP9cXaPmkg0+fW2RcLjCHRkwHWKwF
L3oRTEuxKzs/BMcKoZbyqRo2DwK9TFwzJhn/a4UJV4QCk90+F25KlEztL9MebPIWZbY6WmLmCM64
uT7QFU9Ephr+DiwjwCVs8bDte5oojRraGTJ0ybOiuXHNwRv8FNOY1YMN9BvJcEW0njOuKAvaRPNB
C23qVKfA0i1jr99mD4MV2b0Xf2tOYEEf10qO+elbdnvrBLCbZZzAG9ZzFVKXLwYICJ1/DOOtRp01
alvoIRjLYtDumqGjjFbrTEfFDj9a1/dya6jsArSjPzq9Pue+XznKLswznoyuLN9ofcxFKn8ZCkiA
VKuKHwrwyFxf12UVmhkn48BxUkhVM8HQ6MoWBAVOtSe56VNhZw/tVtxOm2dqK15qya7itCdzY+67
LYozHAqF1eGC2xgcRCCqQ2B9eQpBrdws9NIMIV/jxLIdI/Q0bqeGM9iVCwjVYqCcVTA3yegMvLTS
RbIUaVMX2SroT4SniNuKvnKYXhiYP+AsAqoD5POiFgbazwaHnGmlu+gQuMYu/JhO5FbdBHYWuq65
E3fXl3HJ9TbrXZ0NbbF3okqqKCw3bgHCyDflu9tMt9D7Brr5Rnivjk2Ee50XwfMmlNkkVOryMBNh
tUy8Jrtry+/rw1q6BbBHqHlgcEhmL8K9KOxNuakDYE1jqd2afnsylKnZtQXgs9UQ8uBjy7cQCgJz
TWBmp5yxNcx4oDJUJh1FQiSU7d4Fxh+9b63T/55AA9lmbm2NEDZ9SZ6QMgjsPwRVHo6Hzmf35RGI
D0DbBM5vdK4qbDMuVCGFBKBB5O0jHDbzaafcBne9xU0SLFfu0hAz0kqJU+jew5D6mB51TLAFfHx5
iHaZ/Sp9Sp6BJnhOLLrio5c2mTMtyfJJbTTYBHj1ieyJrfzqMJ9fxm1kA6BrZR85x+TadCLSJMBC
mth6LPkX1SXopswdZyp4IJTYzUNIJ9wBAklip2h7y+cBdRfXJCAHaBxEp6kB/ZRFOn8C3DAepqkE
cUFyP+GdEgX6IR3+9nJgrDBntpQMIEfpYEVLN4YMxZ67jJxUyonXluvFmGEDDYAYEjS9QD9nAgMv
oOuktrTwVJXuULzMEW90yKLnyD/Q5mEEnlb1TB68YnU+55wSOKSBCWAbXXslRniqkdKG8IwlD0d1
fNd46JuFk8zDPLPBzKY8tGg8DsTSJs1DKDtZ9qG3v1vQy/t/KsWtCs60Ls40xhwzq40QtKT2MSRF
eVPHT1F60sxDqXrXT87F/v6xgnwEiksI29hEuDGmapHPa9eMg02rj5AXoKyvzD8GmFnrlRB9eDoM
1O0myfaZ/BXwejXnn7g4DDEGIPHkmVHeREjLXNfg1xZCI+hL5A+L/KEM272pjqI7dbGK8r6ZnQKi
JBtJabJ/sUQIdOe+DaDMFsBXaUBzkJkPpZ1qD7p+L8QgHTkkPH70tRlEIwXgrWilAP8i4wi91Apl
Fcrz9pIcPyK7QJ0cIZc5kfuKJ0C6BS1P6IQC/J0NrRpA44XIAFqOUERWJPSJlZaV4lz3t0Xkg97F
cyvzV5xFPtSs9KHTYEVQx7sSj5KwAgGeET02BnryoMV23dzK3KElHVclgkUoVLKDCts0xV2Je0vv
kE+vm0+5HaBaTDhh6aqZHxkxSOAYgGlejgp1dpFkA/rsaVy+5VSwerG+M0POE3z5osPk4fGN6iOc
DT43f8bZ5OmRlqlKiFjDN3IVedAkfiBa+DYlQexGcnfM/PKUxNprIVelRSftxg8yaKe2UzUz2Jm7
pFFVzs25tp4ysGX4JqTzVZWJDzK1FKOpCgFol0OrDwEfmE5z1Jzss79Wu8PoYQjqDj/ABfZpmcdR
GTZJnNll34k3cRdAySFve1uc+35QrRQA4rvuPWtbAq2iEIeD8wNVw+w80c/A4SoCh9jRAb0YsdZs
2rJoOB3fy9oEBgbVzXnrAdiMhb1cVjI1fl2MgAaW4UaCHk7thuZNDqJ1KFOl6FlONzXZa2VtNcqn
b7ih8iusd353F/Gq58vHLPMljIMlcRAFMWhk7OQFHeCTU39UTmVP9lcHYUZL2IVH9S50DbfbaqeR
491rnoS2WdAmAJOIU445xSnF+5LOnmTiCsczb7LyFh2Jel6LM/YNiUdM//X1XTWJTh9DRscAUo3M
tg0HPahyMcvsYQBhxB70k/j3PkLyreTxfSxre/PePbMlXS6yEmk01hTYGsEkm4XbnMZWA1q+6dRO
jizfj1BBqwX3+gCX/KOMVWZSNR9sqM2QZkB/JikFQlKPbyQR3Ge+b4w3IGGVb0VfU7/8Hk13XtB2
DeTtNOLvAiLSewjq5M40STM1pTCQnSlScKI0dWNUVil3QH2lgilCYDBAe2cU4Ipq+1mbKpXkcusn
UfAc5sqYOhUaw7zIpyoHs7ISImHj4DRAS59KwBJzOadqNaH/34C7CnFpi+q2LJwoeDEnjpm10x2J
fmA+AIbH7TW70dmxa/ZpNYoFkmZaJkKcRPSMJnRHX+Ys1qqLgA8OCX0Unmd826WdQNVo09e4E/vR
TKkLvJT6LdC6S6zRl2LfMyMQtCPr2j6kOAJ1m+Z4FaNDKwt5Pew/5VAmpJq5yMHnYgJsJ7NlqmmM
qSp3ARDYnqDY/k7EG1OxBvdTdCBy4HX3gSuDFB7vXqgTWvE+htxB5WZbikzGcBjdfNOBvv9ROlaP
AM5yjuWVeO/841hEgiwWvSBU+LhJnZvfHztzh48MlU2v3+SUA5RbW/yzmWB9rA9wYAnzTEBuCJQB
vVCTL7GvjIdOiNJf17fr4r6BnhuCcJyB4F4Azw3jaGJRllEWFHAAIr/qY3PfIHL5exNI+5pIlYCF
A9pjlz5Ghr4bzAT9M2EJMkC5kiB1EPDyZ6uByvmkMYcd1AR0LZtXSLuvQ1c8SK7hUBtYHhBjePnJ
d4nzfX1cvGViDjo0s4PaMpkdNnholV0pbvyEM3XLrA8O0/NRMfe0ohZa2fSwoT++QeJmB2DWu2SH
t0fRvpu2d76VhZZyjDzZDTivNO6EMkeDOpl1A7w7IpFv/Wl6o7cfgzXrtan7u2wz2Akvv7Q+nTjr
kGrFq4q9GaVSRmdQh8s4Vb+H/E7qDhEvuFo1MZMnIUeNsj5b5evMIo76GsEsUcdNArQpgP5uUnIZ
82ZfWxxlIig3QXkgooGK8QyISyVS9+MZUWGNo/IR5J9Zlx6lBkfUmP6pITYIiQB0fybbqUTCLok4
BYtl8Wd2nLMgmVm9JCWtWMuzc7a94epJ/UpMoffA30/tKgXZnK8qjwRdsBbSwodBjYRf4Dp+QMZU
c8VR4Mmkr12b4CPHlOBWm9PozBlg5H0iz4F0LH+1otvLaEyctlrH2S88M8wh4Hdx1YslzCTFyY+d
0r/pQG0wqhzZvyWQcJ5d6L2h3g9SsAUHRNenSdRUCarUkK31aFkAWxEf43F8MrvXEOIBddrZFYle
O03w8nTaqdLb9cNn2ZXIfMJ8Y51FCKIYh0Gm4BMAkAvR62rFIRQWR7dybwHufu1BsipCxm9n7mhv
xZwbai2KBZgEPBvKTMTHkvDRoMmooiKybJU/hvECZ7OGYlNHf7Ke88xdvXjPLDEHoCz1TVTOMWwN
+iEzeQvDDnBxYoVIfkVdvyv9nrO4ixtxnti5XAEBMxP9vczmFYKR1vIcvyIzAlh6MoxO3Sm8jPPa
UQReOUhmovdfNRcbYoyUlpB8bqtz4uQZfMQAazocH1mg3jAUKDxAXtWARi5AOpc+gnZ7XakERHeQ
puyL/TC+dIZXT0eDQOEntkXd0XkKIat+eW5z3qJnfhlEfqEKJmxKIF0uEkfEUVP+pvJJBhxIcibt
NqzQs+upwlslgXGjAyMIChg7rdiZBS8Xs3p/ol4B5ioD73joM1x+jZk3c/Z2jm+LQ2BaqvLlD/dl
bAm+1UuPGvDgiC1zR6tv1eQgo2RqwLP2XeeW/a80couYc6uuHVDgAEBfERqkZ1ZT5nuGAnmUFM8H
lXxNzRsUiGyQ8djgLeMErD+ocPYOAhsHUqwAZAGexZy4uukHYa3BUuOmTrFVNggfPNFJjxTKN1vV
e+stUFveRpZ5AnR901ELvRH2r9CVAco0rOEguoB+nwynL6xt+zYiyKAv08a37kvHvwndl+u+urYf
wGWGcgga1oFEZxYK/A/NoILwztbw5oPnTNGdQTi3w7oN8HEDFQFYpsRMSRMZRRdVcIZ8VLc6IDJ6
IW4FseEcjnOKhp15bLw5sYIcKg6TyzXuk7QIUhO5lb7JzQitsSK5pXkf7+emfOgrtOSedlK3z8aW
aPaYhfnr9blcf9WBrxf0mwjvF0k7XLRCjTQZHqlb/13orOEDwlpq7QkeeNh5FHFrs4qmBLQgQ+5R
RWL6crhi3Ha6n6ARf+o9U37PM4tAUP36iNZugXMbzJQmpEM6epq3TeBMUP6TthIkMsDOix5JjSfL
8/PF7AKeW2PuHHB+52EcYEQRugFcmKsA+KC/IMeWWYGl/Sk20D4B+x4yysfJ3qt/xi2vaL52CUH5
CG2tAEsjA8CcE13sF8gR4hNqtCxYHfQA4i7muMnqwp3ZYE/qTECHsAobvjHVG4Jc4U5qwg89a3hJ
r4UlMH+BMx0NLCjKYN8xExoSQdFoRNHc6eubSAxsSUcrdzNxDteFGew6Ff0rSKtB+GZBVpjlcjRp
HTaeUO0C+ov4Gyju/r0jnptgoq4KrblIksNEhYeX4B8nzY0mJ6DEjgfDqgv3urnVEZ2laZkTSwZ1
SWPUszkq2Upm3oSD6o7R9HDdzNr2Os8GM1u4qyoNkHFsryn+3RSOXoN0THjVmidT2JU6Z0yrwfO5
NWYzS0EkTQD2IXIFgiF9m3m0wuwZsXNYvraGWxRATn2RapfGvNVbTCcAXCqYM3EhIhhYtODIUaq0
vanVmMq7Pjml+hMhnKlcZtYZG4yHYMmGhuawoUv2cKj24oNgR66266HwcN/t6B60K5vhl/jnr6ue
s2HEkwTtxCuZHGqkgZFkEE5Wp8bzaYLMRwPxad/nXG+rI4SuFGp2iGMgA8ecG8UkksQUgAcmm+bB
ABiFHkQ0cUBCbOsfkXJxiEMO+k7izOza4mFPE4RPKK4BgXZ5z/SBT7MezDZ2VBmvkZ9tIWB1Y4Q8
XOvy5Yx5PLfDbAZRLYyqTmEnBIKgqZ4j5Po0ZJQbaUS193WY0BlDu8cm6t0AwnAlmLJQ0n6+viMX
MQTzEcweUfRMjJCRw2KO8m3nA6yhNJCFUo6CFqDUbLhqD5FSmL9uljfHzEENdnB1mCn00DIuWw0I
FEpRdzNtd90Kb3DzV5w9EeSoaANqwgr4Vw0MY3iWkcGS30BgmyYHf+CRsswOeXGfM5PJOCwptKQK
9dkeNIt9B4DC3HwlI8c/V62A7RWuCV5elA0vR4XmAoKIDsqSuXwkwwaRSt/dyOLb9blbIl/mwZyZ
YZZonAC1y2Yzys30pneW/BGDJvcU7dtXbdfelw8aOJS/eDSeP9m3xRziVYxs8Y/8BBOfAyvUQGsD
cxgVL7UCAPO+/tY1R5duoXanA19Of488OMr8m9dsMkdpAFlAfSxhUxy8JP4eVJD2jK9mfGpDXmZw
cQNiVucgBYgOvM5UVl6jCCEqVTfY9KpxU+c3XXhTK7dt+SJP95SHR1hzlHNbzLA6SZjGroAtJQ3B
JeCWvqMUpSX0nG3GG9O8Dc+2WSQqUaGF80HWpW6B8KQq/kRgyorz1tJy2dY6w73unJyRqXM+4szi
1AddVQfzLJa3RfCl0+doii2TONfNrPkFeL9QgENjAGI+xhfrPCW9oKswo0PELj1p/X4CcaHfHqRy
c93U2oF4bopZq0FJhwLYERyI8c4vfhN9pwZf/5sJZplyNAVUpgoTvThAXP1OKD+rgYelXl2Zf6aM
rV+ZDTKFvjj7XNQpbkzy2hEbVbQi39BuRdPnPbVXfQ8tbTNmGjwdbDFPa0ujhp4C7A3SyxTHgT1B
RKWGiiBJc2ts5Fcg+e3rE7k6RogOo8b0I1PDBAimEopB3fsQQi9qJ5kvEmh6h06qPP4bO2DNRRZh
Fq9mFiwoxBrtnnoNodh+lyZ2DPUFUwjsktfYMP8Qe/7hNEe3LIC/YMBm7skIEMMG+Pca0f/vpjyA
ux9ElZshmTmb5dwVB46zr+6rM3vzBJ9t36zMg14aYE+atkVvyZITtL908SbnET8sQR/zcQvfQD/b
TD6ssjtYinqc7JjC/sY8QQJHfE225Ta6qffps2g34OvYBXcoPH+Z3Tb5ELzrC7h6mZ2bZ3a13IQN
MWfz1CtOXYr2BSv/SA/CJnKabVj8tV+igifOKBswYumLpmcpE8QUIgQ/6muN7vbtjT85o7S7Pqil
98PK3BWCmBzaq2y+D6UAVRqnFCKF8XZQj1rwXA+OwOtY/elDuPRJGWxsSNPhoYFKPYsMHHtxGjIK
suhxD9IdV8J/m414kE/S3vRadMFsGsC/vBjwDUhrR47S2IfI4bXqLz0VX4G6A7C3Mhr3WFwWiC9j
VKrw22nthEAmQqS99MLirqz/FoeBYO7cELMleiMIIdGL4Q7yZ4BOburozcf1hVu2uTA2mM2gUWK0
AjqYbHLfHitb2xmevAFwZoNejW3nBRu0lLrJBpIk6BOL0fpINoar3PDeVyuRJagLkYEFrEXDxLIx
kDJOfk8Go7GDl/oTVcDOmm61DXSLv3Q338av6o24HznlnZXX1qVRZitGqgmNyNlo+zmiH023pm19
jCxl13jCe30at9cne3mfX5pjzm7RSEgoUJiLx2Mjfmv0s0g50QlvHtkoqCuluW0JNl7KnXGDXtZ7
AUx/ln98Nfegf70Rb+7/p0GxbeQgoU1aaTYojbtY3clkA+Xn6yaWV9HFvKnMo3gETY/vpzChP8qv
CB+d0oqeIMjGcYdlvQZ74cwHWXrEgUxt3I3z+uxqUCcdaWKLXuopT9gLbrEbvW77bLi5FWxSy488
g3NUL3uSGfvM6yrQAl9pZnfsXd8Oj8qp9eJfmYvX1WF4oNsWe1DHXoQSxe70PdxJt6houdGHD0fl
1bK5c8Fc/wXJY9lv8S3BS+fKTniMvRzaRJ7pJsf4A8WjF2ETnx7DGwi6bXhvr5Usz+VKMCcf4Oyq
mswrMe411wc9vWUCZCVuRevrKFnGZ/JLuDe2vCaVeX7Z60UH3RRul5lOgO0JL4VqBHDBQPYsIpu0
zQ51UHDyV2tHwLkJ5sQJ5JgM0wgTvUC3ZRlsI+yWqss5ENu1KwqXExgkAJ0GjkS+DKZ0GeL2RYto
tOjV30kIUHST6cNNEaoPfd8aXq5KnItkbY+Cv0kHahCkEricLy0qo29IlT+/90RAAYLTZGobSt1w
2oWhPLO6ZAnn4FmLOc4sysx7D9zRZOzo/DoqXoKicocqeqf5nBWnPBKLeVUWjgF5UhPsLSboAphL
UuqMJPLnBwXERQ9J0D5oGTKcQqU9Db3/0BHqFODhvn7ore4B5Fr+a5RxlYZUVZ0RxIl6MN3Rsne0
zPg0IK5m6u8jakBJAPrbGUNTjMK9VjQn6GttiP5MUt8xFbrPVd0rk4CTaFrxLHSeoG0CoDpUMdnn
b6EGtTHFEQSwhXuw4sZgN9dLR8ODHkqqnBmY30zMtOP9gchy1lDVoR986VN1gRisKBG7hrFvx9On
WQqOSEurjEYvwsNelwvRIv2ItND0kKs8dtfVvXq2AIxLVyA19v0MCyC2E2i269OAlpsirDgLvepc
GIlmoC4AOAbjXIoRdZ0x4EjIhnetVSxlDKCQjVL03TRsG/DPXJ/VlQUEY/z8TkWmHo9y5qHaknoi
sYFRpdmvVs49Q6zus+k7pzKarXhX2urYzowxN3dlaoFeURjzm8w18mSbNDti2lp4aNqdaISc6Gd1
xc7MMcdeHdSRWteYyskHxIL2bqwSe4gEDnKfNyrmnu4EjQjUx3EwtCYUr36HkSOQ32L8ChIKXfhz
fb1Wj7mzMTGbgA5mbYLRGEc5BA8QrjpV+ycY8h1UQjmewbPEXLqNkNcRmV/8Wv5dJG4nSKCie8qN
gWNnfZUAsgTDKEj02fY1CJIoegy6GruSFQso41M7pBY6XbbXJ271Np/VWv/PDLNKoIrDc7jEHVi2
CXH8IhK3Yx/wQOzrvvCPFWZ5IKtBGqPDYLQGyCbdk/U3CmBYu9EEu+JR+a6vEBp0jBlFiirY5YGo
Dvlk+gL8uzUEKKTgPag1llyhhJlLnEBldVwGuglmgqj5UX9pqtIGUYZsCNIxEWQ+tQe5etXB4jQV
D0ku2iIPf7t2KiEtTWZ1cwBk2IbkXJ7AJhziqM9rCNPXpxpKCkV5P9K3WvnbJmFMHJqQZaBjcY1B
VOFyZDm0j4w4R66iCNBCQcFNcCtJcbTJS/UuDeL26e/dEN2FoJA3CWDuLNaOQhFJydqgseU6djMp
OI0BT0pL+ol1FjclNBOgQQ+yLfDvXI4pLowMmrBJYxtIbu3VOA5/6cGYuGLbkwntKUnylPtC7xI5
KHZCJGefbWFo6GHzi8dSHchTBAj7KRjzxk1yofWMOFKRyDGEYy/X9NS1Yg8CbhUI5k0pJ9XnYGTN
W5IOsq02YvkGbQMD3DJiKQDOUQwfRBBUSPQZ+qlOTR99Xej/EWkwfEWdlsmnwVfCXaDPcVoKpbRv
bWiLxpHTUNqV0yC4fTClu4mEwGm0ZqL6BwXM+0e1RD3ByoZMBUUfbaXRGYdRAz0h5Dx7K4HAOkTj
0U5YWv6UKaEbiyVUUgHBa/CMABWvm0JwxsVLkn5T9ASAAgJUzpFtxp0p25DKynejKA+HWBSyYwPy
3icjmcqXRqiegXS+gym6HYpcD62RTBO1Wt0EF0goZalV+5LsRbRP3zu9BZeOWKYPHeqj26Axxcge
JRpCVg8V45kUuy5dRUsAhB4zom0UNZVdLSbxTkxz8IuIyNFp8qDv4UmCm9O62Qk1BTMjpcZuBM6F
ouYwhG5Lha79TPxODPZKCoY6fHVp7OtWiwq3UkC6BoKuQYJ4TpGZaBA3e83O0hq4+VYey0eljuIH
KQcoRp4a+pSVNThcBNP0BoredqvStc4ylIa8D2OMMl+XFqPmKGYwgIM69mNPlxV0IFUlDSC03bTG
Y5oO3WhTNZde877NtqUylKKtTVni9aI4/oHIWOJktViWbiYk9Hk0sVyOmPtaAY0cBTalWg1fIetT
GXslqMwnBN3ZdkSDloQ+g8qXbyZg603LAMzH2OZi1x4HULjm+waVBcUZ8f/dvCIh9IhNw1ctOW9H
6L3lpj5ZXVQiuSP3BfW6PFde0HOS+HaT5vleyAjZVpgpr0WY/adOSwVvpUTScysJ/CeVyqJDB9Le
dGik9UIcX/smzKutL7TmUe5BQQirQRI7OmmDbZv28UNt+NNO7lFFtaYhEt3Cb6ONAsU2UBmbdLQC
Ve0Dp0x1uqNQUssRoAyiM7d2fcuQ6UGXHI0QU1Bp8C0tGPyjLAjpI9GL/ssER4s7mlNyP/ZFuwX/
uviFRrUStOqxMR2SPPadLFDl+6oRAfzIkPy2ZIzWg1YNiC0nIajfg8yMJEvPyuCXFMcoYJURBBnv
/DzP9rWfCihqQYL8Xukb87GVquAuk/PxVz82o+6RRDY3Uy/5+XbSheYIVXcdt54aBW4GmaZ7Wqak
c3pDSMVjS9LyQRXa/CAJWvxdqIiYrH4yUftTlKZ3jSDvTEtLDNo/trPIdRxX7V6b9NEBtjt2E2gu
jO71s3hJsgrkBv7gnQoxSPBeMAFib+qZajQQFRi7nDjCVKATEh2KuumgOcnFVfesVl9KWoNmHUcm
wN77jzEonLy4UcnwwfmYOfhlD+3zj2EClIaQsgmS+SJKA0vBLswzJ9bfhwEa013wXVSfVaAeQx8x
WNuCtIv3ql2pRFzOBhO7pKKQGvkwZ+2BD43zzumqHHwWkl1nCvBl4lZRWldLQwftI64hm6+cCVh7
32ExkKKYm1UgSXJ5a6GnLUanDG4trf5IQsUJm9CT8+a9S18LNG5ZNS3cVisCJ4XWnlnylEJWoim0
HQLQgDgQjyE2j69ATXlI9Qrm2+pW9bsPbJU9zfc5ytSckS6w8LPfnZliQutC6Ca97erGBrOBE5mg
WalcJDWtGlru9EWLNkO47yROALwSwomgzMGTUpLBpMCWChOSKj5qeIipcPmpU/+iSvp2mohhmblu
l3XyIIy/rw90JYyb+/QBwYdCCXpTmDgkDARhSjuYjNDq2yuVFUgzddXOB9iO12G8Et+D6MBAwlZE
KL+glKF52ChARCI7IH+2QW/pvKbQNf84NzDP71lFEsegVBUGDHRtFdmBoGSnvPff0jgZ8URKK+f6
3K08i6D1APIODckOFOqY3aCoMe5twOcgQP1Y9y9h/BponLTg6pT9Y4KlTQwhnlQKPUwM8uBoQ+M0
9eZ/GgQb7eY+wJWaBAtd/WHQbac//4vCtPyjLAQkPQ4PtAFdLos8gUkjSUQE1LPCh4HegaJqLEEU
33KpPNKwvYd+qlVWPQ/GsLafIMYxSwnD6xSDWaBETkdSEqmxaSNafvZBMheBmhBObpM+DYSTZFgi
VXFm4J6CQsGcbdPY7StkwyhILSpz2nvutJKV3tav4gnx0674U7UWj45gzdvBvQqxOZA0gaKJmda8
q7pGnq/GRHyqCjedPgT9gLjoun+sWYFyPDhkTJwPeOhfLl4X4pVHEHPacX7b1OAGGNDQjBDi71F3
6IQ/s8PsXbU0WygME4wGUGlS6NtmSo8FQtQ0J5wq7dqmQlcnaL3R5jSTQF4OaRDqXo1DuAXCjWNq
TMcRHQLXZ23taAB5Fk6F+Y2MV+SliZESBaECXEHo9MCiWq471RD5di6h3n7d1M9TkY1KAH/BvgIQ
bRaGZWyZUiWomYmoxB3e8NrRMvfQbipXsadD6UW29uh7uqs/o+hujYVV73NO5mF1sGcfwMxnD3nh
NNXnD0ib/5D2Xctx88y2T8Qq5nALhskaSaN8w5JkC8w5P/1Z9Pn35xkM96D+b9vl8oWq1Gyg0Wh0
WIuEwzbLfsfc4bR5xf53LQGBdqml1ZfKEE8QIqwxkFW6h9RtvmrbXyWevsm//af6vn+tPnjg6EsV
Z2BgazMxGloyMLNyKVcz1LbKBBS26op8TGsjJeEHoAjp5lSKRF6Duojbb7Ks6l+RzIYqdJr62Ieq
ot1tpDVtHf2+a4jlSrbwrq/Vx2gr3wn34ppXtl2MtgGthL/ABBYttgola8UYKI1f2+pq2MvPyBtF
Trjy12gmWIGstSThqVr1u5fbFrx4Hs+kzj8/u7ZHKQHFdgS2JGG4j0WN+DJnRnM2wGvb+asWEzZP
ZodXMYWAap8FpNtFP9lL6FkFkX7d1mTxCjhfwNmbnqmSZXodhyoWMAWB1l3zlu1DV0A3pacBbhTw
Yq+35S2fvL+KMcZJAxp2zQhxFB16gOsgKniuk/7ptpTr2X5cbOdaMQaJ93FhSB3ENE56pxHRLt23
DoNbG/8kep/1OuSodT2RxghkPIqqD2HXGRCofKOLNz1Moi2DwPutfqKAouGptxTrI6uId4WKHjO0
RV1uGlATpMgoYR5o22/e6pX8jh6Wg3nUMKvFWcml29QAeQdubQT4eMRciqqjurSmlDY20mmPyqlz
0N7Y7KM34Ko+qqrb7kyv+YxWFueOWDzY53IZuwwzXYkp6qC29B27wUvmhMAiRnXiEU3Zmi3fqR8R
iBlWwSHlBUXqwtkzFAVT70i6Ye6PMVE9DMsgj3XEl5FYrussRoZaa8bREYIIcE15D/WnEtWfQgH3
tE1NNTpNpVg/570hOUAoH9Y5aD0PRVWIvHkp3rcxdt1MZpVhZh1+IetsmQ6bHJgHnB1fNC70d87P
HmNuY7zc8VKMQqU3DcQ1k4rEn3KSyvdeDtZx2oFJGy0F6e+iwIinFnCyFcvK/SOYJZqaMazqcMTC
+5Hk9QbA/6VkxVFu0Zz/Kmexr0cdOb8xgXL9tthLv2qkX3BNis8m+Kx/74XD9Jn8iEThVUSX/Dmy
5v+zptacpznzss2UB1Khg8F5ysSXppDX1K9XExCuC0OlmL+ktlnq93Whvt/Wd8ndnstlHEWiVGj3
EbGkqXBfJl+lsDWK59siFlcUM/gI5wC0gyH0S9WychxMw8eKpmgjQP5SO+poIhffbktZtI0zKYzh
t6Ggxvk471v4yyw2La8PfjFqQiVvZsKWTZSjGKvPAKwhhhRRk3KEEnaJkdg78b509O/Sszbtmgs3
vKgRRi1nYCIMmv3JnJ2ZxKRnCMNz3Bid/CL0+1jknOPFrdcBpI72UYycsyXQCgMExiBDobbK0XE8
kLF86CYevN2yFNDDg4YTvbksnF/fB/CEPbQY68e8d8vxvoo5DnlRBDoz8C5B5kJkDYxKZtM1PS67
cvzzFgfwCQje+/rf2PGZGMbCzCnF751v8DLaaGqMwcK1qr+IKefpsXhczsQwdmYlIlLz8306jusU
hCDGphWcmPcImD+WjR/nbpb/rJnKvD16K8ymhEKKbGDmdS9WH4nhWNLGHFyAptw+movBFhqykSPD
dKZyRWMhJFqn9mUAWulPs3XLzh22JsbwV8k2dEwXmHxm58xlII5vWz6yZ3LnpT47QVJWgXOkmuVu
+5VxFB7xnjvkrd0cGrexm/d2fVvRxa3D9BT+oEMcEwuX8lSx1QelDhs7kvbhpNlaFG+i6lcsFJzy
8WJQbvyVxG6fhvKOiXsY2zfabeGZ+k4rXqURyDubOMuRbNg00UNakJry2luW464z0cwFqVQSiG5b
KGl9j2ideA1O0mN6iCnJ1oONkmIs2MFB3OWOyBteXrTZM8nMHdmhNkGbLG7sGDQl/WPa7JX2ZWjv
0mg/lLwRq6Um5plQ20B8B+wYgEhebqYYBcAFLKFnbTj1Qdz6KJJtJ3e8N1bFGsXGg4LZ4iO3B31e
vquDCUBl1HrQ/imzNqTkWRlrE2y2cbpX+H7in+jmPThY6+n+trVeA9XgSTJjN/9HFGtEUW9a1J+g
YfHWuvqqvNO+4t/5YTwOM5a+6mn3sSd+0HfM+XOunuWTeSaaNaKxB+/RrGXnSMQi6SrZGXfZ+v3Z
t/Md13CWbfZMHGM5Ujc1YBmbF9UD3fX6HiTXh44YtgImOmob++SQfvG6l+ew5sZGstdrIuJWzzBW
iVHbYyWA0+++6omgownIvb2Pi9ffnMnE9CkwuVhmFryPozTysY2hhRltVSK99dUFm9tCFoORMyGM
K431qmmtCA5H0HwiDY+oUt4WsLRcc6uPJKPxBvNyjEXERZemICUFOxqqNc0Y2BNNDvlg2bSoV5lR
caoQS676XBxjEbRRMJ9XQByARkA+R722OgiFl/Jmopc6aBH2/tWLCbDlagC+r4yFGzxlAyi2cq2R
wRl2vUSqHTrqtI92J6x7kj0MvPPNW9J5T8+uv2KwEmTUIVpdgVTTxb0wObFrueqxKmzrAcQxK7qZ
XN/NeK8ZnmTWdwKxQ2lTrK5lfqbBFjATY4K2h3XLQ5Nasv3z1WXM0mp7rW8aCNLQk1gCvwlgzsCZ
uG2ai1eBBQQx/ENnB7DALxcyrNPWbOYYtsxcCmgfM9nR5LVSN4lP2mgnBo8CcFoLQBTsI/kpzmw/
4KT7lhb0/AuY2FP0+8Do5yxmkx6T8YQOAoIuFhRdiRWFHHWX1hRNPHAnc+EH3C6X2hpinE7mgNAw
HAGk96tMPYVXNuWJYCxTqOpOFmYRYy49ZBESYLrvNV1hczZu6TI9V4Wxw7jL0qLNIKcBN1Ly2Qpu
Jbs0/1G0A9qOnWC0U+s48Lg5FuIUmMmMfAUA8/mCvVxAMOgmiLshVapKIklfXVuDAZWo0mnw0SfO
oypYcGUX4hhX1uVgikHDGB6mtLovs8xRGyAyYkIWjzvOgi7cAheiGNOY8Fo0e31+aXUg3GniLa15
rEU8bRjTqDrBUMYGIrr0OEmvo3Qyp1P2L56MUATIlTMOHbaKidTLXrX0fA4Ihv6EJhwt3GSNxzG+
hTTZuQx2NkQSGiDlF7iXR7APYjzasWhKMFD63hg5kWnpNgBOmsJhXYbjA0f2vOeXwQeac9FdOkOg
KTNNxqUJRgkoOuu+a2xREd+EJLPjERh/g7oNdZSXUlRc2iYicii6ZfJ77EH2nbc8RImFlPefXlN8
A5owAMDHuM3El9BV9+c5FM8476Av0gFbXbVeK49kQL9RN95H4ImSgl+31b92L5eCGW9Zl1IJCiCs
/EAzNN6tMwE0rAMnIro2VAjBaD9aapBBQcxyucRigRqhrs8RkbGa/JUYrUz9S5vebquyEClDDMam
8cEYaYI3uRQTt72qtvNLT6L3ejzZ+QhO7jhZd1K96eJmHWrjSS/eYwkDBxRz5KW0lbPgv46W8BGA
6IRPA0kj+gAuP0IQZHluqmnsvgFgDegFc0rSykXV8ra2157zQg4L0jBk6GPP4gwP6Cx6VMLILaXi
Y/JFp5Mpuil+jSEP7Gj+cvagmDgEgOZG7cJiGxzUKU06aSga2w+VyFGVKV1XuZ+QaPDvFSU/DD0a
hOVcAJOgJOecZb2+1VGyR0ChogsQ83EsUco4pHVUjXljK9pX1N936W/woQ61h7az/35dAf9pzVc6
bna23TyUBoHGctNgQOq1qDdR9F6H33Hx3orfXPjT6zsXSqmqDEwDdCLg/0tbifqsHbW+wooqOWk7
b8zx8PGk4ChpmPPxTIT3hfwqp5yraSHJdCmXuTiGOFYEsavh8lTv12A/COu68syPR+HFrNywdqsX
jpdZ3D0NiKrWPIaPsYFLRfUpMYVabhuQy062qe1VlAWkTzF6DgaOnSy5GrTv/yOJ8WeJ1udmOEtC
PYxYMinEzz62VS6u2bw1V4fhTA5zzOlgKIM5y8kaV3uUZmIBkm2VB6Aa1E55X/q29nTbMDma/blC
zp4ofh/9Zw1DwP82/rHKX3M0CVvp4205C88wWAdY6AENB+QNIDlebtZUG3mn5sP8FtJtzPA+eeBW
AEn3Ufqgpwnjw+V9YaOFf3q/LXjpKjqXO1/UZwo2CZq0c7OHVdZfFM3W9EAtTqBxjdaJSZxzGcyJ
60SQSMcCZHQexrPkl3LrO8PG3NSOf8qfpN5BahVkrJpDPxN7VxEQ4HH8y+JROFtd5uwBp1BQhASr
O8nyfTyJHiY5bD16QDnyviurze01XcCLuFSYuRNHzWhGfYDCxklf5a70LRz9GOS+9C4Iydg7APlF
j4e4MQHgMBL1ja6mrfktfgcvphc6nI+Zd/Dq0ABOH0ilGNnG3Dazw6FB9SmAExdXmpev/BVYGmcK
HU+6K+06IhTcrPVe+S1tKE7TKlrpzzonHbxsZH8/gVn+YfJHDB3i2myjrSW7MgA0eD2ViwcVA0Rw
6xjoRqHyUssUeaVSzGcti19t9YPZXhJOJ737ub2ai4Z0JobxdPFQFoFYQkxikbr7EntgTh1yoJBj
KJ5js8suwQCBHDoAUZhiY+R4iocp8CGLDtEqaX9Nqr5r5M+Garbeo5FG722gowODIf6NiRbHGLuD
pdXOVKkHITI9IbkfaMzxh4sxMyzpn4+a9+HMX4AuD7NBYolLRTFcYEK7AkhQxs0Y4on8NpVrU7xT
Wo7Q2TyuLBiZDQUM0lgMlmVcrKwxV2TcnKkpPsSpfuLjji4Fdmha/UcEo5YSxMIwlggK5ExxqwhI
XysxdoSCbkZhG2Q8f7R4IM7EMdZat1YjBDXEKaGIGdzCDtDGN6EV/F9Y65kYxlp7vZCG1sfC6TF6
2movj0RHUkQ0fTlFx3F6iyoBuxVeBpEmymiXhkERh0ZdAcOQ6pJopU4wFjFwkWmv36zokQNG8cw3
jxZjtpSqZ1XSICpt7Er6Ad1mnYBbWgWLFNK+HUkjO9CJzGssXTI/FG5xBNGRizo0czUb06CXpobN
KlJwWVXKXdJXHAe55L3ORcw+/OxUCaVsmGUItYQwsoXgmADuiupE4bU6LLmvcznMJoVljFUtICeb
cfnqI0YZpwFzPBghETj2wBM1r+qZSqWcS3GtQlQsI5FlkqKSMR5gV80+Cb9vm/kfLjzWQZyrxdy3
VRbrGBTE80FYt5jRA/jJodmormXLx2I32KmTEKDUuNNqax6Dx+fIfqYO76G25EHOv4HxIGnV9q3Y
zJbZZm6auf2Uez2GtzRph9SKwJt4Xzpu5+IYD1J2QzjmJsShA+pJkBHgR2qIYUOwNdxe3EXTRLJV
n8egLCCXXO4jWK0mRWgRc6ulNyn7Qj2Y9HPiWcvi6p1JYTyVZYVJKrfIB4Xpqje7NWZjgXy4G4CI
UJj3lJeSXIC3gx85k2ddapWVZWH4HbTKR2L+oF88fVMc8UF51QAg35GC2sLL6Ihr+a70Gs8/0NPt
VV3cvplBEjgh6NNjr7RO0YQhGKGvEHUYogyRmsdwPKfvZNFxnQlhTJKOeiD8WVTM9Tui/Bq2vAtm
oc6PdQT8pqHOSIGYMbpcxylG2XLw5xeZcCzz+4y+V3RlDN+h+qvqjnoEhsoDFVax+PQv1u9MLuNd
fFkC6v584muwS0t1QIBiQCTeq2y2giu/ciaF8SsYKk67yYeUMrtT89/quJfblOgqoQVGX2tgtuof
t/VaPG1nEpktG/KitLJitot6a0XvAI+h9bvGu6sXpIDXHLTBAK5E7y1bQekwoTM1MqQUvmBHhuIl
oBCJzWMnhZxbYKE0NVOo/xXFbBRGN+XewLQzBt+JdZI6oMeFh2klHNR7YNinG2qPO+td4pQWF9zJ
zJU4wxAhgY5Ol0uzLGqhVWiPpGRTHEyMz+gVpkXBwybldk/dlpcnWzjNF+IYJRvMOBt9DHGFvE+F
RylaS8LjbcNYaIZAJvdMJcYWB73o/39HTQV4KvTtV07aHdoEfUko54Wu1P00qleZO9F8qLqdlt3X
4bGmTgvHFnBWd+lBj29B1wlwSYDFw6aWpVrUBMxLQF+H3gH9HDubf6r2Y7jv9s06eGy9VCD+Ot5n
dzrZBs81rztsIbi4+ADmmACmoUgA5QCr8j1/8IrACaz3zrorAsO+ve5cXZn7rwJHWBJqEKVQB4NE
mJXAHPKvwPsd778jL3rNJScEFCoK5PsWiHvF6pOXHOUpy9yNJsAiDAxr4PWcOsCUVylYeAF4Rz+U
6OW2sjxJzK2YGCAcznToqgKmwN+VyXZMHuvx5Ie8i2M+EYxnPd9AdsgShDgAR6ggqZL3lfrRxJyA
emFsG6PvKlgzMYaIYQ22gIapV9lXVVQExgFjy0cgWQyJVyrelO3GwYFyCkULh6pxoiV1wfMAcBiH
QlExwAEg1kvPE9C6LpJBRWdBozgV/NswAKhqFQEESQa6humTKLappaN1cke7gxDsSiQPtJ2u3PXa
m94/hEAQlIFu1dNV7DtR3rlTTXpxF09eD+KPCS8fhYzqJjL9XeuPJERHZFdrdgNu6Hp46YLCbZpP
uZ2raLaRjqSId2N1NBrRGwLbwoOJAhue5wEXLAf900A7QwofwHbsjYKETJ4Lk4Y4AB6QAofJOsSx
baF8p1XObSNdWuFzUYyzzXsVzVLyLCrch7qDiX8FHRWh4JjU0QtOZntRmIwyKQjGcYmx1S069W2S
KhCWdBYZ0skTBZ000hv6nfP2Lip4RdmFm3kW9I88xrG19ZiFeIPi1SS8iEbpKPITStje1Lr/YhHP
5DBeTTJ9paj1WS+0S6V1irLHd66tlClYFYa5MaeEczAWFlIBSTII4dGziFE35kYW5MD0Zd1s0XPg
irTYhNPH2ByErDwC/YNH3bewigpYHtDQq2lzZzojLM2McrKo1dqy5oO97Xn0J2QGvJ6HILlw71/I
YUyxkJQAwwlGO7fQDfEhkZ7CjuOSFxzlhQjm2lcmxQqVEuvW+KotK72tq5wQbVEJYKUjwQh3pcuM
KciTotMswGKpQfvaZJPTFcFjFnFihkU9zqTM9nGWDugkU9BDEVJi+DelSUnOw0Pl6cFcXpEQWHIx
QUKJ8Z7SVUbkupAmvX1uOELYngnMrSkUB6S1By0mjbbpTRWel4Oxy1krlkfHTMvOUHNoIrbaERg3
jiJxu4cXHDbIZ//ZdUW+3I+qissGlbbWHrPpEOp7wAWAgRGTcaPiFGG2TxsUA4Iej3GRNJOBQjfa
iwPJCbqMaL248gFIE/PqBPMWMVHBxUcx5zbrQHxhCVjdtH0281M53lG6S+odqlISMPXbh9ubuegm
ztaAOb6RL3ZZJM82GfarLgRMYfiayOCI5jTH8faTOcNth7GwwprPcBzdt1W5S7On25rwJDDXRl5S
yxxESOjVNz9byY3EsfulvP/F1jBeQg+TKYsrrFWiiU9mFGEmYupN0lrj/dAJrhWb3gAq5aZ+tCgP
p4ArnHEeAZ3QwNr7OBDiU+pXJMAhb4/pdF/r2yGygBO8ywDEeHtNF40RWS9c/ag5XFUd6srUqSoE
nZ3CY/mZG6oR6UtMiLUk+dQfxeb3bXlL1ojZE3AKGsDcQxfn5Yk0B7VGRyzktVb3k1b504BcWAvq
U1HhLuh8utmDdi6LWVCgG8tpGYedLe3r1KkwwLcvPo2Df3qWH6vvnJOHWmhvR4vXmWqMazZ9FQ2A
GcR13+Jd+GKc4rvxd2mRYmeAsct1tM2L9kCd2+u5aDVnUlmU98KQE1onkIrXqdv/YHpaO6ibADCa
pIg4wjibx7ZUmlIBMHBMUNsodDoYxcOYJAhpHk11dVuppfvnXCfGbQdalMRNBDmpAs6zRN0FPTCE
Rl6CiCeGccStFFRK2sxigA1r9tsI2TVe1n6pc+zcKrTZqZ2FBKM5GmM7CxHWKEasqrfoKdtLTrbL
39RTpJOQ44aXCqoXAhk/bAJSs4vnTaqzF/ppEP2jcQCK44arzm40sCgUO/mpq4j1kLz837aN8c/w
m0kVVpCsKN+9+SIrNSnF59syuOoxDqQbY0nA6HNn6wcF3U0fEml24VbLnLaHSvnbtAXWg6MVRF6Z
vOc2x6FojEPBra0HwBbv5ro4MHelo4pCPNELklP3XURbAY+HYKGd6g9xNqCGVHABgqv50nr8MQ2t
ogHCkVqEeNsf02QbR26iOHJaO2F0GstD5q/bdlVi7r28i2LOSVzIMMwfYCHDMPOlouJ5+QETwAox
v4BJdqsH8ESXOGmh2SN6rGoyAok72oxgDpt8Ny1c3kbPq3npvi9FMycnNynarQxwnsT6jhqoSYKp
01zH/SaMD4J1TPN9Vb7lyqoyXiyNdDJg2HNXEX9L0qeONwrgJIb4Ae2hxKKiqzRu2B/M0l9P4HIw
iidkSWThbaZostBAWReA8aw+hkC0m+ZIJ5BIFmtFBlgn3XRq7VVIX9T7eopRqPkwJ8EVGtUeRk+S
19HkFulGK7e5kLllv8lANB5t9GwiYBOfzJU+rqruFA8HXzlq6ISlEXXS7BcNdzQNCaA9rTR3rOk+
iY6Z7ABwbgROcbEesmOUbqLRExvEq9lLatqiv46MtWm9AA5XaZARyHbJ+JCMxJBix6zWRnkyGy+N
QZfY7TV9G1GAwe+F7jkwXi0U/Kd9XO1yJbHLeGPkjym4XOpPv39C3SSzTka3znVijKtYOWY4P2IH
juHwu1btoDn2k9cZshv6RE3fxPo9N0IbJRGCoCjWD8HMHP6cRSch/wQMm2P5PUHA0ugUyzWipqZu
a8Gxwm8512yVvosjpgWPQhFi6JmCxTJap6YH87Oj/Nkv16nvTc1PU9qRtRf9I9JYXf1sxl89RreC
ct9hwgRYktrkZtZgx51HVbcWgY7alvuGjitNPiZKT8TcXJnxG7qFvDR0AWPEu++vQyd0U2sgnAYw
PMpCLFBxqlEfQKXt3IxjSxtjU3mN07ohSfY1aUQi3isH47lyYWEnkRLuOO+CeACvgFXdAtXAPNJ7
eTLLRMvbam4TjPaJI9u9HdvZsQK/C3k96XvqZNtvFI5ea5dHevSnd5Q5mBeSmYOpAwHWqHCp/WkP
8sG9VJLplZYkRehqPwIR6lC49X5cBxvDKZxohaF20aEO7yZY8A8Xn8H4xqCrwd/Z4zNku7VziAal
5grOuPfyt+eM4IZzjH1M3qxftz3TdRSECsXZwjPXXFfE5igaqJcN1AnSj0J266IgrcLTb/7+W8vM
3HQYAOpLQ0P9KiXpnWoru8CLoWfpdKvG9Xf1urV5KaWFQtalbswNlwYY0mhMrGn6AuasTeaVKqlc
5B+dz+Zwl6w0u+ccI56WTNQM6IsEOKOQaFhbRVv5w50irG9v2NIterZjQHu9PCrBWJh6XEFGpNMv
UVtPYrYBmQSp+09UnBwrGT6bHki4cRATH5jqo9STPuwegC3IeW7Jt40HRbvLT7GsRAb0Lz4FweCD
FRDFyzaRE9/5zle8GpzpEbcaQZmF1J5JOrv30O3vAMabnG6vydV3WAq6w9GwqmCaAM3vzOHphWBM
RNlHGDVWnmyWdgnnWhsHmTd6ebW/EAQ0CLRWzFByQP9iFAYidaGrYY/Em4zBWwB+Ca7CwxK83mFG
CnMm5U6ZkgFUyHYVErMiE+IzkkerbI3e241iZwPJUbziYRDxdGNOaFb0qUHLqLeF/KGJngoNCNf2
7X2af8WFE2AUYw4kMpZCjTl/iIhEESyPZfoqC4oeuUM+5gejjZIfoY14Q6tL1oHRJcy+60DSNtmH
XhyhTaabkh7lwJVYA8lAfumrnay83Vbu+sn8R7u/cpiH3qTKXViMWEALcZ0Del3wvG2BkoV54715
yh6LnXaINxqG/znn8PpZNkvGXD96LYG0arBjA9SYLKBvxL2dbHDqNoZIXivSucoKcxnuPK/E2Ueu
QGYjW1q2YdVCoH5o9iEywyvL1h6Mj94bVsHWvOOmI2andmU5ZxoyjhXQqBnAmSCw1LzBye2OyBh2
RqTmZXZNees5f/4NaX/SFGfP3DZL8m4UIW1wpKO5mvnsSD26sj2/z6aVfqwRGGGk/BPWNK5599bi
QcRbAMBNaJy8mgIbpTzP5Cnt0ViFltZuDcZS0ms6T8nFYzFTRmAgVwblEXPe9cY0CgvLimCr/WlX
oq27wr7cFl/+veFWSIfcpffUa/p/ZTsgm0fpYg712EujNQECrpuQi8LSt/qAxnrPd5Iv+WmyNbs8
tl+cYykvbeaZvPnnZ5upCXLSBEBQsw0A16+BOI7+UztcYT7R6UXS4vXHWdnr/oP5OJ5JVC4lGq2f
6KkADc0POpISeWov84SORJ7uAAmnPo6OsRI2GBBZ/wy28VFshX3EgfyZw9YrEwb1EjBjgF8ELPLL
bwDgf23myuyMkr0q/Zjt79vLuqzkmQDGBaCzrAd0Cnx5M4CCwQQKgRrZkWg+Zi3aU9vCQr8LSvkV
5t5GFSnogIA6+FPugzUtIhtIyETWfWJN5bEv+k1sgnCrr06mBk6JQgh5D4zrMH/ek7PPZRxIF5tx
Kcrz7aZv9I/+cyK57gWnYv0IRJu1+Z16U+9EW2U72JLuDPbonP7rDpjLT2Ch5hRBHapEw4ql06YU
P4T2wQRNh/maYcLm9uYsbj4SLOac5cBjjtn8qNNKUOPCf02odWVTcTcM4uq2iOXbzpjxC4AAjwko
xsiHzMDzdPbIU4uGWQT17Z2n7ZSUjO8NoU8acDwr9Eh6lXdb8KLbOpPLvNciv4qVsIFc0D1s1GLa
o0pt03x0g+D7tqTlVfyrIRPsddGoTQ2FJNN6DcMXlccDt3TLoMsFLS/zTLfKxiVGXQS0pyVMkmqr
GkkP/94aHvtsJWXJXcpr91jS5lwa4wZTvZiCOoG00XptqZc3vJ4nngDGIHQj1AZpFqCbJ1X61fAg
EGajZT0a8r1ABZ2B5QCCcOnRJHlUFL2rerszvmrNyZtVHXqYZrGofXvfF+PvM0km88LKB4zVGjEk
hYrYgWUgQMY5jg4p/UX92KOygubSpHGyznrtQ/B+iFnzInaYZtDM/M5Pao7FX3fswnGAzUG1JNzW
iGKZlR2pWipdhu+JfyQiWU6DpqKa5Ps7NCkhIdLwINqXjphlogEIFIUAwLQY96GGYA8Iyrq3qd86
o7EvlBTTNS64jG4v9FWgA+eEVKyKCATcoVdogXLaKINf16BISayt2pbIrRmHBM/W22Kuq0poeYTH
ENG7jRcidLq0nCaiHSANZtbb8NHMPovuIR8cVGDg6e0gc2tBADMQR+jVGs4yLRkEarCVeUb0UqaA
meQw9yEzSm2pPoV4x+VA4O79/6Oc+TvOohtDbiMqZhjdHZFUbk9j5hnTsVJfby8hTxvGIooI8Wdg
Qhst6UgAoL1UOqni4xg93ZZzbRHzqoFRDEyOIkyesfQyxNCj2MzaJKe+e8jEY8krx125kT8b81fE
7MbOFizQ0HACEP3YHowvamykyqG5Has/U7i6rcuVP4QgEwgAmOUGgj5ACC4FYa5EE8ZugKDigVbW
I2r9nOrYooSZskEB2gDQgxm7VqQo8ENfjJF4Bg3Jq6pwYsilXQfuIBAigGWgXT0r26AY66GRcW6M
51rxQKpGYv+YhbyxSZ4cJpSUhwxt770U23rq0Lnb0XimSYmAkqPP0nphqv5PbwB4SFj007ZJtbgA
xLNdWUc5/530Mufm+DPfeXFHqejIUoBpJgHjCFwQjP3qglGIQ6fHdgFeaX3zAYgJUBq4/ke9Gl1A
gZOXg7xVPM31N8pEXlNH/tVtqdMQkwh45EXk03cpsA7HFReEeMHuNRGbqGLgFhzQfz79zO4r0Yqy
MdNgLCiH1MOT2PoETHSg4tJIlR8s60edp6uV1oujB4AerAVVeGpljNgABkSn4B/TSx42x+I3gS4D
zIgzYCx73Ks28WtDNmLb15OdP7W7KpRWCp74I47lOHGSs9fVVuwOGhln4sf53mF74PM8iWPAZWP/
66l4Hw0/NglwqQwZlAwJwAKiUVJB+92WGuBdUsBPqmpngOzM6Le0pJ1rtcBnACPfODddgdsWGM4R
ijl+ISf3GrAAePNpC94QpRhkGjUA+8lXITYmaKdGEfrEDqf1qL6K0b7KHm87qUURcB+AmzDhcVne
BnSqSRWoyRK7G06GvBnjvdVxDsXS9YtOxb8ymOM9alKJFmvIsKq36UPF7mIWQvsthx9t95DQimgt
D7ljWa0/bGgaGldZYy+LplXzsUtsrdpQ+hNqrqp83l65q+gd8RF8Lry79UcEc/H6iNVSbHpi177b
ox3iBzFplIEf3JVrTqmepw1zk1gjTQK1hSgLrNhUWvfhhzZx7pKFo3ihDrNJcQvEJkmEDCBHkTAh
qvEymimxpJ3C85IL7v5CFHNtSUZZ+VIBUX3+LQnbpP4pgPJKV7f3Z0EhUJFgYgEVTQ194POinvk7
fwLjY6jCt4wS+h99UOUKEzCCw3w/CM2vLOTmRK9SlPAu8uz3ZYD4I9hkiiGjERgDNc3YlgXk7dFk
7PRKu7cwx2RMo1OVFroOUk8o+1Wl8rDHrjsbZuFwpCogeTSEnYzwYYoxPzUJCDY6y6l6cS2IlmeI
uQ3+FA+TVc8T8g5hUREJ7TIFvb+91gsXq4ZbVZq/wACWObPWGWIIIFlbCA/pV4/BYbnmZSsXbEZD
mh5exDB1DF8y+iUgWcUbyI9t03dBslpKuyFz2+ztth5LrupCjHxpNJbeCqJQYRnFF1RC6bPyJb6P
jqwfVNS8OQa6cKovZDGxwpAFUqNRyOpQbR8oCcujxaWqmX8JG5AAgwFMhLjx0EnF7ExdTeFU1TSx
M23w4qQtCKWWZBuNNK7AQRuTTOtjJ8lj6gxRM9wBjKQkndRrWwBUPnTNxKWqnJeQ+SLcvsC7BwuT
hscs80VT1ANAr8VtMJYADtV1MhlgHWu7nVHqti+j8cMq7gxTWY2afwgM+hCUnIHNJc+A04JSiYpb
VWEzV0roI6NeRAkGmX4SwyCpeeeLwn1r9ascD0OOSc2WyegLSTOBMdI8gFlgtlnp6qSONLiFQvIV
gk6nveUDhyMo8/K9C/UImRjx2NDJuAPI1gHYRYYTTTHngP7Z56uvsJAKBEUZvAOLteKDxxgUuEGC
x4iOyU6zS4EpQfVUfRKsSHaaGL0rxBriLNhVZYlDFkZxD+i3TEI5yYiqp0GJWzQBCYb6aXZUcWJB
QeKvVNN4K/4/0q5jSW4cyH4RI2hAgryCZLn2Xt0Xhlqapneg59fvY8fGqArFLYRmddBBM1HJBBKJ
RJr36qmI/HTGL7GmtZrn0ok1rwqqiKNtr538cLbyF91qcQu3pfastkT5qoum3oLOSH81A3TJZO0E
ktCIIJ0Xk/xV6YIA5Bi5nd13IZfSIJwfPSSQkKLHSqBwrBJhT9SYqv2kxTh6+uwpeJOP4wdQqyVP
c5mUxWse30BOkZtVBikxuh2Sp26IGRgWL5vXuV+EJrh2gBcG0BBwSZzKqHheBjNKf6iLsWJGh7cd
sk5jUSS7tM8PzakgMT5wijbQKASN6CMjyq+wvkEX1sxZ3W8uq7Rc/6emCqRm0JYaKCEgJyQ+CpSg
y5yZwmXFYPcs7vrYa+lTX97iqKRIfOWSyY2VOA74IGgKxAuEIj8krGA6LrC1PXh6bT18yHV6X5i/
ABvrAf2QdbaxGcvfl/VbvasJrG95hQD/8PuZcmQXSW+RoaNl5naT79gPGFItureCPkf9z855iHWP
4L6RFjXPrRH+DpaCeS5gopxVFYdMB8ZVViHqitrdqKH3rUnvLE4ky7munb2McRPAbqP8dGqRSdt2
fCDQrkTfXJp/NhNzgiv0MISjaxNfp4c+b1il/bXVQD3kSQHO4CB3KcJJ2qSlgZXXmWu1L3P3NFaH
MLluFZYqLyrfabLkznlOFgEX2qYAXLmg2lhifa0ruwqk9zxzSfuS996ILHDqYai7TRlNfqAtMYRU
69aWccashVrHcoVzmOhRoWCqHObatNuYjrthkrX1nB91qIakEhbTWhilhR3k7dDqWYEdDJMdkB3r
YTfVuWtabmnNf+0iT0UJ8VZahqAvwrvctUO0BoUWqL8zpuaZxDhkGgn+PkymeuYRxIBTnVXj/Zj+
QJ+qG0y/o66UqLTmT1AOA3WZA4dCxPjG7CKtAXgCbloDocyjkzjMMR948NSpyKMUkvDiHEcHdmjB
kzgAcbLgOAX3pdUKwPCMJcCL2IwZIqd6ArJMmPhK/dAEr469VchNF/6cShRpdwaeqdVthNEADdiy
/ZUKzA8A2ebVUzbvCsuLCxkex9rSH3+fYK9W3RipGSLwiLUDKHT6acPpg9F8trEkxDkn+FxWApkk
IByAKgWwT6eOx+B2o0UmVoIvnc7xNpvus4jVEWdt+lBbkxdpBkvbws9KePbsozKuysDN6l+mcUjH
18IG5gQGv62HUVpQWuzr9Eo7/TTBzDsdrG3jsgh1fjWp6LVPfOTSeeIZznOSb6zE69NdqXhZmHuF
rJ1szfFb30C76O/FoPLy34+um7pGlhip+8yd0Q9ehoRhKnWQUTKdX9rQ8EjIEqccCUmbyinCFEIG
YFG3zGy3FBjv0fNgogH6TpeV0pefO1vQI3GC1df1ZIbxBHGWmQA8mBHjdgQ0rCN7dq5ZLxKQKhpV
EF2Z4mXWTQpMroS3NdIemAB7Pj9GeLYQ7WeWSU7yit/AdYmkNAE9l30GykwDkuQxgSgMQlhIiuWU
s7C8CzWWGm6ZSuLGlf06kSbs15DoYaaMkJYm+7kuwe8RsTgizNJZTj6McDMAoPVy3LNihycihT1L
TKIXZg+ROjd8te28obxRZYaxsmEnQgR3Mw8JGgQ4hIRDzgCGgTgYy4ouSq+vJZGOvrpjOE8LPZiK
AUBBobxISEamZQ2zp3jcD/Fti2IwirMm8DmL5zjBsEH/uyl+Y1Y3ACeuwYEFAoQ4dYOpzzjet+GG
B5mndT5HJWLMOhb1G0QUKQHnxN0gw3RdXZqjzxWWBv6xK/QYv8/Bi+XwEGP9W1p/DortU1mIK1sa
IcXHbcCogU0KF279WZpeo7zFqB85LUujvTr5PN5UxrWj+Xp531qHfCrcWn90zB9ZDjAD2RV03q2I
VC3wjP53o9AhfOqcGjULBlXF1zhYZoAchzdm75rABG56jLaELBh+dHzcmuZ9AbgWDIJcNvwVZwXx
6Dy18NhE0CgshoKcQDMuoWlQ34/Os445Q8B+jzKIn9Xz9UeMLmipzIHiNDHEFM2PmA9eWO0KDJdc
1mXNbxxnbwS/UY3oK+tBZuka9r6f/rH6Z3RDTPRQh58lgHClXUYr2ZMFCH/Bqgc2hCEW1HpnjsZB
M/FWQjMR4KCy+IWCxD04jGRmo/NmIKXSIsSRqHkONofAFzjqNhKOmo6KkXBp0lyZeFBaGcYVmtfu
Z+4bn4YX/QYWFaYq9xjDCn9HrHxrb+wrWavayj5CNNgN9eX9BIiWU2tNeVsHlNPvqo9te3m77Uf/
r3eRAhoQHWIgjHLA13cqospphck/BddnHbutvbHAaQvgatViZuzBFyWlpIKxcgSOBX7nXY/CA0sv
uFaNAcwGvaxZUrE53s/ddWJISnxra3ek2Pfj9EhOr4ahTXIH7wkF7KYUyaSRNbIzIBOin64erTqz
KOC53WhAbB+4BtqAZFxSK86aIq+DbnWkJGAJwt2SWsqcGynsD/XM6wb8gkadXLVD7Jd56IZ9Ilm3
FX99Ik64G2IFTwhFhc1l+u+0jkF6rLFM8Wv7YGMtZQ3OMmmC+XGzAyZ0AWm65fHkZ4KWT8J3IwZd
9Ye0+7ps6yvXNDJXSHugnWk51GLqk5qZU7fo43OvUJTfAs/8udxOB75vfHuPJtWX2CV34XXBklvl
A006frVNrj04HNb4svn2c8s5/RRhmVU1sIqOKolLAbhrjYeW9KwoN5cVPj9rEIJiOhKCKKyf9Veb
c45KEGCkXR0lbdJ5tRIjmHykMvzP86sAcgx7ySmhRQR9jKfHIJnDUq1iyNG0r5T6SGPN9ZteJKy3
HnI6uJEpeeF9A5ycRv2nEoXlw7s60YIAEo27j9g1fjT+U7KPt53//Mth84/48Vfe+LELnp+YVS0j
XnxdsexQPoWb2Td8pPa2sgLL+Tk9/STBlDN1KLUpXxY78Hmx651D0747ple0kufBSmnqWBLYRU6X
Gz061VAsZgxMcQNJ3iCIN7QNALNiJMkmdnITkRMvf5PICh8jzY62VudIscRXjevfTTfEB5E6aeEw
WPgKDCfh1eADnsxvPzOV3U9exWovxrEB9xyVaL+6zERDDACANhPtxqfKB9wBuIGK7HNb3zSgo8r0
B5u+j6ZXc4knXLXqI0nLAhzdILmZqGA7h6R0wCwdGhVqC6PXmLgiu2h468kDaf/6bsTGHkkUzpFN
AjJpBiQadAs241mnKEfcBdV/qEQtgv6teojtYmSMinFa6hEqdWPLNbWG9RiLRi6Ad18BeVTj59G5
1WQ4G+t7969YkRI0CNUktIpFP81Doyfjyr3lYNrZVwfJi2zVvf5RUCyCayG3mryEJIX4ZnYzzPfa
9OOyc10/hkcyhMtfU5SKdlGUug36fbXSz5HMbmd0IQcxM/sXEA8r076XdeSuaIa+Z7TImkhwIb8l
2EgSGWFvpzFi++SaaveZ+SP/+4gD2cMjEYJzjS3M4Q0TclRpcd/q97x/qUt3Bl1fJ3HjKynLU0mC
zxxrdCKhRIiH6I8UEKS8wERO/wr4xE14bdwydJATFv08IOa5aw5Gwr6+1I9Mkv84nw0GziQ64dAN
B2Yh0G0JHmWy8V4bMXCI24sZHSNb+6D+rAE6/lqCOLYA0ORh/AJvkmw0Y+U0nMgV/EvdIUlJe8hF
t3+mPgF2xsYUGxx6Mu3+3lRPRAlGg941THgBBQpkQl+t8sP6JxrcssL8UXej1a9acoP2bsm7aeV6
OBEpGFGmEFIAaQov7YgN2o9Z3XLnupDVepZfEeKAEymCAQE1pZknG4o52u+p/2koXuA81tFjFu8C
XeJTVjUCj8DSg4fssli+V7uhiYYBmUaCREGPqlzcuGEGlmjJbq2e8CM55PTeSYdeN9IWcsL5Tje9
oHruZbHK8hPissHg4UGWPLkpBmxFa0elHqDdPtDRzal+SQeX1wWAze17cPGMEsywkR2gcwYdNMO3
Uv1pNv96igXHdumEXCpTaOwSm6zSSDMHKL14qd9l9WiF/8WCjwUI/j1qNX2cixydg/mDimK6nt7R
7DGShXNr230sRqhI8QRslwvJphs1+7l4pTVLAolFrXmaYxGCRQHWNozGFJrY5asSvzulbytIwE0p
y2qJN13deAtQsmCQwcyZOKBip2QAwDTqa2Z8TdrKbfK/Bh9e9v1IgqBMimClLJeqcosrAXmgypRE
YasbciRAuA94WyGH56ANQIleYvJsTKObDJIdWZUBbGOgDy2NQGJpEMToIGIfUYIvxzsF4LfltZF/
XXb6K+GrpR+JEK6XjIdNSiqIqKbbdsH688BQ01c3NWg2qtorqCPx+Gu+WAeEMPmeMz1rK0d3A2AS
DGQdo2lTW42nl3hyAb7JuoZ/Bo24RNyqUR+JE/RrTQekxUsq1+bXg7aL6Ss1vInvgJh8eSHX9+qP
XsLlOfR23cczBHXjh4VJXbTcEonJreqCIpb2PaV53rJQOzkGYZCQN6rnoXqJoz0J0Yr3lMiAXCWC
RArMGjQneV7D8avTrs+fEbVmldujL8uSDFisLtofjaiQugxBaNZqaHhzrehNyUrGeew7svHqtRt5
gXUGSDDiVVDRnt6UKrrtgZi2mLjBiBMCBcBTu9eA/xefdiRGsDStTRItCiFGVx8U5UeteJcNbO0l
gWk0dAlgzh9IIt9Vi6OXZplYSREsjQL1nPs1UMXtJPWMWN9p0XClDrdjUaCXRC9qVjiNpNt7pSSC
LAFoHpBnXprgxL7/pDBiarczXNGtdpVvkfL1VIWhcLs1Rhb46CQbJSK/6w9i+HEscvEkR/rCU4A4
voFIfVvs48fnYg9UfO3NAQZQ9YXswTa61R60D8NVPK4wGfnOmtUYCHtAzYy2UzzgTqW3Ru4YM6io
3NG+K9OMmcluUNDztb+8q2snAH0YS4CCzKxNhNA0aoHd0tg4AaW21YN/+uluorL880qLFTbvjxAR
JZPnU1fnFEK6ykULjafbNwF9J3TrmK6Gem7xmDjbJpMc7rVL/liqeLgnA0XbRWpTXMVtyaq/HzKE
WuCpwx4BpA/9M6dbxPV+ruYKB6IdFQvY1jRptsYU6IDzoanVumanOrnkFK7dlwY6J1F2R5M6yLtP
ZY7GrKFEAplBSwrwOtoDyH2aSgFobNzaW3PQda9qqvgGzNvI7U1A5PgPBvNHaTE7ggJyk9qL0nX5
M6f72n7vpMxJS2rw7OQdyRB2rh76oK6AwI95133UaGzgJppP7rP2fkaKuAm8UvFV3b+s2Jm52JiD
w8gyjgHeGiB/O13ZDCOx1WBW3B2c+XpM6WNadJK1O9u8RQTCncWN4mkmFumGUR8b0nPuFrYGGIIo
YWUVYjy1ApFi+Vli+iFI7D0CO0kcd3afLnKXcWJc3ejpFptuHWdQeqOpIVe71mO3VPBMAMpOku0q
VTZVf+a3BFmC18wBh5TTHstY0bpjHagNNoqlPrdZzR8bRzEkXnpNHGY4bMwuanj0is/dMK+nJqMN
d00n+ASYMto2W84ajrm3oaSPl01EJmwxoaMbYQL7QN0M2D/FSb0cN7kFREr9OYhki3h+1wqrKLiW
WI0wHlNiFSMga2G8qUV6YlKu7Tj+J42yG8zuINmrqoWPUWpwxtCBf11W9exewAfgB4A/hW5zjIYK
QUs5jXqVtfgArUbKFf9z6QfT8BkoTS85d2cB+bekhTgWWIoYgFqM92hRyViXSUtgnA4JAC3SA0u5
TkAwYhC2AOATldeMm3SSONK1M4FQ5l+xgp0mZVUGhgaxNaeM9H5MPYJrNioCkLNtLi/mmms5liXs
ZsF5YyYKFjMGlFYGOLS4kpzw9e36Vxuxl6LildIkkOPG9q0VtWwYrnj6eVmLVev/s2Jind/GbQai
MqxYWHzFiHjiSEdWJrxr617y0Fjzk8eHWjQ+HZ1yHYE2KZB5aAfyGfSWqc7rbExuE6f3Oa8ACFtL
eFhkUhf9jwxRteLIDAhcSZ0chkz1Kuu6TlI2aeiMzcGTuYnaXGIYq0Z45L0E21ejgapZD5EEDAxV
qbFY657SovZAfoXGLNlM9eoOHokTbD7ueG/bDsRl5sSMYG/1D3UDdHTZkO6qHGQMwIwGIAFMLZ2u
5IB5Y22aOrQPO+VVFFDX7HNfqVJmFbJMzuoKHokSVMqt1OmB0gk/1eBW/WmNuzgdXTIWLrei/7Jb
uD3xCsFsGmYmT9XqdHuo8gIHwDQ6m03lTxplh1rXIy/HgeZklBzq87h5cY1/BIpMICZVugJEetzV
NXWvVuRgxc1VE6r7ovvRRvUd8qZMi2CmuYpjku0vn/dVnwJ4AM2mtgasTGEX6zErg6zGLmYKcGRr
gwXzZ2AGEj+8aitHUoQNLHO97NoEUtQo9pSu36tRsunSkgFhV3LAV29VZykGE/DJ0TOMEzBkDDzM
IUtpfR1o2ilQqxPA94ZexQkDt9MY4oleSi641XUESZCBjCAmbcUnlt5ZdZ4NA/zKFGzGb1ptI/Es
pZVk/lf91x854itrijAYlis9iLFSx82MjwYEsWCV7u1tAqRRk//C0J9EtWVzTgL1xUCPRAqB+mij
Q1YxIDLDhjmRh/u6z92m/gAVA1Mtyf7JpAkR+mxXILWwsZBkYHrwFCqPlnMTkSdA4oQy6A3ZYgrv
rMEqLFKokGX1tT8rHnBq2hnByGvRu/Woeak0UyiTKASXaaUAuQyBnKtNyaY1ey9xQjD8al6Ikx2M
+UsWj3dWV/2+fMpXY5OjLVys9+jWw8Bk3NslxC6zQWj69CIpYd0KryTMBKEkMBQJ6iAib7deUHiX
GMjqsXId9a+8/tE2IMfzFvx2JN2KXU42M+jAguTBViNmqe5oXtFub1QuB2/tZYVXj+PRxwjrzOO8
6SfQa7u99Zhjog2ZWKD7SISsruqREGFVgYCemEMNjdP0YPDRrydZQWbVb1J9QcPEIDsC9dN9o9iq
rO1n+DIsoYa2bRIwtWA22j/+w3odCVo+5MhAUmIEVYJxJHSStqzsEzc0XjVL4rvON4Wo+LN0DoIG
B2PHp0J4pukZdRZHAkATpY+3ZUc2JQa/L+tyvi2nYgQPotA4NFIDe2/reu8Xthr4U9zKJiPOt+ZU
iuA7FJPqbd9CGXvWvTx55VnM6uBzMCVz4etyANhFMPGJ6XRBjj1WoGqxEPuQ1tpqNtlxB4NSxtBu
B0uXoaKcuycohSG7ZfYUaWxxyE6307kaAQiJHF7LounJwBwL9SJ0MpuJj7cHTq3E8FY360iisFlA
Q7fSMFNxn1nzLZ74rHXCh8v2sGp2toMs3je8jiPYdk/HkvIJSilG9lkUA3lLCQ3AzuX89ZyHjYLT
0sJhAHEDs7tCMJVVAPPQJsLdJC0PerTrW+OWNDqr3wG5dFmpc6TLRRZmLoEcDYTBs4bsrin11M4t
hI2Tq/3YqE8j0x9Kt7qyPCdFz9vwI3S7T03GW/ed7zyNBk7lChum4WlmT5bJXcqe7UN2De4sf77r
Nw+am+HfOlC0dPhnMKE77Nn0R7d/a7aKb3umz/12l7xqLnrXPMctr0uv9Yc34/fllTnHgBVWRjwx
Zck7jLbhC++ibfRcvQHXwLU9x8cXXFX+AGCr+QA4kMcClMJbg/WmxAGdhzCnS7TY/JEzndW66boR
H4DpQs7fNOsZ+W+S308GbgqJca+Eu6fChCsiVvVwIUyFHWBoh9wYph+itVa1Nz3fBNUTR9mkkrik
8+fYqUjhQE0D6PXiGKa34O4ZXQywDDRWlKwPdlR2A66tJSokKkbPcH5RCj9dy1C1g75UKI5UyUbF
wHRFwKYeONBh73X8Kn+7bDwrrzECTKg/8gTzLmJKqoRCXpG+tIRl6m1efeD15zrljTKhB3IZk2oc
77LYNb+L7O3C2QYYGUtsghmrUYnSDNVCRH9gtlFAIZiFvhY5LK12uvpi/z1XJwAmwNi+5IqBBClO
/zgxeHamGgLbdDPwD1q+joHkHJ5X83AOj2SI6ara1Cu95QpuLs6fZvCBdt3PPo0/yJJUnbR7rSJX
lZl5qj1sa/DYpPMbVQ3JWTwfiRe+QjCgJIsjfAY0HYbKrczPOige8rHcaEHhxvrrPIR4ylwrSgwK
oQ6wapkkd712WI5XQTCotNTM3CmwClbv+HWFIRPyNmvXZnJPZZQCa1Z0LEpwfGXRVzVtoKqKbCev
MKlJPaP7bTQYpXHTZkf7/+J8jiUKnq40jYQ2MySm03NSb8ccmMc5A96g1/YvDQ19DPdy9e8zraeG
Jbi8kSMgmRepI30pUQwgsphLtpCCg7NzzQT7NgQ0xQzAFwKk3QEFOPBE9wb4r4zgtVAKNhfm42U3
sObsjpdTiB+UJqgqDOHCDRiA7R2fSNoy2lK3iv4BDVj891mZZR2RI1nGRE0ihpZzi8p3BmQpN8y/
hrZHMgZFfS/XXi5rtRZ/HYsRjESvg16jywlo52QXNNMNaQkqe7LJ17VA+ViMYBVm3IZqY0CM2jwW
QLWZKYhfKpcm1u6yPv+HS/mzboJ5GHUwJaECSTyqMCHb+mb8Zs2eTrcGgMfNzfKENzHY7qEEySSy
F3clhl+oQ2uo5X8jpgjuzB4brZxJ2LhDZg7/5CkZt1Y6J/tiIRNmXR70j0pFmre5J2Ax4l15IKh4
+jzJlc3lT1l1bJqOjgK076PiuBjzUZRjZFYXUx41bt4TLwI1SwqqhMQnxKexpFTwjQZwpvWRrOXA
HskKRrOP0wZaU9558TBDJoTNyUudWsBNfc+NyYOaV62ZbmvdeqdVxFQVIzfjcK32X4qdb2D++0z9
5WggddMcNJQo2yQOHmuOCbamBM+WrOlCtj6CN1aiKgW8P75ZUf8Zi/3AN5VyVSKJC6ay/99OCAfM
Qa07iXJIsoE6XlK/qJ5L9UdYR35Z/fWI/nKdHu2EcMpCJLBIV2HXi2zT8icFBLpkcgtwguVm7Crd
mxa/XtZuNcI9FikcN0QvCp0tHDeTbhMTHHS+SgBMC1w2zM93D86E/JKs4XY9eDnSU3DFTh3EXUux
pkb1gNEKpprgj37LZs1vtHBT8JZ1S8rwYbIZdw7pJDlc55MA3+uMsSKU8x0VJHinFl+jxYQ2Ldq6
Te0aF547WBgHiHZzcotjXvEPG21K/fioja41PA/OwVLfqBQ1Rl+34T9fISw9SaeuGnR8Bb27s94n
N9pyL9k3jKsMdOWI3tjgqfvS/VWxiH2hXKhuUk/ZZL7jze+XzWD1blzmrP53QYQN0eq55/A4jYs2
nJTpwweSGCCALyavU+u9SRpv7EwqOVmrb0kADv0rVXByGXAJ0ZsCqcDLZMUmitg/H84taJx/R3hG
FtB6eU5aDMAF4Qa2uft7VDjBEATXF+t5WmYRviDlzKhhCJFXVqNEz/MhxlMpIgtIiQR4AhaQxlW3
Te53O30L3sz9J/fyT5MZvycXNJNvgcJsL94Xh95vGcBR343HXxrINMo9EFa81JMfQsmmi/mormkN
u18+q+pS2gBAjmCMSombXYCee8DG8PFF6W3tEc2JILahABE7NF0MZgTAa3T/EC0hBODgk/OpEicB
xaXm3KhtboMKpHDI9AB6zfa97NP6Gv2hAVqSqdk8Asyg20xR0kQbfUgdrwTum9/Go9Kxtqoc4GFE
dRD6QAGsgeZltjt0wgC0h9ZIzdaK9jCqnfWEFARIzDXQJ+yCqLLf8mYIDikPp5ABbR/8BV2FtLcx
zLdofs62iTKiN65oSrRcgn98ACjGdZ401EOGGZjTOW9fsnIaDoHlRMC6q8H8FDh2cZOh1+muJJz+
dJBzvcm7ucKoI7rh0ThZ9tTaBCYpDgY67jdmQFWvAM49G2MFWDtVY7yDsaS7L2HfueeMYYVi9Fx4
c5tHzwrw4EAmldv3bdZPlBmEdw2z5lnbtZVtAiuinaxfKhbwKqrDAtiNtFMxLOVUqsFqJxrBoYra
s6lkdICvrttD5zj81Z776RlMvPW9PY7RXaOG6QEoQBqYZ6jmZ0OvfsW1DiaEkqvvfas7+76I8Itg
DMw31UTrCcNfWrvnqEgdwpSoD2owAPcRJSr7pVf79iaqJ9AN1rVa/A5mqmyCyOrAxIKmip1m5xXQ
zsOMk0MHVG2L6VHrFBvks0jHeBCYOSpOaTcy1IT0idmJrj1OYxM+kEAHamRZZcFt41j6PV7rQCaw
ajv/oDwMwHqRhCAPbihXgMRdU2enkoLcq0HaHqLcUG4cNPO1bqXaic+tYPqyGou45ZwU7fayl/zO
oZ9HSv86LEc/vTfIjHRhquLE6DfxIwLCj8S7Tw+B96tg8Va/K/ex9zZc0f20iZgiSw6ed9MKbkSI
efKoKZ1+cZf29rNDZm0XPQGvc34omP4++7afPADlhV7Tu+AWDagRk5FqrD7cHIzhWJjCQd+mIH/K
cKxJmEL7tiSsBXWzRWbbD7rhZ57Yv0BQeU0LbJpZTvvLC7+aOELuBuMmS3uhIV7YcW3QvBrzxs20
ZhMYDXhEbednGtVkw40e14OlIPJETxlTM2AZKBqySaBUk2Qblgv5bPuPvkK4sGnLS1tF8ctFYeo2
UMYtUfZzvgWBondZ39XI4EiQcB33QJFUUGFr3K7ukPPt0p5VSXBtqsp7F4NWc5bZ1moYCK4AtKYT
4K6cQTgqWeqYI0katx2uDFw7k+1x+qTBN7ch3jdeP94k1P97LU3VtnVrCUDxThZOUzvpXTZBpso/
C4rL3nyzuMns7s2UtdOs64d0HMY+ASYNoptTWWFE1RYtjY2LRkqgUhrjFaaFcet4NjrWKNnEmGPX
NImCSxgp2guwfwA4uwArmmLFonfisOrbooEzKoB4n1xFbexXeKNfXsdVMYC6APEX8J5RyRJ066a8
7gNE0+W846kDSu4bvf26LGN55ZypciRDeAXhAQygHh0yQlrVG423/b5Ow0CyYGsHDJiG/2qyaHr8
Ep0mo6s1SOkHzqq0ZgMw8wbdA1a2e1mfdYMARDaac0A8c4a9FltFlSgKRJkD9+cBsTbuELue3bop
QYbeWkDpyFmESRNSGbLjtrZjmMUA9wJZClrf75MjPfFEDkHM0IKUHt0QMfdjwPBg3Ht3WcczL4Le
MaS9MfABftwFiup0Na2uJU2dAkipnDI6MkMDp0Q6xNqHngZwlzWpg2ybj10uqWCc2QpBpzSmFSjq
0GjpN4WgGvDzRWoNAMspInNfdjc0qCUX8dn64YfRQoZLCJNm6JETNFMyIJiRLs4BwJrmvjmrkWfx
BlMsMf3n8hquSsKwGxIxCPIcsfNorhwrVRUHfFWgwhr0h45uK732Lws5z8BAH1MHIxwwPkAuIZ5g
qwNSZA4GYIB0e5NPbiJP3xtecTVtMs/2ZtTXIvATsrIAf4JXbL2fB9f2Ja1BK/hXpx8hHPGYViYn
6gSU9m3SueNG+3SuAq+5iffl3rmxWf07/edaZ+ld5dmPlxdgzWKO9V924eg8aLMd8ZRDf9NCFQgh
qSGbw/xewhMHJiyxcHcbNbfxloF2mImAyycfH2Dref9lHuy7eYfg+wGkth/5Q/nc3s6fVoy8tKv5
wc/Leq6cyJN9Fu51OmM8VzXwETxHi+x9om40Y5fn1+UkG5o8J7QT9BXe1qj6FyhsQxTapd9r9I2O
rPrMX677V+XL3pHHNgU4zmXtVncRVzm1QVCFxJGwi2kxFhOY5TEXqoEDqXOQWf91WcJ5ymTR6kiE
uItxrBbKDBEl6rF3NYvzbespjN49J5T9Uln0ZT2/cQb+Ze4jMPMA3WZHrNvEn9Ztd5Uokpf92X2F
z0FEge4RHd0jaCI6tVt0sFFcDgaQArSDPhwK4k/2V4mXzl+rjeZRXIv4G4lpFBRO5ZgZuqxi1YHx
JnG5cTpcFUXv8JnRwrRCjzqRfROreXSLhEpXerzM69thyIBRORvxIcv1vNwGXAPfVF13AOS2guxJ
V+z6Wk/GcWI6Jgh2GKAz449mGJqAJWWixL4Vx5OOFF1sPmWOkqCzqNGtfdJgDIYpmabIgI3P3hdk
aZEF7yFQ/wCvLXrBYEJAwTm0BHyw6k9DEbikaZT9gI55ptRgFdD1gWzNqQOfSl/bkpDg3NVDPJif
iAZMcQx+C4cT+FVDnFZhjsKlXm9amoY/7An9c0XAi83lDV0VhTsSRHEYBT0fQXMSLSmQVXazrp8Y
1Yp4H1UWkp1IqUtsZ00Udg7mibsYM7SC6SSVoZRD1uQY1q6aq9K2qgc9ae1PuzIAlHdZrfOEHgF7
B7BREXKgnxpO4NROx7jthqaqcU25xTNyJ7vRMzWvyxie7wlLr1s/2KTX4XbpV8l8OKK3Ai0ilz9i
ReGTbxAcn5Z27RAO+IY+uTbN14i+p8V/WNQTGcKiTqkadqUNGXNxF3R3PNok8dNlNc6d6clSio3r
fJybVpkhgszTRtOy3RTJuDjXRDgLhD66uR2QFS4reXTr0oEUNQkgQknoJrbo/VCkEi3OM/2wiGMZ
gsPGWEFWtApk1H4W+cl9/mJfq3sd7RcHZxsxdFDNss2RqSUYYRPTCJE3RGYzZw6QgHtJfPvdtn8a
S5wqJZhYqBKrVBYJ/Jo+RQA3Rr7efCSexfLN4DVe79p39FC4qqRSd94FLKymYHfI98XOGPHCtR+y
+97TEDC+m1f6fezae+pnEO+8aq/9TeDKeOkWlc5UxtMSpMUObiAxAWNhQKSNa0i2ShBdFc/Jj5Km
qKJ74AdQx8/Ltr9yEQBYHEiYOhwxAm/BMOFenKzjbYGJ6rupB+bWGHrIf44W+JK3U2Bt0dF4WeKa
08CeYiofeAU2ON5Oj0KXRKVTlUifFQj91PGQJz+7RiLjPFiAhCMZi90eHTducAVvGchAd0P81Tdv
agj6G9mBOx/8dSi43xfUPFBS6t8H8khKY7Y2WsgxvBO8qIfqyVrMQt/UNkNcL8HLWNmmE1GCQtGg
ByNXkILMzSvFSlgePVkcZSyHadYV5o3rWdLivLKCOFp4P5ro2T5PUmVm71hND+bAqrqrDVCNAFm2
n7akUv5+q1QMuODJTJGN0EWw3FC3alqkmMMgAcbkYlAszDEoFAa/IfXjZctb8VbHor7zFEf7FVSk
VOcWoiarZmNT3KF48X5ZxIpxwyJ0ALVYy7CJ+IYFYRNiugoihj708sC4T4E9FqUycrM1X49Kj4EM
4pIhh1anBt7FjjKE2ZS78/A/pH3XjuQ4kO0XCZAo/yopbXlf3S9Cd9W0vLfU1+/hYO+UksmbRPUO
5q2AjgwqGBEMc852WB6T/EpJXyOC9mHgJADJa64W9LXS2zq/b/Lnyzqel+aRPIIIj6go6JiMUfhU
OJim7CwOjcInDxNqv9587Rw22S7bobFFPbp1HxS8YycPDFYvyk4Gbyv6iqjOM2hlht3LP31URbEx
Q2GC9xlYvcWAK5H8RcqIsqWpEVe3gPbD+URzMKvQwtMCjH6vWOtayIM0VRS8GXGGAKXBqwbrEMAn
OT1DIxmpVWgW3qbmVTYFLnqyozc/JDfLQ597jbL9RfbNXvLhRJca4GHYKXOwVoat/lOhS21WvdlA
McBue8MRCK898KITzDrjUxXe3RiQnXtb7/XbcN9SAPgWfubbpsd6wrIfIwqw6vrHkNMfky3Yi807
/BhzAOu6l44e2ltB5vX36RbPSfXdfkxAke6liX/7KTkI9m9zIfZENh+DnDLRshKyx/fsDz0GWrRp
PON++PHhfC67eY/a/H66tmwvfQBqKPqffh1c/gn/mumln8DMfOWMhgYkeS37FtXGfdLfR6/x9Rtz
B6Pz541y80Aeaknt+rwOi4YOXBLe0TBtUFpz93ZAsJ+iFihfWr+jsU833Q3qXnddt8nuZ4kwgSNk
r3R0HFgbCYgHp+rRKKvapa3hCLO9WijesuwTIoOZFLgCNrCFsSAsRKAkwAlxzKpJakeDCWHtecg2
uiGbgBd9JtBIMo551HfBNMj5gjAs466sbKwJ3na7+A27fOE1GTz16T57jzegcEJBovMktiHIAE+E
snu8sg2ixEXpFBA6+d0u2mueg/x33/3ABsAN2ZM7M/XabXxTXGnwfpJMQ1CbxIQ6fDvKAlgBRf53
Ktx2l7kOC6fw+yDcNTfpwTlGADf4Te6RFj6Ur0lgHpIf2VvylO56SfgUOCgLbARoE1ioa+P/U9lF
o7V6HMbIDcubML5Nmhvb/TMRiR8UmA3jrUUrDJiTQCnl3CCQXss+KzM8nYHTabxbMigfge2jzgCU
cBTnAN7NNwPKbuhpZpQlhj3QVskCUt6BqvayjbCvwLkPvA/Q7UJhAzTJPCEbyUPDmkb22NN2WvE8
ObvKfjOsg2o+hiD5UqxWZpTCbBcBC30cIJ9jOfL02yTFSBVrBJdIj42tTeQpv9wxACyLV0pfQKJb
h0bKlyzuAihLBia2FrJKgKvfFjfOZ7y1gmFLtuTOj734Rv2tyl6aAqs4kcmlVOAhomTSILPaxM/q
rkKIjAOwS8Itx7e9dwRa5eVPKNWSuYHVNVdUbR7TAXwlNgLwh/qaRX7v0QMgZLHjEz5hD+k4HL6P
9Y1Hy+poues9dQRAj5Sp6T4typVRYyLP1/vCK6lsi0yUpa5l8YWVqhhNq58hC8+wbqNCMd/2jafy
CrMc9kP3FAWXT1Rw8UAVhHYYVtYsvFv4i22MJbyaCmc5YL4G4SY1nptZ9t3OpKB5jwsHZluCHB++
6vSzgWZAXfBIAYMI2Ag1QKthe9yWMSDKhHC20WB5vA9nCDHD3uvDCgOCf4E5Bk1A5gaSXpSCWUWY
00SbZmuegYqbEhi7HkwYnbr8Rc4c+r8SIENFkRnjLJyEHtNhyUgAxDo3bgCkEMd91HLXV39fFiM4
LWQAoGRgDJzY+2R/X92ksGprvCOBJtg1PfBXZ8APvUXffhaY6O1iiJVxYIKakj8tpatis7VBrF7G
+oM+jIFZAoUukvghkSprKeRUFex6hwMQECBFzw6Wqu60ZLjT7W73/RMzdJwXeioGyvCcGxhnFOUt
LAn5Y25e97N+Y9sj6JNlGGIibcDuhogBFE4gCnNi6KIQzJmgL961uoeExm50T8kk1/4sXcKHAU4Z
oiDa0xoi7umRkaopUdEHmwvqGdvJBYvLQneguwy6PH2clSlgQ26Xj+8s/HIiOR+QOnVjzz04VkAq
51fqJql/RWEfZDMqdvnWaHdmIsnL2L94EvBRNUYDA2koGInts7Ese6ms2uzRUXUc7ExkeJpM9cbM
6p21OI9jWEhypPMxMCYPGS8KW8ACQXXr9FDjUB/CoZgwEIuRgiHf1CASc3dVirn8lyx71bSHOH53
I0lnXKQlcI4ZazQKn0B5PJWKrGpKihbFVr09RjGQfHuvS6662cUuv6TCK3BN6O4hzwbDrKXhUXQq
ipRZDmo+iEISfCj08HrIswGVkz+D2z9cthaRKIKEUHUwT6cjOJ2KMsqqm8wR1mJaI2jRtHq4cWLa
X9ddA1TQiP6FpwLFD4h6gRXO2EE5eRMBV2dIcCFaYm1AguU5NtqRskKM6FsBtx1ZLoox5tkTz3Uz
CutBD7HSMjvI7Mj2lrx8SLQcDHvg3aFl+X75HMUSwVyNFVNEdz6xbux2zNuGcSaN5j85nXcE8MtL
1GJM2sm2nSWDApXJYynjKqx0c9dXdgx5dZH8UeMea3TzkfFsdaB/tVpZviRwlgDC/1KPi2IU78wG
w4FQr5ywY/MMYINtlWwun6FQCF4/mBUi7InFvZnLirpOxXSYM3Jo9Id+NDeWJtuuEVr8Sgp3cgy2
KEvZLM8ck63ahu8DqGX05SNKWskkhEgfNFvhFBFfHPReT7+RvtA0XVIKTzw+5pPrY5/Ni2XOVxBh
UJ3GnAX+Q8ecD/1GaoCvTmEJpaoFsfqmJm8huqxl2D00CYBFJf5CKA5TfuDHs0ysCnM60TlWVQMb
xX631Ec7u871z3ZqNtY/9RQdRv3pskWwb8FHFh0D/Bh5+BcblvO5rToNajci48hc90PJnY1eJpJq
kMgckJ5hYBLo7JiA5ywblwig7R18Lco4B3Uog2GiP9HT8DCaJ4mTIntA/mSjtcRa/nxDK9EavOGA
U+en9t7VdSy+7zuSS8L/efkW0XEthQselpEUpdtAoT43ik/AFljHcNbb+4qM9EVTFhuD81a9w9RK
juK83V2lNXrlXtmm7h1xp/HJKjZkGg/f/5I4Yhe1GxCUufwTfcjrpcxjg9Hahfd6Ut/PzctlCcIP
qQMWHA4Ebywe55lEZunSlklImiw5jmoBputZ15rYS2sz/NXHo6xSKhKJwpuBnAdlPpjQ6QUPe6wp
dyaccJIX75P6tmT6Q41+uo82y/ayducVUu6zchfPTaiJPQsYj9Lsw3wCx9fGAt23CZSnNKga3Tfi
XSeLo6LbjqkmhGoLHSNgip4qqClRay8mJpvqtj8kln5YkuE6zOc9hSsL2+GYGe33M2Y2SPWfSO5M
x8qiYRlBJMh8vd6wvNn56EMQZIcbTF2WyV/4M7wv2QguG6vioQhHSkcjUuDPehCHD7b6Xqr1EWDC
QWqTm54CSa+QDbyLrIbtTWC/GJ1mMH2eHmrcLLOZuki5bDTgjEXd0qK8Mir0WRxTUooTpsq4b8x/
QuA5YJidZmY1wEJDtG70bPIMhFc72qbZx2x7in7bhE822Rq2xAsJXR0sBjZjYNqIH1WLMS67APCK
VaBtTyuL+xYgGCFgTC7fClEWhOr6/xPDw190Do3IwOxTbaNN1L8qaFo01TamiydlyhR9NhOQ05gO
A9uJyT9LI1PRUpKznHIOAVQQOp9uM9lAQJxjj7rZ7rJmwvu+9i2clUTu6GBgC1/LGvTbpH2sHLvy
smra5Wa0JUv+Y17M97a4S61YEhHPgy7mBUDrgQYje7PyEZGUQ0lDLa39PMTMlrv8nihInSTqCYUA
qRgzYmz4jS+LjIvZWcWQ1b5FjftibAsP0vorR3PKowLIU0+Zlfs0yu0rLVZ0nyxgCyW5tbOtMfOS
CMOV6fcfeNAbZWsD0QPtBT5E1ZSoxaxD79H8MJunLMoCDAIGek497ARKqk/nF+RUGLO2Vf4+VHqr
1haEzdEc7krFpOBExdqLEtPfl4/6vB7AJCHpUBGmDPMsq24q0EF2QGloKdYo8jgCCEWSKIFGlUND
ExPE467m4UHxTz9Xz5dli7RErEdDHps9bF7jVMsyDp0+iqsaa+XxoYwQO8ohwGyqxJpkYsipGEsr
6VLZUDHt9y0pwH0KckPZcND5/T89R2bRqy/Wl3TAmx/8Kcpi+Sjk2gAa7vWNFOX03KedymHKruTQ
tFX0ri5qP6LdrV0BZwzTkYCuBcAC5v73lz+QyDiA4IqJEBQQVdCBnAqL+6UlOci7/KHrgMepA8fV
UK35tSp708OC5WeSY0Kkasf0RW2H4tt1DsxIANsYQ16ITujenErvZ7S7hlmpQH1Wt166tP091mGw
g2ViW2pZ5kEiT3S0ePYDqhzXgE1pnMpb+nCMgE1e+01BvXF4dbvjEO616CbpJddb4L5RU/4SZXPt
wqUqDDMx4N+M2Qw9DbTztIrfzd7yMxK+ZUN7UBXrg9bkQFXp1L9Iz/W14x7SS+YuUaSza3dX3OZ3
/db1ks19uUXJasFMfuZl993v8QYJlimrPp5njATYsV83nrsl5Wg1VmIw0fReIz72jHuse2fXBd0X
ssU6mSzOfPKx0Za5g6wIECTlAIQAbBEaY7cZ0/g+HV3s6MjAG0Ui15+Vd2idGYFqHBaUFun9qFVe
ZGp3SgVwpjH36sW2gXSnSMoIIsfDxiCRLQIFxuEXJJ20cepJZXcU/wNlSglftCQLaCQJFELdVnI4
LxqaTTemOuQ44RTclEFVRmAQuFeyrSOjCBGKQlRA1o2KKrrqpxcRcNzZoJtw2Nj39iOsb6BA1/RB
32p707hyckkaLBTH0mCcISIhP8gXmnVhajMMBfvzyb5ZLA2vqDT3aFHRW3BxaUGehDd1Pn2/Hwcv
gJI46tSYgwfq8KmeekPCNqENQNGKO/bixwC3KtuCEyq3ksH+vooXaVbqoTpBxpzav/sxuwqTxB8c
NGld62DHQLRQZI1akUgbc7moz6JPg7fFqcixmBoHrCvoz2rPiuK70Q97OXTTczERvCmC74eotTDO
o1QDCWM7TYAylaV+PH4aKWZMNaDF6L9yJfbC6SoxJRvezHGclp3AbI4RQhtvNBXfjjPPOk5GNWUi
FW3Zzlp/XPpkO0zW9rJm5yBXjEGdYB7TBUwgppE4OcsAzpWGJYFkGjxLfwJE8+jg9bI1TGCpf+iZ
Vxf/KFiTKGZJfBLFfTSJTUtFyx2vX84wUzUFsHuNuw6Ga2QWyaZIXlT7dbCOkf0IijCgLTxfVlbk
xf59NqEDzsavuNhrDVGUdgrOVIvJ01Bpx6Egm9icwQIs28cSBt+VLJMLvs4cj0aZ4VyN7DNGj7/A
rJQP6O4XgGBvkrI6kH5uPLV27xw1er2spyj2skYKCr9o953RxpZDPHaDisDv5lgACB9dpFSlineU
EvllLXFsMmHc3ViW0ZxTDcJG/cONdgQIzHn61jSbWf82Dyez1ZVeXLBtly7LWpuJ0l5J/iuSbb+y
n3p251AhtLCtTAyLnwCM1D5yahf/fucWT1o8/iaFjHhPLMK1Ue5Froui8qnbqtUW7DsNjB6DTzk6
MmodS67VOTgHOyXMIf2vCL4gUdZqoeYZknf7rkr8+no+ZDt637wbW+vJ8n7Vf7BNuqk23cbZKZOn
Hy7bntBvoafNli9BNcG3KEEqM05pzwD5VJCmlaB2wWSDbJ9c5PydlRAuTUCfS3faCUJ096WxDwVo
HxbHx0Xwi/mu+LiskfCTrYRxkQalFtqYJYSRWQHpOlux3FyWIDwzW7ddkMyiyMnDHykl4GhJC6Qg
GmmW16QhJnvzFy3t/koOiLXgFNBu4L8Nhu9xWcFEhSZ5PO1UvHA22RiXgaZ1Mkwn4RdyUVSBo0XS
yD9zFDXNML0M9+eqgIO2jinmIvt/TNDGqOWzHj5ePkDRJ4KrQyET1Ieo5nC3yl0wwlAClwXEs289
WOWUQVKPEn2hLwHo6J5eW9osTpEDVwgobL9sKNHYx1gWMmQyuEgcW0bVlSlkUGvrpg+6eYtE+/I5
iQLgWg3u3tTqoNZDBxHTeB2nKIwe6iGQDujKFOEujIkpMzLokNICkrZosi3tXa/oW4k1iwLP6pnH
v9xthbj9xJwA25F1vNh9ybBknVkfpfvn8rEJFfp6UNrsWNfprTtQpNaQVGPazMKkQGHtcikrqtCI
V1K4fKgBURatJxwbqH8fTEfxJuAHlbEWWEb2Mmp9ELs9Phz1gckdGNjUAS5Iss3z9LZtZHyp54uF
CCLrw+Uy+lzNu9Jgz/fhqNy5T/QBO37YcvI023N36iHc06DcpC/Om2z3WZg4rSVzd5kaZkdoisOe
Hfd1QnU5WaptjlFeu4qPM4De4Lx2C6BY4iLdXf7OIqe1Eu1wtxzcjdNggEMaz8Gbef7dYM5m2sxY
BRiDRXu6LOv/o6eDuheAgDBiyOnZNn0FZG4I01UgqOVUB3bpEL3bRXRIQdfkYfHQ9DMzfapc96g2
tN5e/gECZfF4wusJMRrjRPyDdHTCWK/aHspWMW7nx1Q5sC7fnHbGeJTiE4jUhTjDsrDMZiD6sDu2
ukM52LhdK0X5wImVW0NDXmz2qHklfo/p12ycPmlsbajaecD92F/WVHB9T0Rz1zc3Wga4BE0L7QZk
hHnzWn6b7p4tWoDSB7ScbCOQbyUAFzUEcmCHmkzzkA6BYmxSdxuOV70umQAT6oKKJUYRUK3Emtnp
MY4008zExjGO1p7QY1y9ptPz5eMS+FXwin6JYH5q/aUUK8qAigq4gWSTDjcNhoiUebPMe1fWkGcH
z+XbJ5I4m1jayZ2zGh8GjbkiOdL65xw9jOnvy/qwi3QmBbADeAix1R7+JZ2DRqsjIDwBlDK4dTzX
L3/pmwH4MbJOtegtDfY6vNoNG2s3AOk5Pbkssay8iplt39Bj9Ehvkx39UA7RoYC0QTLJIRiyABvI
lzR+fNzGnrAaKyp6ZNfxLr2ur+NtcoOd9m20W3bmrpWunwgCFNoCaKayAXn7rPtoZ2UbLzbUc7Fh
M2aR18uwcUTW/SUB47vcARIslWsDJKjK/Yi9ye5QyMDQxR/pPy3OWt8Opk8mIJUjzXpYAnqbg+zm
s93QbfgW/1S2f/HeAyILRq8hyMDEJmcSWK8BsbTewMsW6hykBXq3SMNlsCyii7SSwlf67RrLa/WE
B8RgvPeGX5CrMn3rl++Hx7UufBHYCItBiRPokoK2osQU43yVp1slfXP123J5uHxrRaYAKBvMngI4
TMeE9KkpOIPdFlnT1kALaQlqblbnTUsdb+zFMb3viwKPD3YV2C43xnlPRdW6tmAwFW6oyvZo79L0
5yAbWRN9IMcFvBtr3gO6gNOmnqfR6MDb4CfxZwsc03KbgC0H3K6XNRHMWuBx9yWHN4SoT3My5fDd
Cd1o2whcTh6KavdmyEBOrutS8p4QfaS1OO7JUmdJYbYZ1FK7zFvqyp8nv5CRpsiEcI8Wt3dHkrQs
Hk1PzbTPu8c0Olw+N5kILqoqVR5hLxx6aCYUwGwuiGCw3npZiMh9ItVTMYeJDsD5gsSAhz2yPtZu
BzTH0l9R1f2LG4omO8pXNkZe4KlPLdl04rEgIapLMYax6nAG3l61I6jcppX7YMS/Hb2QnJwoWXCw
5441ewzM6nx3vcdDbwICDdqZYPftx8YjyqOZR55JwSlsSl7hMmGcJTQ6MEhzjb34yk01DD6dj92S
bqmGsazt5Y/FTopPGtZ6cRZRKbXjZCFEjfOtSmsPe2FgNNwURdCFvR+39wqenJdFCo1wdZScG2qn
bKRjj/dfWVbHrHTfe4vc6EYsm3sRJf6wETShMBOMDU/OSMYFT/FIQbCYe80j2Wtjv7qGN9kHLQGI
taSNIT7H/4TxxciqL2hlEwiro3g/5eV1TIc9drcOiVGCQGb5h1jz4DnK96nrkZGvtDxb0FDTyUoz
BKvKdIDh/zJHxFuSmzKU9dfON/U5SZxVDiGc7shUnEj9K9YMsFt3JmIJvbbreVOoepCq8d3s/FCt
MKicF6Rsu7QjXm9Nd6QGBqyBliqwXrAy9RcGhYlsjFTgSQK4klNvUOpKrtc27uZsRfuuQ16Q9H9A
/ihxOsJbiT4DGyTEeCZfvdQ6jP6DjwW1MfW5C596/a4td8tnRN/+Qh2W8moAn3BNvno5uc2oNAv8
Z5YaPkX5w7VTv5ONKgm1WSUDXEhrAFAGLGdIUa3sAb8FEI3pYzhnQZFXx16T5R7iiL2Sx1nPUi0L
XBmiG4o4BIQLn0v8swLBkgrOTHQ9bxaNPofqCygTfSuXEW4L05KVcM7LZbMy5lmEuEfU/Moxnwo1
fMriZWvjZL//8YDojLc/LiUgNjinExXZEOoVJFXNNaZZ2+Y6ls20CksMDNYIk0SaCrhXpu3q4ZrU
aHvYs4ro53wM9BlIyx6mXP3YuB1gMHPqkfTJKf6iKYV35ZdUZlArqXjgUhcD/PBwGMvsVdCkywrD
gq8EhVAiwmgwdmv5AakG4wv4SLhgxkxeMh2Pr0SPfoN5EONKvWyOTWD/GLg0gEOMm4ZMgrP/iVqL
1Xewf0X7BH1eYNHsoIB9wzE7T08/vm0VJ8I447fnSCPxBGEFdrnnFkHImyZJf1J4eiuFOBvH0P+i
g/ah9hcMeS3kheSPWTd5sfJ5WRdBpDvRhQvfU6eoXY3/Ado4vwyNubV7zBu5TdA67g0d9JdoKjdW
KjM/QdZwIpZz8tZC3HEq2PdCk9fCQElR3VFZU4/9di4bOhHC3SzHGSKtbqFbpFSHwgFsQy+bi5Pp
wV2jAQNbcx5Bj3TWr8Z+BgKVC0VkmCiC5OdEE/b31W2NsZ9RYTUV1mDvrP7a6bdzS9h98sweYDMS
mxCfm22BwBUPTMI/+/pCK0y3g3OvaRXo3VWTyGpO52jCDBBE+08E/+IDFy227hSIMLf6fgJqjeGD
2OJKeblV76Yf0TXmlp8xf3NT78JN1nrZ7+JPJvsRoiB28iM4p2F2rVM2rLiLIe1h8lxwGZm+U/kg
f6jnzBs0H61ZSyZW7Kq+VOe8R+yOSq9VkJo3ptfpD0Xxo56vx3j2olniRCQf0uaciD6DlqxhZVcL
DFgT3TmK7Okudh9fyrBfsDLMShmrunOZBLw0nMmbwRef7kAK5EV1kGq7qZRUxWWnxzkOgGxn81JA
4NIESxgsy30yZf6QBJP+7Z39UxPlvMdUukVbqJDUqTs6oKqneaUmq4ay0uC5i/o6P85/NEbZ9UOC
BEOlmI4OrOStLX/2muGN6s8yDSjxxnl32ePLjILzJVgfwgYDWNJ8XXsdwp/SUqXYJX6pxOVMWjMC
OmDGv9+78S+FTkCKKt/62txeVkOUN61vL9/26q06Hhdm3DWQjBRn66T7LvJzXUX38cYqg5IcTRnu
sKh6fSKUcxlJa83FYMERw9CdQ7JRa0/bl1fJAf7DIH5zpzzDh5QynmFhNsAQgbFTgmFvflLAzpD5
hARigfUVJIV60FGosJUPO5fN4Qit4z9JZ7XsVgMM9jBAEm2Bed5WXt39zb1aSeCOsLLtYVBZLGud
zLPHDyzlgEXisnEI4+VKBu9jnaZLWx22YeY/LEDiRLcYTQAXZmDrmCCXCBO6JIJ5XFBe4onH9wg1
ZbIbqwF/r0oedA3dGieYu+shuasVydUVXq2VJM4lqW46DJnBvEX3qJoBQL7dWuaRxAbwpQ3nkfSI
JNXC2IgnhdGHbBS935Rko9W914DUrJ28wvEiHeOWr1kBejJ/GiQ3W/YLOAdF6wa5dQ8tu+rT0j+w
93LZOIQxa3WKnINacncJi5lpWL5G06ML0kTlPhxwcYOiSzdo7f3fDIQHQDOXMjRK7ND6QJZDS9sP
F3+KPiIjBk3L34THL934qoY1tWQZNGaLKBwp7Hu9J/R9zI6mDNVNYvU8lZeeVf1kd0zSpGBQ+ioB
I4oGHoj5Y5YNVwi9H3YwMS/tYECPH5lpFtqDaQW3WXXelJ54kfW7N+872Ti48HatxPC3iyR5F7FK
zWL/wtbaCKzIUFJXFJr2SgR3uXpn1AabvRwn5ynu/9BvE6eztHr173NXx0wbS49CnBQpU0/NgPo8
7PTwz+X7Izsn7v5Qo3GmkZ0TGa2g1IEpmOz06P3/JISP7kXbpj3qBHiXIg6lBGSmJvC4ZIxsElX4
skE76qnRsTKWZr/Exs8k2uWzZPThHNP/9Js4XCwCjCbwP5gmNmCQ91PhmXc/yX1659xrt02QvqmH
Lsh7zwi665cIrJ2N11x9mw2Z+w3cQ6BxMIEMwh+kLWD2MMfXZGz8trrOkmvNnb3LX07oXr9s0GF3
YPUkUBISZ3YDWVH9KyQ0WJr8VU11oEOom951g6YptqZV/LgsVXrM7FOvxMZhVWoIj0g7t9q1tg3R
2duSzfSn8MEuZx2WXXUdXrWb8lXdPkS/u+PrZfnsZp0l8iutOefR95qVL+zNHE0/jfpF0Zc9GGG3
uQYcuR7MFGWWyVa42T95SSTnTKp4DCeHJTl9DWzh2HPDDTCUPUW2uSW7JJxTsa2y1WamGqEHZw6K
6U0xJCFZJoJzKX27GCpiPuzT3drzY5n/lq42nFPfnN4BPgpT3a5Blgo10mswve20x8TDmNw9ktB2
CSKg9JYABH4j2/AxfbPeVG/ak9vBd4MXfVcA9VuSE0g05gN1UzoKHaJ/P95zPty73aORSIKNWAQ2
RlibE28Hzj76XJ8ald0ICiDoON1n4Qs2fC+bvTALYGjh/yuDs43BAoS95kBGktOXpOi9ZDa22Rx6
dV39KA3ZXIrwlmEghbHLYFifB9huWhNLyjqSDhtrTI1VeSDDHdskaOpjnB5UWQ9fXCFC49vAeDaW
vvg1o8Iqu2IuKCq9j90rJrRhIsk1FvtMr7g3bjtZU054o1fiuFDRhtg/pTbUS9QfBj06zSGu/MI5
XP5mmkwMFw2AD1c6UwWtlL3zQDfqTXLUqyB/q3+2nnZId+kxuzd9GTeh0BxXynFxwcxyTJmUkNrr
15hnVOe3WJFoxtzEmUfE1iBwJvC1zuD0pjYnVhGhqZFjPVnda9mmG8CaOwddtDPA4Ldkb5ePUqjT
SiDn9duBKJmuQKfcoeTaQkrsh4OJYRyVjpKbdvbRsBzD9nsw8orVM/CYnMa3qgL/pePWHeDKbkfX
PGqd4YXzqz3sL6skloNUG2CogOvj4dgWAGMnlMlJIt9Rd3aUHar+yu2ksDxnruNfhb4EcfZgmOOc
6EMDrkrnQ42HnUX7xatC+yWKy73O3u0OSJFBu0h7vMveOjLeD6b7ViOz1crsNqVqkLiywZAzB8P9
KPbBV1lE1bbhrMb4UarpEfvaAGJG5+wK+zXRil0Gqq/Lh31mP5w47qMqijIoLcFhD3SzLH0wj0GF
MbXLQsRfFF+TQcOhuMfFgUmdy3ZOQZaJsYLYrrfIlDxgapaZJkl1xYf3JYj9fX14qRWOoKMFGXz5
aZjLvZ08DM7WBDAY/dDDSXLZZWoxZ7CS1k5xl2gAX/A7Xfcxm6i6mE3T2ltXlSQnZ17l34/0n1r8
TmRV2IivRdv5cfKjs+MgV4MCXZfefGviwHayq3naXf5i5yDSEInNVkCPAGsfJJ3cJ8tCPaoGhUE5
FPN+BvStBr73Mqm93KhuMx2Lp1a9dczPYfhjlv8QEL2ORYQdJTewhkLyY0Q2uv4t3FddTNJkZVHh
nKe09FqA9gVTo8eBkcTZ/rLeok+6FsV9UjBZ5E6KfSI/AyRePmpelAyHdAEhyky+m3+dnjA/4QOS
mJnMBKJMTbmpmn5LdbK3ZAOU5/ViTgxX7ITV5JUdQkyo5Dt0C9+UKvOJ2W+UCCh2PfEzbfHMydrN
douFjXRjJ0vQYV0kmZzN5cMV3U54dcyhYLGNnJGTOEAEVBoTZtxFk59XrWf1NlZGzeup/51oM6jQ
FxmiHjPTk3j8r/YYX8fcFiBS+Bn2Kau6NkYt1tep/uK2ALHqqhQAiC5Ao4GYQoMo0iSXVWytXyK5
FCqswzQKc4jEs9tG4xf86m0yzV48ysb6zpNDph1ACgjuKcYX+UhZaJOS2DoOtOitmyT6xOrLkaDg
osbZJs3+2BjiUAzXs8lwqFTZEgKLjmdHC6YcC6spgMnk0SQdLQWqbgPhNU23SWo+ZuMiKQULj3Il
grv4oLZM1WqBgx2sbGuH2l7N86CKa4ldnjdy2Dmu5HC3Xi/xlXLmyNP8Wo9fJowOztZDR4KsOVrY
98vVdwWFkcu3QehqAO6EEwRhzxlKetkAvKLrEBStIfGtItyW6bCzKxRNHdkwoUwUZ5LIBymNDIiK
HWvD6EJTOoGp0r3DRPT9Za2Edxy8JqD/ZNP7fCsiy2d3jEwcpYKB/fS1L7fl2HnIqdritynlOhAr
9iWN/X0dgaOsM3KWWITajeWAcDw9uHHiZaYkrxC6kZVWXDTEyopq5xRa0ajYzfHkJfUfV+2Oc/w2
osZ9+QhlSnFWX8VVQ/IKSin9JsndmwzQIOF018nMXpRVuCulOKsnJYgGSAKSvJEmKIpFKFiFRf/Q
29N7RKbbgU5Yp6bGcpVbqSF7aAqFA1rXBqoZltt4hvGRgElIKyDcTLD2VQfz/KF0B8b1WHVPef0n
SreXT1Wc0XxJ5J3lYmpjUYLc1M9+GRvrSDaGszEfa2ywlI9N7WH6Id6pVzLWxfOnLvMtK7HcIyOa
GK5qzcS+ViDQDJR9CHrw6dX4p9iVewAM08Fv/6SdZ0puotB5MjA8FA00Vnk6vRt4nSZVGEKwQ25c
rffCJqC2DPHzfCuIqbeSwrkWhfSJrnWQkgKcvrszI+oXtj8tXaC2QR1Vm4juGjwo4EXd8fnyJxVe
lJVsropQFmBsqxXIjnrjiuYQojbXtZLs2sTaXxYldAArUdxXLPJSTesIokpl2inFssOqrdcUjl9Z
uQcbf7ksTvbt2N9Xfg1MSfWQlxCnuT9q7aGimSfFN5KdHvv7SoaZA3E3puz02gT+7KHo95F9dBZJ
mBOqAhR34E2DrMPi0Wq6Xu9jJ1PhOsurXAna+gNzpZdPSxy/wVgO7FkTTLh8nbFBq7ZwCFIRs39D
LfCI5nEbTMuPReluMF62GZf6vdSes7J6uixZGO1WgjlXnXSge6pYtEv0bec2frXAkfShN2FaHthA
m9SSocIKDXElkXPahekk1HJYfFVr05uJvU2dHwA1fdAaxS8MGV+tMMn7Emdxi4VxqcbxyAJs2ivg
nYp+jayUe/kQZTI4R1W2ALEs2KPdwFdDOgv4blSvJEKE1r5ShPNTNO9NY+ggBOXoABBRqC4SZ4Ot
TOQMlSyCnzMUMa/owNodLFPoZ1y7TQe0cEJxbE26r5ZdUt2n4Y+wuzai515H1Yy+EfMwpPd1fOji
H5ePU/wqWAnnLvY09VWZDBBu5JvMvDLITWS9memezh745OPmGsP4ziiJNsJ4jtFnMHipbNmR81hL
U9tdlUBoqRRvc6ztHCCXTIRsatPwus7yaozGg7Fv+zfKruRyys5d7MyoeqJOkVwvFM0ny4q80KGb
uXq1wZmu0dcyHvzKeTUzWVlGfNIr4VxaOHS5bi8she+z0VOMm6q8tc0PMAcEiX0E4nUTBlG7D2Vv
eqEtr8RyXkeJ/oe0K2tyE2a2v4gqQEKgV8A29ng8+5K8UEkmYRH7Dr/+HubW941HwzWV3Krkaarc
SGp1t3o5Zwp42EGsomNQ0borAZ9o+OVWM58v7+6i7T4TJBkboKz1VRNCUAgI2BEvIEvJtlT8S3qQ
f4h5N+9nnihujHgACQ3EDNy3yx55eTLZil/aGobVLi9p7cze/34mLBQ0KEQJYbH+RysAtuX4wd4P
4M1RmB77rdpuh9rucEdWBC+fGpiPVXQdY9RdMnN5mgaNGSDibdDBFHS+I8CJTWNlh+FCm1S5pwOs
GOMKe6rGG4qNxsD1Q4Iu4IQ/j+R3kbb7lS+aJX55wfOPL5JsYlGlyjRWHR4AxR2mSvruZuaHKsOD
gcE9k+wUJPhZs+HBSjD1PmF/SbAUuNVJQQF2g62Yym9VQHYY2LOHgd0AT9pBsnNTKIGtxXeYgTt0
1uCosbo3wnRP1AeShAdu+I8l+9lb37Jax7yPDjUJDx0gBu1eD3dNrv2uk2oTBIAbyjXV7oAOZAOb
0+lL8/7yFi5647MdlMJCNK4LYzSwkKS77Zp9EP8qdQ0ovG4wjCuntWxgPw5LMrAV6J85BsnhUvSr
Rn+o/WGnFndac0PxplBM1AoeL69t+fJ/CJQsa1CpCaM9tKOgvo1L79Wq5oDXbXNZzP9xIT/kyEY0
oznpuvlepDeWuSktAKukdqA6fbUXAlTMrdtNdq+tprhnLfushYY6DxUbFoAUkZCUdrTgNdKfKgLg
IjrWfrTz6YFB4/F8aeOfArmYIXa67DikbtWCRbhfMa4LD1LIB4gMSEOB8W/KVRGwXpKazC/DoGxs
DrKhcSvUKxrprl9abgpUcTO/rVSnSjJnqu8NoHMm4Y06rrUUf1Xiz98huRNdaao2LPEdQJQutsgI
9HYMqhiXZtWNn8fAUtLNcXv51L8qF2RiJAsJprmlmEoWoJ90QLQbBOEYPyXUC8pHsQaPPX/2l+Od
KalBD4cjtiS96qYatbuRITfE0IDQBTvVyDetRdEvHeou9491OK41Iywta4YGAmqshZyzDGej6MA3
6SmWNYwnVmV2Om6D4fflrfsaLsODnMmQ7uXAeKAHAcWDKnQsBWqD2aXLEtZWIe0cQG8Tf5gPJ0V/
KBLL46lMXi+LmD9SPpzzRUg61yIzwBVgpWPS5UYBT2nib1hwbNawwdbESAFMj/PQ5msGnshrMrzl
/Yuf3llkZbx++URQGUeWBW3w8rRSOrI+GBOcSKv34F3bimblyJeX8V8B8qySH43WqAoIKMaHqpqL
waH/oHf+yrl/dTHQLACHAM8DXA0gdMehnYVGgRkxyufdAtQ6ATWoRWF4p8I33gBAlb2ARUO8TbRo
Hic/DjE5lAh/5RWhL27lOw0mCCxMoPh+/oQpBiHjOAWNU23zU7nz98F3I7AxFp7uN8kz5hocdrqa
3siD6favlo1MtlMdAS95WTsXimbYCdCMA3Fk9g9yVyYpycSCAsjyFAiZh8GNvrNv7bbwfDs9YrIo
2/BHpVgRurz0D5n656VbSkfDkoMNDu6IdY/639cbP69JOt2qUWIt9vH7ITlWhcf4E4/dy/u2aDjO
tm1e4pkCpRHvFWpBBLNOirEP0NlG65Wa0OJdAH61CWznOeEjXenOiiaVxZCRlpUTZD/wvBzy2K6t
7eW1LMkBNBnIKkF1OF+Kz2tRRTtAy0XjtB1LdtYkuofEB/wn4Llb/ecgwvyvJ4hx5ZCqBWydiqll
vBA+S8SLXpCmUmqgD+cIaf8ETLXjHFoPClWDDi+X17ekbmDbBl8YZqMB7yXtI+phZU9a2BQ65LvU
Ynj1/DXP4bwgQGOjDATQaICrfF6QOaHpNmXwwBoaoDKg1BnodNTslPyizcPl1bwfu+xQAPaNxAMm
YKyvx1UXcZLUDbR7z73mFQAg7pDbw2t/Eo4f2vova99vpxOzn7JrdjPejjffUO72uGfaxG5Azn35
e5Z29/xzpMtc9pM6hQU+Zz7EATzL6vh8WcI7EMelFUv3OcpTovsNRJCtcfKv8516i+kizzylh/ab
4naH4prZyQ7kFV56zDbNGnTf0gU5X6Kkro1el6jhQD4Fz0mSHK3o5OcKgDpM5/JKlwRphEFZcS3A
1SapURbTXs0pNFUHdWtb7lNwnYIHI/3r0QWoK+rYYHzm4MukMkzXYIJZpJ5MZJHD71bX2ZYPlgF2
d3kxswOTT+1ciKQYLDSVspmFUBiV6HbqH5IOXCaJ3bb1vziUs/VICpIHvpZMFKIs/8h4ssnadOVk
5p2/tBhJBXx9YIXSQUJPX9PIG6IbxIpa8VQzj8aveb9i+pciehjkma0YYRZQkz7bk2aoqzzGXDh6
Rx5BY20rOrGr8C0sflHze5TtL5/U0hU+lyYvzudJj5wQ6vOjVyY/lTX898XNA6kTjCOKI6ZctBBE
BH3Qwdwb3UuDeXP1JArkW/g3k77Go1P2vy6vZ9k5zwzj/xtazX8/c85Zp46pNYdWcUc3JRLfMJmb
lKy9JtfEzLf5TExlpjztC4hJjD3lgQ1zba/i9i2dzblzlm7RVJJACdK4AbTZS1ccVP50ea+WTM75
70uaNgmtSDsdv6/VXtH96UGqwMddl66VPpaswYxwCFkMXVFyTXrUtFhlKnQAGIdaH9qG7nXq3upr
PIi8y0taOpdzUZI6K2GWUL/EuRQE6c1JuCR8Ka3I/f9JkZRM6VgTxA2kWOoh1TqHixemrAVKy0sB
YizDRB7oyeRHQgtcmYbPS9Hf/NIBJaXThGtETIsqwD6ESC9UsE2A4jGEkAjsixOJXAacECE0O2wf
L+/ZoiTTJEhGoUTKuLQcvUC2G0QQDRaCISz/Jh48X910a5iDC1VSPOnwriN4382kw5JSD2KM9Aj1
CqczqVMa5nMM6khKpsrmAIkEx7YzpsYOpcstq5XXy2tcurDnsiXts8aG5L2PKrCeTU5rVLcT11Ze
4Uv2FHiXFl6PyLGbcrQZhFOYQV/mHp0AJqfNOpfWge7GLUcbXG6Y+6byhatb1UtG+7+GYZnfy2iF
g0LOQa98kztT980pgrcwY0QOQe70hXUEg97KA3lJVwgyDKAowTgImA8+W9c2UcCoOSCkZv5GTxLU
C3K3CZyCl9vLB7Z0x84EydOP5Zj3YTHH7kSttd7WKr95yFJwWSHJkeJGXJa2rJsf65If3EjR5yB0
QiTBosEWkWonsepZA5x8YpZ2HGUzloNrDjdtMa3FSUthBRKRAGJEIhJ8OtK9IJnma0NkIe2BPCzl
90URbkkLoC2hu1R7a/y1+cQlq3/+0JMEmrwdaJPNVt/oAXrXhAG4gKPM00tMZXaonpYrt28hxw7I
KYbQFqSdSDTLtLVG1LFgEGbm5JkPj9zvIu2h5PaQfTfGm0jcFPSGsd2EJuTL5/pVi2a5aP0AMwwe
tjKSnmaZLQ16htNTfigU6LrDDxAEr4SFC9kaDdhogApGW7FJqBwXsspPdSONAJujh3YFysP8dojv
QIXdGbuQeWp91PXtFFGnj7ZE+5au1oHnA/scB2saYIpx7fmsR3IzWx7rbZKmZe5k43agN71hd7y1
y6lzOvB2tNfcQNbgj1VVNsJAVzP+GsvKgnwknNGpDyBeXQbn8BVAFvZNh0kt/dBHv2h5FwZvl09y
odHrXAac1WfLM5qGb7AKMmpO73S9tdMWiEnqr9gQRx7rHokAGxOM3+JWsfVW2xdwaJc/4es9/fwF
UkYGNZSGJRa+IAeXDMeEX12firC5Ys3gGn1sj1G8uSxxoY8DHLpIkAB/bwZcfweROgtmy4SIdtJo
7ihFMLGdgvv62k6BP6Pt9819aKByWqpgLt7qBghCbN8wg+CogajSw6xnR7ZtQtVDzK1+DY/lq0OF
AycwW+ABo+gwkWwIG7p8yAnoyo3Y2KHHfFtEa6SpiyKACUjwjNfNLzCYHUvFaI4wGv0U7EvdcvSu
di9v8Fd3hlWYSJkjnwf1lVH51XYsMRBrgHQ9TWH+AgDmH6tIt3m4Nvu3JAmsUfMQ5Ty7+WW/0PUv
9ACWKIp7zGMHbs4PRn4XrLEjLspBAg+sdzMBnRzMWYlFa9gqnEuqXmnqL7UsvXoAh1hsKGvaOb9y
ZLMDh0XBR45BuS8VLl0hBQ1NMQ9onvz+aTAmWw09LUHRNAex5RNrr1rjkHZPIVvpuFu6iueS57+f
3Ysu06sorJIcoFHXZnmtZXtdUxyDnMzwSZu8y0qy5L1mqlng56Ou9hXANKZhkI5qniPMoUea6/dj
98i7AhX+fFvEjd2Q/lpVxdFSrEOt+d8ui19aK0j2gEJnqqA2ezeMZ2tFJ5XRAqR59i5oxDCQS8wJ
eIYsgBmrr1DWqyZYG0ZfXjE8JhLPGOtAC9nn/VWGkYR+gBUPwngcdBW02poLMkPhCJTJGAKyUYDc
pCCO4b+llK1p1tLVn2kf0MoFx/2FF4r4oWZ2DW5LXh+twm7q+U3qlBbqLb1n8Y3Fd9zfJsRNY2cw
tqu124V4EHYXfeGYPJtB7OVcXMUjv25BtOX08R5t4nZjgNxY+RPCNjDFS8Y99a+Bmf73J82x2Rhv
BSA3CLg+7/oUVUEZzg4GOe34KBoQmw9GU1xjUONhaqOTGfs/OsGbleGCJZPB0byKWVc8XOBmPovV
SJUlkd7kDi0J6K8z22QIyobeVrVgBY7va+Q5pxrw1sRDCNzt7y0JZ7rsF7RSzVzNZ5p04CvuMMXh
Nnlt86bam4DauryfS6eoQ33JPN2CAaX33vgzcS1o4VvB09xB6PPwTkGkAytSFRvNKnd9fdtx1ela
fxtof/96x0LPJEtHqeQADO0VSK79296PnSarbCUJtnhRrbiwpcAIouC80PKJLI488aKMmCzgKexD
M5EDjWIbnv8YKiCfL6qNSNFQgvdEbt1PLLyaMGdXq2sYMgsKhPkTHeYJ4L24tJK1yKao1EMMSAKp
9XtjXNdoCiia+zpeyyAsWELIQaIK9JgotcgoSK2V+jXuJMJcrT1UVrdBgsZhpfZLyRpPSYc92gZ2
Kyq0qLHz7B6yYwjy5aQFLUwTQBWQKaK9kXsRxs6DXZV4VN1klhdObmq+GMox41s9fgLe7sytYpg3
7V/jPiCuVq25pxfem4Il4PMlbQkfQmXEd8Shm4odJY+mcW1V6OILr3iyBi24eKIf0uSB324Yyygu
Yf8zwJs16ktZh5iQoXaxZvKWtlcHkRY2liKKkOEs/EQf+7adctANIp2mRKAoae8zrbgKibgfeLVS
/Vi8LDA+6NPHwxD90ZKtq9VBjSjVcgw2oNlRKwDutxWtatPiOgNOTrHxo3s/e46syFGjx8u6tODU
MAXzIVtKGoMrS1OrVIdskGOjheGohc2Kui68dwFdCXRENpOUfuHIAVpyEVo+AFwTxdpYcesY6ogo
MNpfXsnSixelW7RZI+WEuqpcEjNaYBfQZoR5q3i+i4KQ2hNNg7vUCrgLXtlkF7b5dWwyCCeBW480
tsNgRGAYGE/AR2r2XZ6OK5ZwQZewuSr+6yoOV76qSVHTdDTxWMpF3TIHjyD/aIViylyuJ4jtzYqI
K0Px42JF8Hz3pDgYVWyEaGBDRrpcbo9hkWAgJQbTXRVs9OrUsxK0pswxgbucWD/S2m3WZl+X9PiT
SEmPozbjfTfM5HrAIyoLjBaryOGn6NsVtxhhsPOwCW1ENmi519VdwrnT+/pK3mOhAqzhHuEfIDlV
1HVmbTxzr+mIIC1ucZkq1Ce6RLN7cEuVxltHmiuqpo4v4PDoDx6h+96odrStHIBBeVF6W1nMEwZm
wqLcjll05VtsF+qKPRRrPQDLqorp4DljyZAikZwTCJXjYOS4dVkHnrz40IrX2Ed3sevXwVNMiz2N
XrWa2DrrH/U02cZxBTT/v29+QWMTiOZwaMjUGLLrwgXQIjEh8ImIgpQ+1QavMtLMIXW18jRaMgHw
VDMCjIFn+Xtof3YomlmXSTunDGKqe5YWenWXbFhirliaJQ+BkW9DAxkJx8tE8keDSpTYqEB6YoU6
jKgXibcoz7d0raNxSdMxxYtXJgV3GaieJCXLxsgADt7MB1L6Pli/gc66NdSqQeCmdE+dNZovWqtp
XhqaxbE2a+1osUq7olnROaXGgxUPsrDuOX+pI9WGiPlLjI63WFfFU5U5CVAloyTacKW6bhQUzTBj
smJl55SWZFcQ6SCzhoIC+gHkbk5w2ejEmLEM68ruoqOfv7XKH73ZoEBr6Lsy2yVrJvQd9OGSyHn5
Z9oTxW2ORnaIHB3NrV6QELn/CWwNvG3BgxfamX17CH8rt61juumKOVnY2U+rnc37megxBFA9n7mc
4uxbqTqJniCXetOTtbn3BTfxSY6UO/BTX83rFnIUPdkqmFoTHGgiQ70HGxJgPMMV57AUtJ4fonRR
ehJGQ9RjR5PmdaqAwFQ89NG9ikYVdOXkfLuiM++h2ZcTnMdtgXMDeDDZC05xGpsZQeiGzJrZOmk1
DNWuLmur3sAysEPV6CXZBNzk2xGEQs9qUemA8+IjOTRm2gESrtCGLVrBgDrZIv8WbOk0jnf6mKum
QyZCklsY2XJX9Bk1vcgXww+hDTlzjDEgm3AKYO0DKxBXdQmaX1evQhDrlKzLw81gKNUhUXNlE823
k2S6j5nBVtXeeKPWnl73YnTVlCuR24VxBmyOwbdOhlLGhg26nOKWBFR9xIRD8mqoqaWC6sJCNYbX
aqA6NNJ83Q7zJt63aU/wHBq5cDUzrPANVnvqTB+dAImqBD+0KipcJNOrB1ICSs0d27LftHGjfqfG
TH9M1YihrJUGIdsaYakfgh7MLnZT9A1ABereCHd1qqT7AuZlsqmWUFfUk+rxUu9Vu0lafbJ5MXAk
3QaMs2BwYewOvQh565RBbL3lQErE2LXJ/4ig0PYp4dEOyafR5YkfMnQTaLkLEooO+5Zjk+2gjsfY
BYx966iiARy/EeowgH2qM3Ed+W3Y2gALNf6k3G9+aFEzWo4I6upXW2vZQw4wY982ytFyG0vhfxID
m3pv5mZwAqihGmPEPsmJ3dPpSJup3HSVAI6chhgy67m16zJ02ThoJdunTRsfJhA375E11fdqM1g/
yqHoI1vPQnCvVTX0SqkGkh0MA6y415mRWxtd6aLArZI2uwKNjH+t6oVSeWOmmYErdFW5TltorD3m
ev6qV6Of2T5IW6hTjVNZuj2QwPO7YojDK1aNBGXjYionOxvKckbOzmtjg07IYBuHfY2OT5D90mqI
JrsswZZl6yTXtdvC6LJi0/ZaG1xj1IAch16vNwQvqp8dH8sdZywz7AL6sNaetOi7kCHnBE83qI4M
YlRVDXQmBb0euiww77kLy2u9/yaiE+qKWeyR/A+AF0dyZKtTz0ui525ETIByOE9NziXlXcPLWiDs
aSLjWHfdyQjeBMAPDVHsdIgb+26b6/1VCcQDIPTYDc1XTNGC4QMsi8aQu5/h9OWiVKaoUxoiMHZa
BXRlzs44tj3FXVSBIrXW9LNg0wkBLBwCq7kDU85Xakpi1FoDnhhwkjF2KlLmRLU3+o8+if4+STej
wqmoxwBeDyb2s5sqxh7GsgwKx68pcqMlzQ+aOrSJHU2lkWL2CngSU6CJzJ5a1vcrMcGCk/wUfkjO
K1E6nSiY7ABtX+lZpeEq2OBmEE5AVir9C8eHFkS0IgJxGs5ADu7JMPLKGvsM7VrZxk+NwtWV/EEZ
+k1sphsrUQDkkq/Ergsv5E8y59WfhQBmEDNMe0NmghmgrCII0x8u+8eF6Bgcv4jD8RhASUkelfAL
HtF6rFHwMTBUliW2AHuRb32/LGVx7z6kyA/CLIzbbupbjE21HK5UeY4EP0UZcxQz2ZoB3XXBXwPj
z9l6FbMCuGyUIAfweesaMtbR1EMtKUCXarVFeAFy8miNrmNB/zBcxDVjbt0GyI4sBnUHqwgLBGla
s6kMLw4p4qhHcy0vtPS2xHwHHku4YgjXZOsxsqEgRRCBVBGX6LVE8wAy7+OUGU7TJZh96DEfATC/
WIyTzXrqMxtjG9F3v2vBZZlg9vKYBZp5FdYd98KAhRvfL4KrMOqVjUYTQAIVNRO+K5oexfqEgRpJ
r7pQrBiLpczAmbrJ6aa8KTSGzn1MjYQvLLm1/D/6sI/qzZTchukD635f1ruF0znXblPKMMVNpKvR
LC70ry3wfuebqXqma8C9i7f0TLulF3VkILFNZu2uTCTR+hi5HRGSldfAwrsdXnNuaLIYSm5fkNNG
XR+40WMERkU7arHpxSEpvDx6RohSh0+B4TXkYSz3CN+oekfW3l5fHcpn6dJOChJSWg7zlEdAnVB9
q0CQhEDD9nP1OS+6zeVzW5Mm7ejEkzARNdba8luN/KZd7FhZZ6vp1fAPRVusDCy279aPfsFDIXGh
d9Y8hmOM5ckolaOahnbfBLdlHDoi9b/lGWq4jXbfC//GopFtidfLq51txOcXyucvkHxYniIM1QRW
G6OJYGNZvYbZ0kpzTA3+7LKoxY09W6z0+GIEVC5qhsW2kXGFmsi2oMaB8M4WeuKE6dtlacsLQxJb
RUsEUeWhUjWYwiRD/O0Y5Z4O7pRvcn93WcTygj5EzHfzzEMmgK33lQEiNLHtB9MuxORM2VF0u1g8
Xxa1fAPBWvif5czLPZM1M/zpg4Ym5PGQwklea9v62nqrd/ot/KZxoF5yF68sb2H+btYNBPjAtkb0
8QU0ShuE1kWQ2Ty2m9hFXOoVmoNx/MiZPHMzA5GDmnULlJsDO+EPR+juFbldxaF+Hz/6qqQfHyIZ
gFJALXtAuznGTeI8i6sktBFU6o1rHVE0wEzLD+EWpa08Zk9kH65UZL/GD593QbIHaq9pUWXglMfE
q3pHJVeN71Adz+b7gq01by3MgX+WJulUPlSC9/m859vCxXtk91oPTufFLr/X7ptNaJvjbs2HLCvX
TCiqI3eM+FJKYGN3yx7kpQ04bpldd/0mx5Q0XneYQu+uEc3bRl6fdBZsGFCYE023c124rfELhH37
y3q+eKXOvkQ66TAEtP/UoVusHb6z/pryzLHQCM2A4BRuL4ta1qozWdLBRlYhCg1YQA49ZMfrOa13
G982HnusrjBRxGziRNv2TXHv4sNaT8XaMqVTVvWeNyyEaMXEtD8Kp+jmcKuqtePud9hTe2WlX3OX
UKqzlUrGo4izyDIKiBsVNJQaYHLeV6aXApdKo4+c3UZAnIvKzWWpX+OfWSh6J9CIiUZEOWGqTDre
mxWE+q2wx7G+txiQRfJbDXjPlyUtmvozSfOXnNlGwyhrWlFICtCiHBXbsFNs1VwxA8tC5lkwPGmB
sip5L7QENwKJLmR6msodrGIbY8o0VP++CW7etf+KeUdLOVuLqAdlEibEDKh+KG7m34ra7flKQLd8
Nh9S5AtvDDQckgw7Jjxj/NPw2zhzA74G97YmRrrNVmFmo6bhYBDmNHu1jn4pXVa+ZCL+rXUk/CeF
+1iUdJ/TpLG4AGglSl1/2Ljh0SOrD2jzuKxs89X84otmOHqUW3SQrM16cnZAhllbPBxhoJMgJBta
MOD2jNGagVjcuTMp89/PpEQDMJ2KBHYQ0/5u2lo7PXNSJGiNVKysZ9G9cbzrcEnR5SVPnuVJCszG
2eIyE+9V3VFax09/zMOq/EYJI/fy7q1Jk8LNibYhJvqgEUPVXBEfT7+yqCO76LRmi8aPEc9HsLin
nK+1Hy1v6McypesLnjq8pAMssxofilSzo5bb2bRLdOJcXuH8Q7J+aGit5xbCTnSAz6b/7OSo2bVN
FuFqZZZvA9N6k+eRPerKRmijrQIKM7VQ/yWJd1ns0sZq6pxtoCi3E3nkpIxoILQKyt8MJ56iHfEh
0PZB+jMsRruK16ZwF5q5CPgMP8RJDizPGr1TO4gDaTdw5U4mUJVy1fPJrdE/RdE2bZ1M/IPunMuU
bl5XoNEiSSAzQHucSfdZlaAl74SwRDXvrGol+n2vzX49SNPCwAKa1WBWPh8kOmxmSo+8cXj0ZKgO
aXa1shdZYMfkqKF1jQNrwHLR4r3izRbjkrkh5j+C5bvflz5TCgju/OyoVt9j60dePJUYEVGSybVK
3A+i7McGJSFWIGNeuSDjwDwi2dUhKGjAQeMXsatmZMsUuqLd86IvbYqk3U1ZBxgvgHZPwC3T/fuM
vcbDioyl4Aid9pgQwcCd8aVruqoq5lcjZChhU9kjB/dSHfadDeiFdjO22Qk96mv85tri/TkTKhmm
LgVAwRCAa3E086cYFApm2LpFBnDnKEc/v+F0SN3E5bdCja5Q3SFiuqbaEypYNjE7NzNGF8Nzx8rP
/kkNzz5MMlwqC9qhU7EbBMnRWnnRW6/rUGz+RdEFm/WboLg200O3hge3eNCoVKB8iJLJl9J6FiPh
EoNl0xmHDD10jadbgVdnxdrylkJTlAtBOweoC4SKktNGw3+Kbj9c6q4aATWTOJPRbRrTdIyGIzrV
H2mYu6iC341TuCJ7yZOfi5ZsGO1BI8VnG9ay7hCV5R7jfCuqvLyLH6uTbEjW6yjfCxwebwZwpFOY
EIHqlvZPJuNsFyWTgaEqVY9RQXbKym5c4dW79k/koZ57rLzMyyznVn+wbN7bidN64/1l17O2yPk+
n3m8ImuCPvGxyEiA2ojHm4TVm35ca0lYdKxna5RuqIkecLOeHauF5s9pa+X3HK5HHOPWrVSvFSu9
JWurku9dwwHDOG9porl1f83YkQ1vlzduRQFlPN049ntezOGxkj8O5GY1iFz8fZQG0BwIygvY0s8H
Q2rgPVjTvITspqkw4+dd/v5Fm0kN5IVVTiywTnz+fZZ2uZnUsBEN5i16gRezFj8YxSOjhVex5Kob
6p+XJc6/+MX9nEmUdKBMmVpyHRLZuGc5nrO3peIZ+ZvfrDyQFk//TJB0+j1XAwFKMiDIWDctEKdo
Cyq5tVnTxdUYOt6TgPpB55a0f6KflJiSEgaoh3tLk2GvovwP4PJXdSzRQa6unNdSDIwJinmMAp2R
6Bf7fF60RRkqT9GsEFpeTV8szWV8u9oOuagV6IxG6ItZEU0evVZyPw3w1J9f44lbNcAPTMAHNAP/
BF4WovN+rba9uI0fAmUmxbDJiwgoEzB++c7ST1W1afLfqvWosf0/aN+ZIOnVHChWGQzlvDJwUbPG
HStgAPzUNYdPK1yJ77NusqIDPg4Ve5TsZ2jEz0eVotUnGGewXSWzQ0c9sANz0Ag02pGH7k5b7I3r
fnuKD99ufZc77etDfdW6yZWxK7eZjS13wBG4ciW+UppaCKw+vonOrvzczgP/tyKsBlDrzauyCQ7E
a67yu+SFXBdX0yl+ifbT5k6otnFbXgXuGCA4X3Gni4lKwoD1AMwXjL3LGWlRFSD45YAHBdwhPZDd
4IZuX9hoi9+g7nWLxtFduIIksNCFh2WfydQ/L3tM/K5iMz7tz2BytOPwot6Ot+pr6X5Dw6+L1jy7
csMDvcKue8aKxi0QRnwWLoVHPScx5yBNQdo/9+gu3/ijI3aK02/7W2OHZ+wxOVnbNYbrxSfI+Zql
0CjA89YvBMQq3uSWG8POD0LY3Kl/HctHemPZisuuTVd10fm4YqQWqw7nsiUr1Yxlr44E+01utO1k
P5s3w/bnPbPbLXO1g3qr3nCH7Kg72uLlod0iQo/X1GzJhJ1/ghROdRlQmZmPTwBymAYVazb3kz1s
Fef96mXb9LXYmQey4e5lA7O873PTAHr5TZTbpeMeOjrWQYd9N+0YqlUj39/a3SvZAsxrGznFVTyi
7TMunXTrgzhrJYxcihfImXT51OuEl6YF6b5ObdptdFSULy9wSQLFyC26I0xwLMnD+YWSRFDnAaBN
SexMRQLc7e1lCYtbSNF+AXBVNHl9GVTWsqSPIxUikNDX3NKDkW5+QnOufmXPhf072AePox3uWyd5
ttY2cMnBnsuW9IbWGpk0H7K56MC8DERCN0TqQFlrPPo/FgkNQesTiCflUWnWVZUoJwgirT394jZw
o27SH4EtHOMO5cDKiZzOyb8hQYLh0N2qVVqKjgC69V/xkqL0ZRSlAH/GHo+28Wt4Fdfo0ycgm0aZ
3Ea/4w+QyTnpzdvK0S69FYGJgBVTYEhgBPezJY6bLvaBU4jt1Z7NBLXw38w8duJR6M+x4Ybi0K1V
ThZ93rnI2VKc+TwzIj2aoCAStCjirvM027zJ3Oyq2AsPyA6M2NoJQIadE9vRw/AcbwL46ydUrC4v
fXb3UjgA6FGC7i/kaOdBgs+f4Vd1Gg4lumEH9oRuYp4CpGOHnKJlwUCUN9ZaZLpwwMhsM/T4A8EC
eI2SPF0frYxpwNRUy7TboXkWvXR+3OEhlKxRMS2YBAtoJKhsI99lfGGOS6Ii6qhaVw5mGbdWMf4A
9/ZKNLW4mjMR0iFmUYdQ24AIrS7tJp/cpr/pxt3lI1q4+xYCJBVYSriUAB76fESsbGMSFRAyEaRC
A7FpsRyxRQ/HZTlLqVcImlGN8GbAwI/kHwMtJbXSNpXTa4cB4SGaYTq6I74dKCCE3lvJdRE+XJa5
dEaor+HaYdATXFHS2gL0qcSiw8RQbaXbzC/2iVmt2e35NyQVx7I+ZEhh1mSELEsEZIiiclJ1g+c3
AGowbk62VeNOGBCc3LDZhsHf1/VAqA2U7nkWCA8WyeUWPCsiQHJUIIU8+f7vaHjI2z+Xt29RNYAa
ouHM0D0l5+bVIR+zsesqpykeSw4aUfLLTGJ42OfLcpb0HK3N/5UjmeUwi4w0bSAnLxxBTrQ9aWuw
KwutzASzTEAiAFXh3OUraZ9iRsngq7P2pfndFPuAQRb5czWRebyRBt4YTNOuUovsmGvhvuLkG+/H
xM2mIL2/vNr3AvIXjcFUMWB/OdpT5G3VaEZ8DS2jTpcMQWLX3Kyf+zwMbs1kKH6NNANLa9wXZooK
uyFcwEpZp1CEDE5TEaUDg5Z5+PF8lwlzSOz/Ie28duRWkm79RATozS1ZLNPeSC1zQ8jSe8+nPx91
gFEVmyhi6wfmTrM7KpORkZERK9YqyUvuBrPuDVRldT8HQzw9+ZZPa1woBmR7GvTE4ID7qMERXNlJ
D/+VLcLV9JQNqvYTfmPrUzMyTSkOIwLNVi8Vu0AN22fGMiQcuEKgCRGBoJGjx7ydS1ZeMZq2XHbh
Po/H/HfPTLFvo8Aruj68Rk9SVvJyLqVWvpHb1gw37pQVVOeMHZ1J8blQoRtYvDF7oZlGsxorUJ2C
Y+Yf2WKX0Yr9ZE3H2pRQulZuyKW++9pvsWxekRS3Azn6xIWBHkFiB0DVsuorRCrwOvfHIpfopnUb
HAUrLo0WDDwIlIfxt2W3NUFXXSw1vjHScrc9yIg8H24G49N1V1q5Xi+szAf47JYPJzNrNRErVl30
DypDMoGNTpkCs48eTicxq+OXWLQOvuGlTjH0T9fNryySM4VyCDUT8X02J4tq7osm5xYI5l0iVQdR
yO483/+Ha5BPbTIlzLgcfHGXq9QGP9ULxuWcoDUeC7HbjUAdIZMONgoFazcUQ1Z0zAD7mcx6LkLq
VEp9x/QS8c4adddqE7pTI3O4pdGVr5VP0jj5uezICdQlyJdlrtxm/ofre7oScyk+kSpxEzPzsOTR
KFH+LptijlPkS137u4KXWGVAxfv9f7OzuLaqHB48xajILRhgs/TyTtS8tygxb3prCpzrtuYPtAh4
LIY7nzESdByXAObAGwqY8HDTKqdcqLxGRWxH1r6D7cff0uRY279zW4t1qV7AW3TElmDdWKg5Bs29
6N8lhnC6vqZVO/SXSOhnWp3lmqIO9NCE0JETBrL5PMqkzppQS78tvQ3sSdeyj9ftraQycELSXCSO
EqiXEyPZEIdTOl8aVurThu9f0n6rULZynC9MzEs+iyZdo5bWiJ4iEkMMGynS3pJGps7rfwiNMy8N
/0NTlFB+acYPTSkf5+OsVt8rppcH7zUSfl3frRXOM/7wmZGFGzB1pzHvxnahXj33XaArGeLPmXiS
pI9KctDMAewGkKiHFhKgLd9YKcNgnDePCEkNpGOLFU6BkGRxwgonvbYN9dgj4db7DzHF0GBXd8HG
hbh2C0jk1TAMyeI833y5oWlXCs1YzS5f9CcvUg/SMHwFU3Gb+92dCruaOKknTdmS/lnzSBnGDTjN
oVMhXF6aLTxfiPWaVUZDfWjk/AFO0f8e+bnf/ppYJIZJF6WKPruKJobPnZi+MKLHLNq0u+4ta47P
15KITuRjjKRcroTaVTwZbUYsrCwA19NeLiZUfMcNM8aaX/ACIhvQVEACyx0rDSqysppXThtIZY4k
Gh/MrjytZ141rrR9F2j63uzK4dVsi+6hSJJ4l8ilx/9J4EfaochYpm2IQS0zFNqUht0MVb4TtUoY
nYoxlidNSJR7gQKom0xycShqhnlsTxSHO68zphs18tA1nOQIhgXLKz81nsUUViCl0I/pTXjX19X0
bKl98aGOrOmmA+u265piMm3qJkZg51PDf6oURRQ5PBdSzYYnufuhaInfuQxf5kchkyx0wwLvyexh
AnXgPe73iTpAJVeo3UEpByuy5dqkvRsET1WnhHtRKr2TkHmnOBfkkyForlRMyj4r0Gua+sICpmaN
j5YsTgdVE9Q7reS1ZQdJm6euksXMbQw6lDbpoCrHcaqnt7HSpdTujYhZX1iFmORhBsOzxyhLXFML
ug9DMkiHtkzjL4IfSgzRhjqYI8ED+HTdsVYzinkAaS76azOZ3qVnyZZQZ4nBw3AmNL0LvbJ4aPuq
OTGAo74BbfMiu8raYVcIg/mA6GuU2QPY5Y1jtHZXQTtHHYbUAgLIRTCExTUSM4Ff0USinY+do/av
iumO9UY+uHbPn9tZRAQ2UBmHWdHEhMPEmPY5s9MTdfj+tevMja3dWtMiNGSgDLsmJn8RmT1tLXSv
GY5P3fK/K7UAhpOYCtV5bAEcW3zB1rcaBZEIntlNsMuzXaXdF6ppG9LxP7uKxJXFw1QG1AiWfbEg
qwszTWyrwinoljXBhIdnnOKvgZKh9fW1T8k7d6kqbQSl97Hv0uz872eXflxnqVxFmG213i3SD8o4
HpJ2w8j82y8TQBj75zBuQg8OFG5hpEmUeuxE6Dc6LaCKEDzGfrvhe1smFsmLlFeM9fqYSFMa+qMX
PPPy2pgsXdkrZiIlaD55jsycgpd7VZWi0SHPAl2JWLxktfDN9xIKZcXzdVd4f5+zW2dmFse1DZNK
b0zM0Gcokse8ARYZ3iM/nliu0n1K9cN1e++P7WyPJVngBQHtL75OWtJ3TzV4hpoRF8+bx2gy3GZQ
b+TG2xmov/2DOcRtqJ4ypEN5+HIXo0kv9VaCOsODP0+aElcr9Z1c0O5Qgvviv+diLO7M2sIvym4Y
BCJq4VTC44QkgSz/rOP7RtsHcG5mWxOna59OQiB8Rv9ZBvjLy7WpcShPQT9hTf+lGq5lHIb+dxJ9
sHpvV7Y/B3Vr7mbt2/Fc1WHrosT+LjypygATok9VKAwHV8u9Agp8dbDbOKLVbIxAxNrv1z/f2iEA
RG7BVAwFLcDryyVSz8+t3Chg1cwZw0DvFKL6gwwxxUaAX1vZ3DCZ8SU6w1wLO+Y4GiFnLXOyGunz
29qD4X9wgwqGhi0Y2rqp/1FvLee5qcZJ2pQwD29Un3ORKzL8OOqBXXjHcYuBb83U+SzvHMbOwm0O
KZ7UW4y9qk1jy8NRan9W6rMW/tA19/p3en9BgoIE7AyZGORqdCouLbVR2xhSzhhvB2NaJDY7JTzq
km15b9ftvE9qL+0sVhTVVmsoEitS5rH0Nv5hFqieStE+TqwvGnKkRRxvxPotkwvXMLJei6YJkzOH
f+XtguClHn0HztNY+xF0/x2CP6+QKheAMdkE4Xy5k6NfmwlpLCQGdCoS8nJourvwWYu3+L1WnYNX
HHp9ijTXhi8NTV43ymKKoTr5pKX3QrKv0BvPLLeEH+UfvtqZqcUdk0EsYwwKpkZmd2PZltPWTZIb
H64PoInaFunm2u0Mq8b/VrZwRiVUAtGq5i0Uy30ceLd+328lUKtecWZj4Yjo9qWh2s67N37N9JdR
cvJgsM3xpoluqmkf98hN2Ix/N9FRQJZWDz/21ovePI16DD75w/X9Xek34DRnv2bho5Dp57mo8muq
zmmrW6gObSQT7A7wQ6HfWkQzWdyTrQaZ225OCM6Ossy3KD0wF8lbc1bluXQkQS9j36zHjCtW/hIr
MKeU/YNAYcqU4sPIjMqUMQtWfc2shBkWL936FKv26SZq8OXRcln2pjoII/tQmDKnBcumKB3v18TO
2o+i3tlqqhwFld5f6n1T9eqzKm5EhxWw1Vx8oZALyelcQV2sPldmsUOT1Xf9pz7Td55c7UYzdUgP
3zyLJ2aOODeS5OY4uL4Wf4aNyPX05q5KNyf81oLw+U9ZHDPUBpQhadiIzLILP3BF6xdJjlhuiZGv
DH1crnlxwBozFYuwx1DJNFQSvylMXomFXecf9K7dCdmhZGRpfhAHWy3+lTfubBpwJjUNoD9LNKgl
NnFH4TCDPQa51QI+3Z+K+JxKbjRobhw9BuND+g8E9Rc251hwdo1OKierLbFZQkxVunI4KslOj9Ie
Vt1w+NJZRf9y/UCvxea/q6QAe2mxmypUECQsjkPr5F7JzW3cZ+FralHamLZKRavhYy4gQqWtqDSX
FzW9BMXfvBVF/nZg2sHkiOKzpiZ2YXww9e+Q/yc5kEr1c+49ttnG6V332f+ZXtL2MsipxSj1IndS
DvteZiSq3aUKw/PxVowUV8KUKeM9SLqgH7dktjIqZkYrGUtpjhbwnkEK2b9He9qWlJsk2hmwEnQb
i1s/KGc2F55jTEhESTk2dTLW2NgnItwzULxGe0G71cvDhIazsAulb9fdZ6UgzTrP7C4+aNiZQptI
2M3SzqmsU9U8aDqB0Gn6O6jhRaHZ8ZgM8n0r257+3wdasQ7cCriKQp6rLG4jiVo4FOaUgpO8+tj2
0XPY904fvCXC1t0z/6Xl1XNuafaus5PZDF0iDj2Wci/ZFUGwU2gTF0LmXt/PNSelWsKOKrM267Lm
nUvdAAOwxIIEdFSMiLKk6RNzMlX9Gktbulir1iBin+cFUNZcOqpZVqkk0NyEpWjuVyhQzQdOKpTP
nto61xe2tn/WmamFfyqFnPjoAsK+I6TVDi1d6AbNSN8Vuna4bmmFsgFmrjNTC5c0tCzouhRTeXZb
y19l60mnPIlkVPEjnnbK9FWU3iTvKHef8vhFYjxzi6hjLaae/YA/COYzX4GAT6+hEyRNyH+m6Y1o
3kkqpDXyUxpuIQ/nbVu65bmpZfguPbW2kNpw0Eb9HQdvcRbaud5ReMVxoLbvUDK9vr1rFv9eGLzP
Lw9CMIWoL84Xhqb+jITbuLAFuDqDAS2y+yjZOuBrbvPXGvH00ponlWNE14InbJbfhDmCjzX8xNav
62taswLSiBNHh1wDMXZpRYh0Ia6Z7nSCTDshvfCxLYJd2f2DzA0yBH/NLLImxQzgHFMxQxZ52+Tq
fsJEOGhHiM83UPIrXwnJO5V5BcgRgOQsVxQy8/XHBQ2rp2niqdauF1M61b7xFMHIu9OqAe6Srq42
8omVFxEdO5rEwGKojC7LG1nR6kGaBrmj5aHworSp4aRgmDeccHayhdtDskblGggK8+nLcYypVBic
UXgYp+Wb3u7E8A6ms9r7aoKQZiQZRbyNVsMKCp5WpKJTBGO+ilng2YXOznSZdzALljNHNZIrSufb
SdvZ7WTQZdEcq9eOljy5ITjtWBNOSgsu1fBdrQkPzUQvxO9huOt3nt67k258EHMJXFEC9Xi8j2gm
FJnlxFC4XPfqFR9AK0WFKW7WFOGOvvzJU0w9IRFgIBcM0mQAVaaLMGHZfvGVEsbzDWtr+bJOeRck
BJ1TCJ4WgQE+RL+WZ3NG+lj533ultHv5Tdeejeko9W7fotC1camsBFrSc+aaKNpRllzC86FQhbtg
gs470Zpd6EPdwng/1K3mXamGG+tbuStxAOBN6tzkpP50uZvj0CcQurK8rK53hUe+GqGD+DNtnv/z
V2OehmkHpq1pni2fHUaXCbDUsaahOWjyYHvBye8/yDEvzOZoEOn/b+ZmJzrz61yqJtGYt3DwP+ZA
VyXrIeoeA+9jNo/A/cujitWBqgI8hkzJUnMwLUrG9kRGBf1+l5gA+xo7Ao1Xy6hK2LV2mvL7fKtb
ufblDD4bZ4Cj8K694cutNgRJD+yo2jVK4mTJr2z80Itbkmwr3kjJ+q+dRXj3UwtxA4mgpJnHzrqB
uom2ri1NTlJsEr/P795lAOSeovvEPDhv1KU3+kNVqSG2DOlpUJ+EwZEpR8ih0zadrVl7Q9rlxb4y
mZFXDuYWleLaWcc5MU1zZe6vzFtx5jU0zSM9HYc/TtqIP+Lyq6Ht5e5YWMhmpvbUHpJh41zM0erd
is9MLhyVTveQ1TpfUZ8x3ZP1CunCxt21+gHPTCwiWKArY691mBDK4K7Uqr3gl/uuCu+1OPnUBeMG
0nntzXa+i8tBSVlnWNds2EWj7H9WwaORIK0a+I9UFG8KpX0VfHNvUfZt1M/MDdvXD/7aU/zC+iJF
sHKrGQu4zZygPsWlW0YD7OYvQvvT89/M4C4vXiXTrZQPhbrRblx7M15YXhyUUJDlbDSxXJXRTqh0
e2qCO02PHis9/1gXyX7sX9BYOwh+t4uj11F5k7pkI5xvbv58ws5cOFZ0VHQLNj8ufybeMyznu8Zy
0uixK52kO2UTr/VP9Ra122os0mmFE4poGS8Tl3H0xSFTsRpIu6x5Neonr99H2YYjr9z8mvHXynIy
NI68Nhc0rGgqGVJLrrKfpKOsfZVru+o/XHeklVyMspGIEiU4I1iLFqcmNMaMETNCkWWi8RQf9OJt
tITXSswYLdbvIk22E20L07phdFnMYVJc+v+iqkgs591HzbuNKDlApSaLd4Yf2nq24S8rT4SZrBuO
KXCK5NWL06KDsvKh5ybjlJ6LRoYQ9zRuIt5WvOPCyOJgaKmeeo2CkWl4aqjjJJZTjmS0W3nT1mIW
vh8KQBWNYrZjfg/gUKxHz96cWVqJpqSfAPeoYvwR7rs8YFkJnDmmVedoiaMmb/DtmpM7ahHl2q2P
s7pvZ5nuYj2WDKQ/FzFVeI9T96vsXw3/VWs23lRrPmdwbiGMJ4lg1udyQSZsPrJnkirlIO3z+GRJ
H4P8szkMttb8mBS3ImZcP1pr6yJ1NwFt6zTO/owdnsWosdQTP+qxyBCeLUBzKagI2E7eDqj2/83U
smZBzyEGgDabEnonHuKjIH9S0CydcnOrj7G+Kp5Qljrjj5YMZ8i+e8Xga9BFNFXyM0NK87tZSMLn
Xq6L1xqtds0d88S/RUoiuUumybjTR2TND6DRglPcGnlum0OoNk9dlkqtG05B2e1EJe02Mo6VKAoN
ugx8Es582k2LwFZoTFQi8gFHP+1YCsZ6/aQB9E7QcVJyqFWrL9e/9tqBAUI5ywSSparW4vT7OuDI
osZe0CAqk7uK9WUggdTFJzP8B+EVwAeooACtZcxv+coQ1CpvlXltU1lJnwY5GF3ZKO4rv5h24Dwe
4iQPjyz+6/Ulrj2jDUSFZ9liHjfvXmxBoqCdF/mFo0Eq9WZm4vgC5bv0OoWDLDlKlzRfel2Jj7Ka
ar9LrbW+Ie3XuXXXMsU30PM5qVmtfebB4sNN16TmixnFGhP4udr3O73sgsCtOj3+pAXCsEt1pd5F
0Cf/9ieFeockMa23cXDWcmGDYRioWpk0BDyySMW9goHNPp5hTfkXWb2XrWSn6c+F/CzL0CEMN7Xq
0pK8vo8rrnlhcz5iZ4FBNaaqU02gTQL8JBMsZOn4ba6rakmCxAo4O9r51y2udR8vTC5S/mHs/cFQ
Z5OVK+b7XD2k02HuwUoGLMSNHRYny4cgdtdAeVE8F9bb9R+wvuRZ25KpG9LHxWnksgUZmSAVJIr3
Rb6rmxezoS83ufSiM5zhurW1HJXl/s/cMsGIwzIuPImvGomBo8jH3HoYu1NbOkIKZxOCN57+VohH
KpOp/hMmqS37Kz2kC/uLyyZH7hK9QJbrT6coRsDnU4EajeiM4cdAOQ7a58KPNmyuZAUXJuVLp+pD
8lV53mFZfg66X+LExOLv69u6coVemFhc1EXXJdMgsqsBoog5+AxR2mu0V630mE7QRvFl3esWV4Kq
CeaQqIriG5NHi30UesnqJwXk2mTdQN0pAti1qu+hdzA2v9maKd7/cB0gfQbVwcJDrSpVvdHvGQoX
voKo1SZQGrGroCsDNN25vqyVOxQVOwbxEERGOP0dIK/RmKepB7CNKV3M7I7c1I2iH90W+8dadGMQ
iLcEsY20Z8kpJXWiDgucBBVpqxnUTgwVNRc1UeF5qRndtsdalAN7sMTsThdMNK3SqO2THcQ86UYJ
ds09kZ2mrkzZiNmMRQDq/MAzszHCd8rsIffzuyRTUCfZotJc+Ypo3gMYBWBBrPkTGM5CK1KOZiNN
cUEj1U4QhxLlVxqnVvxd6Tfyi7XDIFEIg3rjz9Ts4jB0WRbkajirBJY2sqrFGNlifVMNdOCGQ5oH
Jy6+616z9uilVsocHqLPTFgvEYGmUFVFKTGOrIm/xfhASmtLbWgnqdMN8T62vuT5m6+8RdnGbNSf
TuKienNueCn6MhRtLDYKhlUB5UFEgGphF1lPmvdNTjq77Pehd2OVB206hrDaqE+V8Tn0v0z5Q72l
R7p6kZ3twTIiDM2Ydq3OTxEEBnBw3l4CSJTuNPFbZMDgUR3l9I7hduSKfQh+wfNmwz9EWl7KjEhT
SqZHsghKhuIh1qYA6vaQa4+0xyDQbTH/svGx164QcH36LO5JDrIk/pKNRk49fUan041gWkX+5qUH
c3bkah+NN1XUwTHcbixt5fhcxIv5Gj87PnXSqGKniAXzg8NzPf3Iw88NaIcxpt87bX3L1SgIGyYH
Fk1f8KeXxmDo8Cs0VkEGTXVue4ag7nQp+5xbxmeB8ZT/HnM5rYxSoW2FZvpSR0sMUfk2c8h+BjP9
ZBZNd5RDs0LVr4CJxBur0/XvtxLvLPJztLQIQ5q8rLEGfheapQUEWowYVGrLGDSXJDPv16hbg6wr
+8guznoyGrQf1vJFFjLmZAViVTqSUhyCKnOzrjsNoXFs2q0pyZUyLjANBIFn7CmUsvOqz/wDZj2a
jjWmzKg5psZwCIwtyva1jQNdTeOT6xGm4IVXeIEglrqSlU7U8Ezu/PqnEQgtqsPGr+tfaO1yRN5V
n6lSkJRmDPhyMSVloqKo+hI8D8hnsb0FJOJanXcqROMAKcNDLJc3UlzsJc/8ed32+8uDhykSawxk
Qhnwrg1fWgrMDjkJgNgqD0JiulL+xRpeDPlNhsLV1lpynHKL2H/t/mAknhFXiI7wl+Vbh+ZGGwXG
VDqyN7qNN7l5k5yktNvrZXXf6wFPgNpOBWWXptohG4Noowq3El1mz6GTAwZVUZYpVtVmjVIqYukU
vY56M8QOjtJ3D3RDAleNhBSZgVZyr+/0mjud2Vy+BBDS5SR0UknOugMT/lUkMcgSWBaum1k7gwYr
+qPny3TAInCmjOAIhifPEw/WQeyHH6WkHbWpOkL/sr9uavUzIj8xzy3No7VL3E9YWYk6aXSB8152
MjCcaqfufCCl6PPsYhE8bVvu0u4t5sHRdf7h/2h+sVRzAHbnl5iv28Fw05SOnxrCoFeogHRCZj65
QR4HXxjtMvK/G1p055nV940fsXI7MhekwPIAJIMC9iJKMIw0gY3QSgdBuiddi3oKOsOe6dFv0ijf
RJ5yaEGMt4Hl28Ssjff72sdmemHWLQYMyXTcZeDIoPkwK8uA9ETV7/t6eCn86UXwYTGcrC/XF7rm
vmem/sSws4A7joUJKMjEVFMgfDdm6WPU6YGjV+oWBGAttpt0A+mTs69QL12uSh4bU2GogBuLPjzp
zZde1X5cX80fRfJFIknLkbccOFld5kl3aSNttHAaY7mg23Aq1Z1Y3k7jzzY+JoliZ/XnoNFvdf/j
WJy84bWUfkYWwjnJvVDsUySSsoM6gmp1C/+gFfteOV3/ce+/qowEN+8y9MW1mQXn8rfVg+areYcs
n4TGvTTZLZQGo/wjsl7+wQ4MmFBp0HQhPbi0M1id0tE6Q/U7QbyW2n3U0+NRblREFP/BEksi6KMx
Li3xlQHDtV4fJkg6TZndTC+Ia4/e45B+u27mveOgmPenrD7359HtvlyQNWhqb3q8uZo+0R3G/hGE
9bwtvcG1z8NJoIIvAbF894CsWwHOsYDiQ1cMyS0vVuE+r2Rm9ACM+mNfb7QL3h+8uXRMJ4ohr7mk
u/hKEqxMw8RktFMZHklbe9Baw9HzLa35tb2DFY50FHgST/TF3gVFo8RJRl1umBWEfsrJ5+vfZg7G
lweOZTAYylpmEYQlxsaIA7hiUgYNU22nMHSfQj0X3MKDZkfqSW1/Xbe2vpq/1uZ/P4tWkuSFShJj
Lew1d4LhRE+M3XUT8yl8t6D/ZU7vIIVKYpa61lCm6YVj3e4D7TBCCTmkh1AHPsFruNiaElrxBFkB
oQR1AI8HtEguF2XC3G91g0KFuC5ta9oLk7iL1a1bdcUK8CTGQ6CimdtFC3/zhj4f/Za0N9HSnZ4P
jmEKVA8jRx6jT2Okf+jyN3gUdrH3zITLj1EsbhkWgRFsV6Imf32PV8AFrPjsx8iXS657ijXenINb
1rMwEXEb1/fDXcxtZDfmp6zNbztAB9YkuEl/PwzjRkRZ2QwehJQ5uIeYFFxO6kDspQZRPkDM6psf
eLf5jtxCpBrXyVYy9T4llVXQbkDsDMuUSSkuV5oXUhjSloPkbVRh+RQaHGgSn0rD/6Hp7WNcxsYG
n9MKCSbvQlXVQD6q9NCWR16yqszsDbiUsjv562Sbu9D98SXaUYN3YyfYV65sM311/Njbmv28Nb+6
oswBWRWys9Ar0B7D3y4XrJpCoMn9TD442nVl+w/Z04TZneb69+jWvymowByCh/TDMbaFrcx19pvF
4YU9n7HPuQAI9+Zit33SfkHJQQDJ98WdYps35il2PuWf81O834LrrjkxIFo4JDkPPPH+5CJnwWhQ
vFYNG/ZZeIVk+wg65EBxDlZtoOXHaOO62LS2CH1BYviTbrG00tVv/BvBDh6TXQiU4fGLepttvaRW
3q4cjLPFzSfobHGGlZSS1LG48bnaFdTg7ME2kp1xiOwt0MtKM+XS1nwzn9nSpYij+oci86Z1vw+3
8aH9XH6m5oWDDI9badjKAMCluYWHSmpLA2leWvMZgZpvxi1aNTc5L3S7sP3X5lB9fN7imFphJb+0
uXjTZMBweynHpvmcHmFDgoR8dII7y94rqV3CWK3uh8MXJuX22eFtI9jOheJ3hwI4EQUw3jLvGIt6
CHfqscK29MP6GX/be/ey08DPTXVguslPm59zJeRBGfLX3sJTtbAV42L+nOo9T+5HpraciL0uHf8w
+bb8CJLKSe5NZ0t7Z+XmvrC7cNmmHy2GU7DbOsXejOzvL9qBsfZ/XB8tf4RimDRfRjgENYtAsuBA
q2/kQ/srvVfgHBdsJKacyu2+hadvwU17O252kud9e/8d/9pd+JCVKQp60VCfVp/jb1QZUFS+g0vM
lZzBRVX24/PWUM6qQdANEgNAIAGWvQ6tUbRMnh2nF6Y7ULu3TbalOqmsRuwzGwtn6SaIo7OQ62J0
VMe6q91H6TQ6jy+fvZ23H3a+bTzIp/vw4y/YTb70O3hU9ofgNtypD9aHj1tE+itpARQWDFYxP0zR
bFmw60MtNCNZ5qTkH4rxJckO45b3rLwyKPuR7SFWBH/Y8hE4aWZcerFWOfBV7AY4bpAmU717v9u6
ClcNATugZjuzey0rqUIeSXmcqZDzBqgRhMfJlr+otvYMw0Pe2/UO6kPb2E1PrbjxKFy9OkgxeenC
PUujc3EOA7Vsy3oEPz3sO/NYPPmkHa7+KBxCcWORq2s8szT/+9nFEUKCJKUDlkq3U53cMW0mJa5H
z1UTANVmdLjCqMwcXM9NtEmHXBLfq+w+BmJie8qxDE/mVuayagZCE16CDEkYy1yiyihYQ4NQoVVy
p2cvcnmcQmfcmnFdvYaoKHGaYdmaOdkvVxObqVp7hs7V92PY9cgWxAfD9W39ZN4FiT25zU1gP/R2
fvTujdPW0NHa6eLdAQW2SHXGWkqyWmNQDKWBRxpmC/2AeWwbax/2W5p364v8a2epyZpOEqDWATvj
DX27TnEK0HGOdCBGvvQHy500OxBcVukGEMo5FtimXbeFlvjTXFpGa/jP9LmWIM+UMZdb3WZhIMU5
jqPf19/MF59H113omrvxh7GvjsE3ZbKVr5XrfxCP8B39CIFy/4vr8uKYUfiweBiLXxD7agpwi1+Q
Tqd+eDY8VHA01wRw8A9H5MzOIoSPaWmOeYAdL1X2QVvTadM/tlGaQbq20Sheu+Lpa/xvSYvQEsaa
Epktpkahutclb99r1i4vc0eWurdK/5FUxb6QNh5Uq/npudXFqRGaTJm6CqsTcOIKYRX51yjZZcl7
MYfo8pQHLm2FppEZ4jzJtXt9e1duYfCdyG8wPTI3phdvmoqcP4syD0eCFQUAMINs//0DwpeBPgRM
qxS/lpw5Ke0n3k20uzMpsEfw9saXKHnd5Jtc20cqUeh8zBfDPH54eSQK2QdS0Ya1kya2tC8e1ZO3
1+7Fn43bueA2wMbtrm/d2lV0YXHx5Qx5bK06wyJDjju85Kl/smq7ZQ+PlbKxi2vf6Xx1i2dFN2sH
5rOtsGwYsXd66nrXl7MSQC9Ws0gA5a6emtTHQmGdtDqxhZohga0tm91pEbcujCyqUWkx6G1lBbUj
HvTnYNe6zGAkbr97HQ/Gz+vrWf88CjRT4D1nv1hEqCmtE7HKI7TGfvBVBHtKbS6iwa4O+v30ZcOY
vLYwUjuucl7sUL9det8QgnXwtQSVoIP1KLrTrbe3HPjXom9gzg+b416r7nBmbuF6pVIovZZmaOd0
yq4GTCGZW59qpfZKnvp3RQuPiz01m8CPIT9U7vpn9YCcbAR3ki0dzB16yY2rPM9PksLO78Lf2oeN
/dxa4MIbB78v9SnDOsQgc2np4Xu3Fx0YUHfia/4T2vJf1w2uPCsvVrtwTGFoxaEs2NDeegoTFykN
WWE60LMzZQPMumYJggDgFRrDc9TQLj1FGQaivZij4pXeVg2NbEqgP/Nw13jH60v6gxFfHrZzSwuf
lAW5nAQZS/p9JNj9jX7Q3MenR7Gwi+Ng+4fEvgEE2dqe2241lFe6vBBTna1y4aBTVRlyY2E7f+5s
GNIc7zE+dO7v1rC3YIJrjnpuauGo0DLJSR8UtaN+ze6Cx+Yo3AvP9cZmbn21hT82bRqEVc56LG6x
XrJTeHJLgMAA1rcAWmvJHXtnzKwY83NxiYhpwE6FUlzOC5r2tdP41KqY7XaHU3X8Euzzz9a9/CF4
GW8jigTx93jcSO3WalgXP2CxWDCOdWX1/AATmmS/+lzmD7pgj/kPlI2zlEbZD1X9MdUPNHEVDSFi
+a01N24jef2r/t2ExYGs0qkF2Dlvwn10Gp/1g3RrHoZb/ST+TE+QX7nwS9iD6+2lm8oO98YBAoXD
8GjZb8ZJd6+fpLVgdPZB9Lmdf/ZMK9OqFceR3zIxMtzpz2q+AS/9U9V5d1RnMCYyS/Nk68KH4yos
p1CsaqejLEEKc0jt9iEgh/EDqqLqMdy1x+lJ3BTYWyv8QmP41/DiU2eCpBn1gOEJteWTyFtXdCaO
aznH+LCwt3SW53N/baGLzyqIeRZXKfYaSbZ7OheVZ8tSxdN645vNf+iKoSXo0xTGuo1Nvpk4Mqfs
1N6tGt7MvWr61Jq6V4If131kBdpJxPu7k8uWK1CvKOpyVvbVv6lL+xc3CKd2ckh6dyLKfeZWnNha
4ZySnHllngtS5+ussI2OWbGrVPo++1RzJMEu0t/Glrn5tri2oYt0yoTuX9Oa2VNauxFhuvvuN08b
e/geF3O5h4u7UUPWrNUkbER3otP+8j4kt8LXyNYflH9oi158rcXdWDdKrTYSm9egVTS8pdJDsgl4
3vB1Y3EHJrra+P9/x/bgqR35JtulByA9DR4Rn+p9ZfdH+ZP6cn0T/1Rz3n+oeZQcAA+aPosPpZVJ
3OgGS7Ne9RvjVvlkUT2u7aeOWoxqi/vC+UTkdBJKu+JR3Elf/qHcxN7+/QGLr9iXURxmIV9RmkkS
71rfDVBnjTYO+GpQpgUowsDCjNwftdQz92cAwBAmaoHOAAE7Txfb2pyDmXfq3U7ONBisBs7XJfwg
sIZEbE0Woh/oiznRzwDI+kP4JOwSNzn0J393/dOtZ01nBhc710Zm5AUWBjUSDHvs7U9fZLt+HY/5
cYu8ad1NzmwtT0BJKa9CTNDJXRF+Nrd1Y1t0Bls9NXTsbd1m0PTJe/pR/D/SvmxJbhzJ9lfG6p09
3EGOTfUDg7FkRu6rlC80lZTFBSQIEty//h5md5cYSN7ALV2zLusqS6WccDgcDl/OeYi3DYpX9Mra
6Ko4cWUTAVkN/FfUATCM8JFtW2wipXWUVyYIrl0UrwOUXcPOAZXkebWuhBIYHgH4HlCPkYmQk2U2
oaBY8G2UiKo61Nx9Tb+gJXfqioC3t4lqHnhtSWiOQkEetGifR0Wq3HanOkEjmpvr06PbVM8jtlRV
sF15SM8cUUAgAqo9himle7RvkmrCg2YGVQqjIcxFEcZuIPQXs/nSgJJhuMIc3OT/eV6TK3fAUqp8
qRYT7UzRWig0lj947ryatbkFZ9OXvy0FrVI/NSjFJEARYWWZo0GxT0HbapuXjWvjLeYezotZMYt5
YtKYW7XnHmpJhVUWGRnrEqgQmcxd1REMh1CfB4yVt1Xtew+RXVVPaV45CsErFzca5xDkoWsDrRsy
aWPTJVHrYWJyk+oXsbdt/bsa4W12XdE30QAq+P78OleeLifipGvIjrF8Ys/4WyDgavUt1fg2A/kC
FaEBMz0vbMX6ffCUo+8MlomOI8mrgKuOt8Vcvpyqi66g4PZVtfes3KonEqTlkDx3eNKAmafmmP9k
dCOyB7u4LsUQnl/Kmt6WS5Fi8qTHnUAzCHL1e9GXAYv5dqqORllgxPUX0twnq5Jsnrs1EG1Aqr5p
J626LRI6bFutiu/55N/rrDEVa1s7yKgvI78DZrb5Bj2NHceitfnoQFzn37Piok5/KAsEa+pDZhku
EJjN6DuT1NdVdChGEzxDorxLnaBvDz3FqPBjpwIcWeFFR0PQQpKkuyFKDIz3QNK4j/bFn9OuOf4x
oShDts6D/Rjf8b0dI+t33jrWvMdSqKTByIwwY04h1MsOBdyTfke60G7DMXlIVFwza4fqpywkGE93
y2u7DON6kNUMj2l/6anq5GsPfvj1OcSZUQgxfXgqIGZkAnsm/Pp0W3obfVtc9/sBgaqD1xIufnAp
BX6IB0ylKH6smeFSrvSEGeNkQEIYctO4xvjEawZ8U137JSF/XZXyw6wvc58XPa5KPDf3FPgfRV5e
Wp6KhWDNIIA8OLeHozkcgzmnOox8BhxyG2sh+p9lfuiLhwk0g10dTCiI63+ct75Vm19Kk7ygmdhG
Q1NIw1CH+za21DlSkmsNOmWjCZAdlrUdYJ13jRE7G4eJ8opg+PACs0Jiq4N5fTPknbhIssIN+7rx
tg3lP85/4lqlFM3ymNydGWoAXCgZVVpabCxcUN9N1Nx2zWuLx3ebmGEGmsK++m4SP6i6djNwjH7p
3XVjjXbQV8h4tV8n7y5P6gvNsC9RNbp19Cjkfh2c/8BVHS4/ULI+0HzNY6P4QPd62GV3/T4+gA1o
bzeb6GA/FhfsEoPi2R4TTecFrx3npVzpgdYnBPxjGWoCJX1t7OviFxKiJ4qf5S+C6tLObGrbcBcm
TpWFnsGmC0lymWV3UYdpd0XVdO0ML1cj2T3jnZaZmBUCWtDbWM958xdHhb+wducvZUjW7rbe1Fcc
GgN9Q0afLORvaGiOD+f3Za1ihGEDIJZivMzHkIe0MTHvi6H44Bg0X/qYACLsoga6RImMorN3xaWN
doJKlfRYW9tSqLRbwrcqL3JmhsjuOadPTo7X8rUSQmrVxcO1z3zE4H/B1N6pUdjoZUnHyUDYFOLg
TeGt2Kdki93a8usI6EiB3wf2g6psuWYcBJHuzL2E15t8saSk7QrTg3H0nG7TChU40b1MzFXUVNZ8
71KMdJK9wot0WsE+kmY/lSHOdNBNE3D7x0DXwfVqqfK1K4kqfylQshTgxole/zDIsdkMFENsGBTD
Y+KqsLKwL3WyycHIVQIgxa9U+LMqnUoGYyYY4LZ06DTS79P2K2339aBAB1yL3ZbLk4xFM0k56RTG
kg75Q+eZweixvSD1Uw1YAHQSKbZvLXd6ok7pfKNBoPEikB1vrMfQvgTlzRfLD6NHsZs24wXqizsx
hufP+qwkKbUD0FaQvGMOEbOk8m2NwpiTiggS3Vx7H7P+D5bbChGfn3mwemtOORgAiUVq//TETYZP
26pHrZtqV3YzhtZIv6Ar+jnT8jcjMjZpjp7gJlM8wFacGMTCgYGkw0Tx6KMquPD+Dm31irsoe/P6
AFR1auw7f2ebG8CAuKhVVZjHR27pvDY/myRkYrDa0jGZayH6OV2q3Y4aM+eyvm89OGZYF8BHUnVW
r8pArxx2Cx1PAI46lQEOxMkvOdaVu/GxMvdmxw+cv59fyEoGDitZSJEOV9Z4dd70kJICAt8Y0c4I
nPYqGm6F7W2MCMQzRV2HdtcjbHKeMAyhCiM/H73TD5COXsQNFy9MtGE0dPzioot6mNLvmsUPelsF
NVCHzi/48+1zKk4yUqcwur6LsF6W7JvuJR1em/Slaw/npazMbcxiLIybgp54Rv843byoSAqjbOlc
PKA/Jt37UZjj1iE0sER81dnfuwpFPHAoBK2VXtpoIvMKmgasEn3gu0kW8OEH94zrFCMJdsMU3vzz
7XHycZ70vGIENK1xBJX3U1Clx8nbtwCUdFCF0LMQDGbndbFux6jywSMAy1vuhzL9RkTxrArmjRj3
MsJaKwEspkI9WfU+7k8xkiEPttEjCoCYrHtt+G07ZeFo77zc24yYH5lA76BqJVMtTLLcsTGiKukg
US+mTePFOciAwBfVDCp+PpUgyWbjxOW2IWYNkmfq3KBXJOCZKnJZ1R9GjGZ6V1ALywlWvO15agg0
oESgcxL0tc9u4jELRfRtSvcOmrCE+/cRRWCH6J8FR40LjieZDifnbetGc79G6uy8ytv3Ym/712Or
mhpb1R8S4nNjPKC8ZDh52iAtU1LIccS4AY11MhlINtHteTtfdWQLKdIuFZ4NojU0YW0qh18xMea7
uNG+kgahpmm292Wcqcr0K2HETAHtAEMEIFgYAJREDo1Pe7fEqJ2nfW/aoCJXie0HXgTgNAPI1FZQ
k0e3DvVsayZvcQXszJIoIqdZxGlccfoJ0k04WEmeZwk+gVRFqCfOjtoPoz3c1e3fzurOxvJzEyVB
pRWZ3TA3LLlttCvbr5WDbhA9vWBtfGlm9OL8Zq66yIW0+eeLoMIz7cxt0Ray6Sq8yp+z+tLpk/up
7sFtmgWWl+7Py1MZj3RfsGLqsrSGvFwMu4JYdxys77aXb9MmuxlK5czo2rYttClfAV5j5oSA4gNw
RXj9D0+1+LMiPwYVyPd6ePFTj56UE0GUmwKBFnIa33wTNEuCOmPa0Yj7K7Mo0CmFfNiWeUBP1jla
jBqz+1NruIqcQbVa6bkkUjhmY15tre1ML+TE3LR4qgxE1SK7uo1oloeTQWIRoPunZoPUVGGCxUxs
Eo40x26g9wangVu/Jqpmt1UDXUiSrrteIz6bANK+8c2XRoced6ydGfnA2uoFca+CaFzV4Dy2BALk
OeEn3XW21ucNEPCxj+DzYqkBGDykSyfz2s17RfpSJWr++eLoZTXlOsfY6YYT49Ez+68ZiBZZ717U
jq8IBlcvhsWqJJ8iMo0xs4ES7di/B80RxjLbPwD1qVjR+ilYyJG8SWbHLPro2GPx1gLYGVA0zYSH
DLZR5U+NBw7Su8nbgFfjvFdRqVLyKpQkQ1vWUGVl2UFjgrMxr9uA9mXYM0dVp1rJuMBD4zJ350G+
+V9PN64qSg74G0hzsuE95+i2MONbb4gvmiL9ErEC04qi/TMD8y710bjo6UGSATG2igAdm7+CxlER
eM7y5Ktp8T1yF1unEcb7Fn2SLMZkGJIlng1A4cQFxfFOc0MQYXPR/4LGgW+DaTSkuDCrLlkUeMQc
a2BoMmA65sJ0RrZ2OYYTr0NcKaqa+OekDO7ehTDJrPJOK71uQEdIUR2t7qi7QC696ouwJM+pCzzz
1yRVhWwrPbanMqVNxqO0IYD8wpExLll6WzRQJA+b7JFaAciB7PI61g8024o6iJrr0QMbzWXSPJB0
W7vHNOa/cIIXKpDB9zUN1AVWjs8RTvzWU/HDNemeD5Eiypm9qWxKAODC4JqL3D4wd05N2+BxaaUl
xGSk3Q8u+2p40y/EN0sRktvzY8uNWnNWbCYCYR/BF7ydtDuDvkT6t/NuYe2WWoqSjNT1G480Bg5G
LYwgKe6FVu04OTogUROlQnNrLnYpS7LRRiRRARAQNO2V9UbHCKqG5Jr9t1Pys1F6eLSApAplZWlB
dPC9VGg4dVSgbzhLAEQRHbnFFFu0ducuxUhrqdMcnJ2TwKOeXQ/1k6uJLwLoqHmzc/UhQOitbMia
w6PPdvdzYdJpmyyb6VkDiS0bNkl58N+xOOtm5MFlqm0mULN3bPcLxmGCWApgHh9jJKem3iAObdq5
QVaPm6sMjfIa6bd5c+MbT41qNGD9AbMQJkUxPI9ZjLwkXoAc9TsQVCeFtqk4Ur1818Vod+i2tvFS
+vdVjXzQC5i+lJAiq5czwK3+WrB0tmM25YNfY8GuC2Lzt8F+SCgu5K2t4Qbj26ivA8++FeTreT0r
5UoHnhOSkF5Abj0B/DYHDtt9WQeVueMVsDzQcMFdHgAqzkBkcF706plcrFg6LiAP1TI2QjIHX7fe
XU7usO9UL5pVlwnArBn8B4lSOfLX+kkvtbjFgBAAeEQDKgqrab+cX8jKDBwO/kKIFNj3ft0Qf2jQ
eenfRhwhzqvv72vtqrBvuhTEvq++uRfNjVd+B93MedmrzmAhWgr1NfA3aB1yWxsrbzatg5bM9ElL
LB7U+sb1D1wjjuKuW4tnkCdxQC4HWEgi97A4nGV6PEGixp9G1I/9gKS7iPdAI6swhXfwVHDeq6n1
hUT5dkUhJAcBOCR2ZN+YW7e8G+kURJjbZKCAtvDaEDzQgYd5XrWr9okmV8CkGkDdkVNRWQ0QPWfA
hGipXYnhnkbXLL44L2LVOn+KkBv7Zuimsp1HXysgDyeEhyCcU2yXYhVyGwbmQHstn1fhoF+3pmUY
j8dENca1vkUgOMJItG8CbU0yQz02cjDMQEpOk6/4971Re4eaoOMtmq6ZY+17956BCBqBb6moYq2e
gIVoyXlPdVFMaYewPTdeOAgffIBL92l70UZfrf5NVNPh/J6t2v9C3qzwxcOwSgwAR3azQv1pb03D
3uz1LS/NAP13t3Hl7ueKQZob4XmxqmVKfroYusHSZ7Gmr71o0R9dXiUBmjd2pfVmdMW2N7nqvbhq
Ojb4nYAyh7Se3MDbJnbhNxM0m5rjDswWz8bEr1OD7z1vusmM59QYD0OMzyAjRlaiBhNTvvaqoyzr
iWhfur0iJlg9LWgmBkC7NUNtzDuz0Lw9pGObOd7c5Djsc7N9GBJVtWs1Jv1LxCeguI7jQTolEGG1
Qe/c4PGSATIdfQ+qUu+8XZ9CqoWgOeRarEUDsn7hDwQhhhtt0miA50wCTqcDS1QZ4fVt/I/aUMY7
FWV64HXR523smgOmqLz+tTFUl8L/xQH8FCI5AOY2kz42WA8BAGZnWEEv4oDml2nUbDK2bcjWnJ+/
mK0/fyyUgqXjzyINxL0GBHd6s42iOAArE7cPHTC76wGD7weruqmIIgRXqVTyAV5XUi/TIJSZIRDI
gyjeE9EplrYqBAyWmKzHP2gUPN03i+XF4M37xqh3GFK0U6KRGEw7ighi1eQXYiTHUpnuCFJuiPF1
N2j5HzXa5+K5HTHbRdGgELZq9gthUsxn+A0p0Q89dy2xYMxvOCBexvibKCeFu1QJmt3p4ny5sVHj
jQRBKbvL+j1gcwKCGlyqqGGq9khySQ7HBUAzGIIOGoEiLh4TfdwVlXg8b+XrYoBgBiJplC5lCLyK
l0khJrglw0qD3hqRx34EedIvGdxPKZKjYJTXMZLowPhpnAOIt57GKt1nzFc8k1dvMmAX/Wcxkqto
U5LHrefDx+LdPyV7sGNvnfQAZsqgisNJ9XpV6U5yEB7QbO22hLi4vElM4MZ0QZZShepUa5LOKpI1
ie8OUF2BzGRYoykjC9Kp+JbmIMBrdIpkSlX01tbKp/bpvG2snl9MSmGuHXCwgAE6tfS6Av+C6wNK
pHCOiI4How6tJrSSjY42m/OiVkOfhShplSJHaZtxiDKs9sqKx01mPwwF6Of1Nv6jq/MLKwY3E49M
hXZXt3AhV3JRtk6HLqPAMjFhHS0msgH3HA+9IpG5uocLKZJvsqjfR9a8Os8Om/yBA9rTGMtN4+x4
7W/jZHdemaseaiFO8lBT27W+UWBRebztkAju+N4Sb7arYudQyZFclJH3nVfpWJaJ6vkwR41ViuQz
fWzLTBUxriaK/lrTp455hvGaKPUgy0+e0/4C2BUWxYB4u5n6CCR6j5iMGvSnEqzW53W5MsiNF/hC
sBRODZqbu1MBwakAVEX2p4j8eOcNetDAlVVU2xf8sevGwO+8sEewyrsI3MUp+jCTwOzIw2BXd2Oh
qyo7500KoFGnZ5M1xBbA+McEQfbcdEfHu29KdATnL677RkGCe14L68cTDbsAHAZHhNyqZRkjmCly
OKEapMKAJO/KIUgtETDjYmDfRjRU+H+fRQR6J4AjB/w5IFp9ySMMNDJNUAvMwLAsIMlWNF+F9V65
ivTteoZlIUfyAFo7ZpkAIwDq+xecXRTpRmgAhjqAAHI09oZ5MfAfdftc5fejEuJ+PUWGtwAmNGbq
ebm1z261pOl7GBdwQ5z6OLXbmXXWKm94eek3YUbA1AJQXCArn9/P2XN/eiP8lCtPabJ4qsaOYtGT
AT5ddGlFg+rArtZuFiKkczNi/DPPDYjwWBpqWAUnBxeRrJnNhKCbsd254w6EpP+fK5POBWGM63kH
s3E0gq1rX6Y6359X3vqd8demfczhLgJAx01boYvZFZXXdcHQWPhEcP2fF7J+4n4Kke5edLoC8GDE
OlDjC2ztQiDMrE0rENgwd3ho6OWkKVydyiikE5f3esFaEyJZFKHEll9GJXs7v6r1G+PnqqTD5loR
mjI8BLVVnQesvmZRuW/d6xQ46b8i6GfoIkWCmZv0kW3BPdqkvzOKDIjdzNt2QNAsPfv1vKxVV7zw
INLtbnuV2bizyVnVIXfTIKIvmC4MW2/XxqHe9grLWNXhQtz8OQvzc7kwMqOBuLh4r9IbG5QU3i1z
wvOLWjWGhRTpbhd+5ubcgpSOTheO0/4wWlMRrZ9fCMqOpwvJddBpsBQiUkxxJ4hONPRzaXd5tTu/
lNXz6iGNDrg1QJybkl17fmc2WREjUT+U15qNWYxCf3Fr8nBezLozX8iRjLtJOG0jC37B6l9RyjKs
bZbuLANDd/FWx5x6e3CjIGl1hamv32ALuZL9maMmRDvNlwhaququuowmK8DjMZyp5gDOsk38b4Il
33mGqf+KBAw0XISgE/r8+le3c/EZkl1a0cSsvpkjkry95DY/CjR1FcMQmJqKyXpe0afrayFKMs7C
d3iP1xdma4sfgMVHyxUed3wn+leg3Cu8omJZMjwoFTRiYHDDcat3cZJuIMsHp5Ct8IyrTsRDyDPT
Ysxv8dPDYNuDm5EeRlqNe1u8o1OHl0WY6qHTPNe6itRs9XZZSJP2CsRTtCED9krv38z62e2Opv/S
RwkacI+M78amVZxBlUBpx6iINLss5+WxLIjdDdhSjNoM6vKmsLaOu7VU6aBV//Vzhb7kXJwkQRuw
iQEGlBSCEZmGKWuezhv8eqvIQoYU4kQC7T5swKL0XL/3094PRA5K77Iwu9DIh5uqz271RnyvrR7t
2fb0LKLpQpu7V+v0Nq2NZFPXebYtcyvasA6Nrf2IUfTMjzTFlWGYKweGAIB8btwDPoLM8ZBHWqMX
BA3xuYWyvoj3Omp6Tl7yg5np6K6hl0nX7G1ON3xG1Mj6C7TeqpJAK0wTH7SKHkhsfEy0fDiyxc0V
88LX2nlPxk21ISSwN+QL/g+NYuTGEQAg/Kr/0Wz0B+2K7ZtnO9vk99rVuD+/a2u3AcbW/vqI2XAW
H9EAW9LkGlQB5tJg6A1wT2/AtKJwhmtS3IVpzBuykBJhit5JKphGpk+XGupGObdv4or+Ug1uIUeK
c4CRkvGM4CAji3uwonJbEQGEDVUSft07kbmqgOos8N1PlwPgoxJtbVgOoHo7dwoATgJQD1RntsZw
r7u/wAwITzhz3ABBBtUYuT4U92SIqA1LyQE4gZm/ssUcHpoXk6chue7ZwUePsobRGeYoTsqq21gI
lqwjTn1woKNhYzOSaq8N/b5XjQOt3icLCVI0kieFg1AKqhw8hMDTjrtRSMmhtFUmuHpJ+jYauqDA
mc/pdM8IprKHsodpsOTBqbYpGi50RKX2Nu1UV/+qtS9ESVqLBrPTGZtFVfcYUwlcoQdFnCnuEJUU
SXNFjBF5f87VaemVj8aAFN2eTDX4tnpRobkZSI2AKvzUB5z06BXDCNMMdYViRXo1ZpsSIEmWuPXz
bUbzoLIUN//K1DrcIgg/AVgDYA1w4ZxuFIjoaUEJRDYsoNfOw3jnPokb8y7a6aH+pQ5GBHUX8Z8I
6s57wrVDvZArRzZmTVlmfLyRpgsP0BponM3uzPjYGuGY3Z+X9TEXLIdsS2HSXZkyl3YIhHFX7v0g
3pIYfBT2Zgrcu+Ky2POjPwWvepA/V7s4pE1gRxtN8dxYOw/LL5BdctNYqWvDfKZh12bHEZPE7ZNX
h67x7fxaVwuHS0nSyXMKn5l9DElmdoRLbsc2tPSj46CzxDrU7q4qQEunSvquTuQtpUqH0PO62Ow0
aFgE5fWEMP9RzwJgfqD4kbw2z9HDsbGCfJOG36JtrKpuWypjkg6nOdFU77J5YDRIdtGTe5e9ipBs
0y2qcPsYG3qfhV5ob+oL56EKtbcGLAJ78YXDuvlGHBA2AY9kk10crK/1Tr/XjqnqnbTm2oEKNRPo
gZvEtqUIO3fHiWYFBiPJcBOlw2ZUXltrDmoZZUn7XrOiyfURlwebiRTR41bsI+WgwupzbylF2uc6
d1LQrUIKhn51QLiQ/JqDFCT5YbXopci1nW9sK/150ve9v3NGffth3f/9ffif+L28+9eZFf/8X/z3
95KPdRonjfSf/7zl7+y/7vJv39/F/86/+NcfPP21f+7fy5tvxec/dPI7+Mv/LTz81nw7+Y8ta9Jm
vG/f6/HhXbR58/H34zPnP/n/+sP/ev/4W55G/v77b99LkPrOf1ucluy3f//o4sfvv33Mlv338u//
9w/nBfz+20X97fMff/8mmt9/c61/zMRXDlLUJnDqvXksoH+ff2Lb/8BkLNExjA4YUUwNwOWwsm6S
33+z/H8QNMQ7yEYAygu/DlsRJToxfv/NdP6B0QI0/YEX+V+/9tt/Putkd37u1n+xtrgrU/Sp/f7b
qdcDIBTB8DN4200TXeRooZrDkUUgyqaMjFllmtuCtjy67ISZHjGVYESHwess/80pSyRmTRY3uqa4
X06Pw79Eo8kWoFrAoyIgtpBEAwA3pXakb+02BSo8y8an3sYgXdvpiSpilJeJxmhMdrqmgZl15NId
ybl3hQC0V+KOYdIX/U4I60c6E/BOeey+GlXDb5I46//WhYLoYJZpQBbm4wF1aEuqdTQ6DGVBxtCz
Rysg1lC9a00Sv2qcaje04g9u7akawU+jx3/JNIkBjDzbtmZalFOdOm1DdGH7Y2jzOKHojMqsWzpi
9jTQ2JA/FnVcKm7uNYm26YO107RRi5FLBf0okEFPMOPh9BU9gi07O7pkMnd6ZfUvuiba/fnbc0Ue
IknvA7bK8oG4eLpCkWfCm4xqDGsrPmL6eON1SXJTu3F6gceCKpm6Yjd4EM8I/2CkBdOMlAiphS/S
dDAB6EureFMO462h5ddpAXYBlzkHy0sezy/v9Bb62EBAtoDuENEesMDlpslxHGIvH+kYpqb7LLrM
v3SmsVDocE2I+0HGjSc/on9Jh6Y2AF5N1JjLiQwWh8hGj5idKz3v4vxiPmsP89RwcFCcMXNHSkFd
RXmF8V1jDOO+npq9Wxddemu5pRnvWg01vS3PyiQ/TpkoBlWCWpYNtwqgD8BwwHvOFCHSNWgWYIyp
knoKUXzVNl3Mm2cj6fRdJIwKgTubLicGRSt8mqzZWercHzhPI882KtnLRKeIJHEyhenAoiK03QiN
QIlnxNPuvGo/CYIng+8GZosBWwGF7ekxaDS3LhPiTGFDMnCGJwm7Nwu9UjQZrUnx0YOJjCPGrHVv
PoyL2wGcrn2uOYkeFp4xvtHMR43biRNDxfz8abMAOo6+bgAx4UTPgk7ldJXL46yMptBpXfoDFF3m
FvhCxa3uFu2R4RLbZF6MJs/zOpQCcaBVor1tZg7HPQo0a1fGhPHaKAeIN+1C19xzUOB5dEvEsAf3
wEFozqHP/G3E271uqczk03ptoMbNnNoYugBWksz5B/gUoWkUGDcVseKrnlpx2HglQl0Peb4teL3T
LmxGQ4U8Jd+4SNCAtBHBLaIKIA7Iw3mE+V0PBkI9RD0bHX12bU1RG2TRWAEdmpVaquhr+WQ+czVl
Zr1APg+nX76NirLu9SrS9DCuKyPM3RJMYD5VvfvlGwGotwQJcXBSg3QIgmZlL420M3CmgXMR8nR0
jkNKxrt6ZNNe07VhmwypalDtkxYhz4LdwLvM04eeZKxabZf9gFZddDr5YjvVPh5RJJmha9MG14XC
SD/pENIQGgIGZw7UkFs7XV1rD0WTAnQoFESnF0Dui9C5NtSKcvzamlwTuoOvRIezjFHC0yxxtMkj
IYk4+Y7ZzfI7xvCYCHJTU2W41mWBohpnDlMcMnZQM5CBO7kL5Gc9yrdVL9JrxzXTy6kbxrvzJ3xV
eSDWADqEh5lUuRQfA68zcycoz4wzfvSojdE1Uoi/6yXnLcKhMlwEQmBIloJLUzh+32bUCwvSlU8d
49klsltMsUVrZr6UIr0eXSQ4heXA7ArX1I5xBmWNVpuEUxJbIdWS/Pm87qSHJLzjx7KAa4nME+jC
5JJTrdlRB/9Fwtpt+mfOs/SxxxjokaYj3RkZIJrxU3PnUaFf1hYAtmnXWuFktn2YUWenxx1VNON8
cpvzF83thgC0g+l8VFgXJz2hHHXJApaDludipxlGfVWUBkFhj6FWorc/gKdrvpxXw3yafyam/q0F
x8DLCHeTjThQOn8Fm8qhMEg4oDIQ6L0z7f0cL/ectNpLbJUPcdT2100+kMN5wavHZOZjMk1iAqBQ
cjNJHY1EKxwSWlVnHQyeT9u07aZNnupE8VKZXwWf1/hTlPRq8DABmPYT1tgm/XCVJMaD2aJRNWEO
DwyrOHgCwOZVqpkY+ShVA7KrZ9QBeSTeuxgulZGiSl9YQ69hU+usT5GTmKz9KHwVSPu6Nv+SIuN9
VPGIlo8OcPOT1Q1Hu0WXLPM9vnE4cGLPb9zqgmaXDY8A0ld5TC2feq1C5ISNM/1uzwgp30jZqh4K
q3bpOngn4NkOM5UCQK1NYweIOrBLx2WXvjWRyy7q49cBOJffSsNhl3jPO3uvslVQ0uuSAYLhYtB4
NtDTE5F4TO8LQECGeU8NDI9VpXFw9VTbOS1aDIfKRs7UTaddX3f0+99XLUJeBIk4EmChlC5DMOZw
rdc6iLZS8jgxu7xMzSFWeL41W1lKkVQ7EtHrlphIqHEDowgaKoCVIepdOvitYoRszVaWoqSroyn8
gngYIgkZATpvBoj6nWhaVSP62tWBjjAQdCAnAcTi+ecLv0mYLkpuYkFjxfwQlYZuI3xEZAbp0iyY
vFLVP7CqwYVAKSTTrVp3mtQkYeXm+XfmmHlIAav1IvpWNUSypkGkr2buBRdvBxlwtPJiG7xRuBa7
ura+k7obL+p+aBRX/NqCkE0hyMbhlkcZ5lSDlbBRrUXLYEhtf9jguRsdTe4XuxK7tz1v46uiMHnu
23iYIxMtmUSd6HHCy8wLK+bxIC208gdpneLQRklzf17Uqu6QujHwXEXKWLaL3M6mGo8CEjYYRMWs
d8W3heaowIfWpYA5Gt1VBjjOpAV5PsWILeY7Qjfizs6wPH41ln2ryDWopEheaaQC7xgNOzTWGbx8
3Gnb1CqLX5KCURSk9gB8KU9GVZGnp0MH31eCjSMQ42AGBs1ShQmsrQUdEOC8RuoQVNHSfUy7aLKn
AmvBS9kGP2xcwLdbquzMiqEh6YpbdyaJBoODJEWYTttmPTdCH6VgjG0PRgt6NTD87hxMs6nGxT9L
m5NAOh67FnAh8WA5PUGTY9OWRo4RVhw08Juk9ngZFoVr5Vd66QgVGuJnFWLsHtlXHQd2RvOTzMEw
AXml6wAf1+rC2CGUAjBU7KlKpCuLcoD9jnAUfKNzAv10UcJDP+zcoxCWTZWPwJ/jVh04dQz+58qj
VDVP+XlRYAjERCyWZmOUTU7Wd0WFkIKaRoixSucHElwjqmds6FXpmI/vPg0IQR0+5+TniWrksaTY
kxsmOvqBgwXOnJH2f0SsciuyNQB8M15Qf2zGCoO2tkVf7RGkCHu9s3p0ghZmjfYkM8JbAm8B/OQB
SW8z3ZV4nFcoO1FMOZSR52fonrANVuwiHY3R20h04KLrOqO29uf92+ftAeWKpwOxC90iiFakcCGu
M1o2tYX3QoszuyPE6eJNa9lVCmQyVj6clybfsh469IG/iSQEnps4vpKFY8cmvHucKGRgQCiCvtDo
17ZKyjyM8XsglvaGSAX+K68QMn0wyTs25iAgVM5gtQJ1rBxs76EvJt878h4TfEglWVoW0paBM/v8
EmUD9JBOBRyBBdo70Oz68kvX8dOhAuRihIROAj7iCdDjX2u3MxVe9rMmgRuLcAXGh9FPZAVPj5Xm
sTormyQCVTCpshCdxuR9LDIziJ2IvwHw2FDBVn1emAf6JvwPd/yMLCEdZGSCe+SKTfS1N3194IJl
F7wXnkJ98/HBpy9PFp5z+OtRF0KjHXKqlhSKiboXDFWgElPzOaPfct3VqgPxELw8pOYk+l1c6UNU
BmPUfkmyvA+T1qS3eV14t3FnDWiCTiZMYpLRBxBxXCbNI8jXAFFaFBp6TzWwosEbll8mGh/92Hhi
cWkfANQeeYGdRRaGows/ujEKROauW/R3CHRzEjTIvLwkU9VseTplj6aniwfN9CsWTEZSx0c0qXF+
7B1ahwNiq+QwtgMKddQwxhtGagf8OG5aPDlN2++tKLUv9Bzub5uSzHntYr/e51E13oCd9p2bWsoD
r52ACAEWlx9FVo1Bb4jszRh9ceSC5He9ZuBa1co6ebLatNgRi7VhhC8Jai/ioe2Mf9CBxWnQ2mPz
f9j7rua4cTbrvzK195hiAAnwlqGDcrQs37AcJAJgACNA8Nfvac+8O5Zm1q65+76qrbJdtix1N0ng
wRNOuF+TRkN6wTgQolfV+WVqBgIvRG2pkrmreNXvK6iEAmO9tXxK+81EJG04ZEPkTLdDbFt+PswE
0/ImZE0mCA3SIZq3q3bSqmDRAkCRmXqoNo2DF6aoftxlaBa9c5TWQG/XZbulIW0hMkqnhqeSlNOl
q6ALnyV15z2z0qwfYNAAZdAgiLI6AvjJ9ipZdkSI8IUGJjAZ/NJFC/C3tMC84mAEVmM+KIF898Pc
M1JBzzQ63amuqtiVUNaKLLJka8H8RSdyV8atUimXImJPYdjYKNXJ4H2wQI19tMJGoDUQP2lzSCrr
z42CzDKUorrqtZn97nzCI14eiN9oKKqMEecaky6NEWOVxnyK/dSIpbcv7caEfzNV+ME8HIP4mjk/
Kc/wshOak1tN0TBY46CH5LDDeEzZufEvh3AJTOGasT+UVUPHYmjmXoDBVLk0aEs/Pq+8VpkzXwvT
Xw8IOtGetZH0vpmllf2uSwb2VIeCnI3BvMli4VX7FKzqzhdO504v08fABaxNJ2LZkrZaQUepmjfa
ZKvRydcNpik3rl+2nVka4WeBX9WXlgSQPWBqpBkF0NXdjhOoZohmfWxzND2HKh06WVUrVBdbvWaz
dK4CEja2EaQFVDxE2uwk80EyhAiO64+030QLVcikuar0VntprdfJZjDU7a/mCW+WQaUWlkiD5rLJ
VRzMdaZx7rpL1cs6bO80yhj0WtaqrNfHcFl97CPbQ0lQNZzHQHIMcBnCAbkoqGHYLSpYAlznXRyB
echTyyNeybyijdHXyaBIe1XNE5Fw0lZ9ALsC4KpgfzfzPkqTmtVgskKh78NgoTmcsSkh1afOq7vw
wKquZrtYVYScaT5P1yR2CYEA02QnOB5UzhMYefYtdCM8iZmJYdNm8kQzzaGSNRu8cFC6csf4pFgR
88qRPESMx1arh8SkknvBjmKvLrn1OqV3neP9DTfYSTuxNttNlWy8y8vYdJgzrQ6lVjhU8TfQK6cw
I0DuiLxDGPN3LQzBMPodLAxO+srJrgjBpOlz7pGAF2Kqtw+kIpEGZyRxYcGkgpiWbVZxLXvVbSkf
u/4zrb3gOlpLC7NdbyAu1/5EY2gGYywv/E2GObe2PrKgYuSMS7/6Vo04/fJxCjaeb06tEvlM1SSp
6pRNcjaW2xerai/M+o6bZ7MFNbx8lY8hC9FT9Tme4DGWt7qCB/cmgHNIByUVPq9fi6d4JIOXhoO1
pMCIn8idC+m6txEjYFRLL4SC5arjNh03D3zaKhzcuZvh7wNHQEypUuAVa1P03hTGWV+FbbACIcNX
lct4VezIrG/jS5zt6NFiDbT+mad9Xu+8VrKL2kmXZMlMFgt3OrbaHISD4ElUQyL3wMWtG5jPpYoh
sGrcqwewhDga3tfrzogqvkhqiSPLRL0XFCFf/Ztg6B04zOM2CURZwV4Xv06ukDqF9CDkEj3HJ9WO
s3AeNwy9VpWoA+0noyGS1yGOaEX9l95KsxW0jfrnpu1iXBTg7zqlrmJstzJ/foI5M5eIelvdH2Yc
HbdQ8A5wQOhtgVH91oQ2jUqWlNBsLflFibnNN1JrBqNL31oY/QzzFKbVUELgwtcuBJp4YfFXLLK5
yjnOYb/wNx9X0IfOABYI5AFN9UwbtRdmDG+FViraiYG0cFG2ev0GZWTEIB67SeRLw8Z5R2knVN6B
Mc6yvmW0STEgOtFDgsli3EgV8tEJq+FTiFcMgC8oG5uFbA3nQowTefZGGn6yjUQX2LRt+FHRto5w
R6e63vsYMB+miI1h6g/raUW1FkYvXh8kFxAKqppc9mP5MhAKeiiLrGZpMtJoyIYYiK5djUYHlINA
VrzmfgM+CdMEvQx07iZdUEehG1+iM8sBD67WMJ+Iqx9nuTUezB7CusapbIdlF1G7ftlKBOurOBDL
Ywmc37JLamE/UbbVFzUQb3BFlj3Wx9yBkUYWxMasn2eR3EKnZ1MZlwRSur6b2iZd2tlqqDOsgqfa
EzjfDBnwAJM2sWEOSioje+3K1hRhp4Zu7/Qm9W7BzY6yvna4ROtXvZcq+Lhu6YgZ+teIr2F4PjDN
YCoA9idNQdfZkjPIZQia1bbhOsMWkzJrVgJXczheQr2gMaEAWYpVcHcJah/6Daasg7RGhyFBCiGr
BNVEErnD6LS3g8Rs62cssePyMSgR6Y+mr33o7082Cj6XoBD7xUaDqb7S3YaBfaqF6F0hO2O7XFSQ
L7vdhmirlyKctFBfWCCl/jaDW16i/cjk0uypjc02Pa4ocqbtE0qmAGNVYFKo6m4nu9mg3BlYD5d+
Ua6j7VHOE39Ey6UOmmhMKW6cXgqv34bYy3RM4qnJ52018ptsRFB/ZH4XgLq9Li3iJENOwtK2XEH8
hVCQ7nY9bL3AxoXHbwnCUT0tqaxamAyUQaPOQnyM+BThFQCsE21eEK5nQHiHsV+yXogtStcWXajU
JAPEqkZpxcukqrJJdbAO914LKNOORlu07zBoaHYC802Zzgu+kmP/Bpctpjo4Uw2eZwonHABxuh55
0OVIAziLubYanylemxRc9GQfDrOxe9LOs875iJw0hcV0zYuyXe1to2Yan6+2Jh+Nj0NyRyvm67zZ
us0Wtq1HP9kNKlpBloP8470OW7UUwIwpl7UEtny7ZlPVmVcNfndcdL9uj+NoBJCsnPb8qdEEvNVe
M/nZAAq4ZX494/DbErMlu3ppxzCzC5qj8J1w/H5t5m7IcAejHkIFILTvqlUskLcMSr6koex8VfDA
JHfV4IarABYv0TmRxJwDNBOv8FdU4tnVYfisVKfFA2TG62FPxaauxTohYI2DnM9GZ+HCBu/akBYk
aRQyRsy6nlmzBm0WoF1R7UbfB11iXqCwsfPoyG86NzWvft06lrWgDnqpYRv4N30Y2CCniq13Deu7
LwiIwUPb+TBEioJyrPZbqMBIB+gixrx1i23WdbN4PYEs6L6tg+UbmIjaQwXD0d0se9cfnJr7sgAM
rnlNNI79FH0aoJLHejY3K63BgIi0X76oIAY22fYxMvcBMN2XleM0K7QYxgvPbK7LFhLgYNZzM6GE
g8vPWdcJZIVmClm/a3Ag7EiNdlEe+ipUkF8Oe1rUqHjg1Cdr81Fv0VO5uR5MrepzZMOxgBEELpzG
85Tk1C2v8wCtagstzLOubMy1z1Z5PfLlWz8nMkevSV2uVYcLkNPIqxrnjp5uBLb6Q29X+VrKKFiO
4LB2OWfLsItbMYLx3nG/y3ASTnuH9v8OMxUCt7MqQII8bO2XpTHDkyL0fkUdJFI7IzlKo0Vylg6r
H+6NGbpcIR7k3igHnoo4gA/WUsVejnQcpYyRce4LVd61lntgyajBv+AlOW6Ki9y61X+gXrVebPXY
Z+Ps+CUXbNgFLkk+JJg/nidIEbKJdatLF8+Sh1525LmldXdv+4XsZDDShzGw5tbwNoBIQCI/daJF
EyjaiAUdR6F4PT22Me83vp0JpPd7CWuYFGGLPVV8svfgam5ZGWzmikZtA4LIiJyKeDKNo/YB+u4H
f+lb4FXm7SIwscnsiJ2dis1tmfH0Ap3UZckMV/RJDo08wElHfdxwgBRkrpOM2qHLonLllzFBpwRr
MyijlJS4LF27+4nhOBTDQs+sk/NRoIGdrrN3MW/NOevofmZgAQCiOqddSTVOQnT6krg5KYj7DXTG
ZPDkocI+ML3We63X4HmDTxMagI360HWQjknjymPXm9jMblz5+erK7tGRuMNnr2VeQ47qvKTJGcEw
5tWZaThaIz8mLRVXoUfarKceNEplY6GeEpEn4YXDhRuj7gGao/OdI7OLd4aWDQpWG3gH2ri58LAU
w82EMMxjzwbVZro574gpk34aF3R1t6aDG8ZMeOrMMJ2jBpUOU1cveZaDYmJH11JmYkriFA7C/LBV
qsqd1fIIvF58Dtvp7ZVzEh7qoUFGXQcyT1BFb9b7FPcxuWuSujwEMP44V1LIg+zRjUgFkSrz1+pG
z9F0QxtfPkgZT0NmlvoSjqDkiLbEenCsRywz7mUBUGOH88dPI7hQfEQ7qi36BbSPkk/117KutjON
qeNFE+nPHVIvFBZg6Kme0nwyTp5bKAN9JlWrH4D6Dc7APJqKoUTDAapsMe4x9xoAZAezU8gom6yk
pAnTCE2nnUJNn07YMkcgsWCnPSbn1AD1mtEYYp/b1mEBd7UNChGbGD4KITs7MZvO+tg/M40tjzTW
9TnMOT/QMiTQtPdBsZ5Ado484WE9bqt+ikXPrlgc3CFgsJdWUZwNcRXesLp8nen0tOAa4DkT6pOw
UqM/rU0iGnhhwD4F9sTTfbC181mzyfEQevam6ZYQ+wZBNXUwmQTYOA5vgMZA1kVn+ywNHJTWDQXw
upTSZSGMBSqcSyHYpW0PIHSKOl+XWOVt+dGHY5lADYU2GQQ4pt5kAaQLkrSj/nZo+gFHtlzrGQm6
HNdxD96xWTOkb8ud6HScoxb170ylvbXAx4dgZNKhqZAv5VK7lA4NIWDaDtPdaiMkrfDdCs5jjb5t
2lsafuyjVsPEt4qDLwBktztBk6mEm4pmEHpeYriAVAksHtAdasqUD5Wt8gFPS2U9QkSXQQR9Bs3B
9vyrjxAL04kKHo4uWYJm35gV8nysrpFulVPtIYAsXRymknboyFqBZo9ISJuk8OqgQ1oT69EdbQX6
xNGoQPRqm1H1J43mxT/WHbeQFYpw81LiVoKTWBgOyUFPQBc27ht2Q0oZ8wyWc5DArXnonmGY6USm
FNx+0oZU4ROUgUEvxWgCehCDCuY5hZu9vdQUDoaZ8tvk26jJ9CWe5/mmMa2dUhCkqyo3iNpfOyJ5
neNsa8PdPCbQTtkAtatgTMyCqZCxpo9dTxDaAKmUdW4JH3EwIbXsLxd0UVxWz7aGvjQqoiSHT8+g
CjXF031nNGTzE8AxWIrTd8ZSwNjucxM4RTGIHFmYznZeS8Bn5wj9MNvVaEP5FY9uZ4jfXM5QnhDQ
/PGAUVulslfg4fsEMb2CCnIdD/0jmx3axt02lU80quF15o1OVjlFKva6jDUcbXRr+s+6NkN7XGGY
BJi3LQN2ScJTzexOZkJZp0sNMDGtcdAEnUNKuSDzhxFzOQzPveG4BvhQ19eJQeMoRaTF3QuqnoqU
66B1kHno+yEf/Jpfmq7hd9sAcY5dq8o6RnMHttw5qO+DlzMqiXcczFZtwBuMdqdgsNtkbpyV2vmL
QYiUHVD9ObAeK9snHY/Hs6AZvXavvYkcXBk9hxGs5osIOjZ1YdGFnQFHbtyQOTea7YBse56LBnH7
QzyE5UulcPKAeDR0d1zKSVwESOpUjhrWD9Dyafi3HpNJU1Rs9rAEK1He6dJwlpEg2Db0/ADWKYiE
1EIG07TqsTElGtlYgJCkRIcpFgWAXrpPCfrEQ2qr2qwpnemI3Rm4sN7xMjGXmx5RjyVmQv+o5y2D
pKzXAUkZoH/Es6n3OIrHli3Bg+ZkqV6Vquu5WJo2mI4+em6Xnav65d7bNO33RGNLoRgZAIYtOoqb
sePSsz0aJNq0eRJ5OEC80ERRLrc+1tnaJZJnIaSDzxlqlm8K8xubsc0F0PCEdY6XO6BDrgZwEz/7
a6KgcS2Fuw5WhwC4xN4iUghNdENR0mi+WgSDuhAMEghWJBzpHszCKkg5Lw664kD0UQXiNQC68D8p
hUvNiIrsbOh8PPh8ELaf49Qv6YLTZ+5X+jhjAFTfQveuGy4VcD0xzUTQNBvStwZDYB7a8nVwDYqf
LWk1lF7aHsqWVdsvzamfvbhHPjekKTrEOrRrYwbLO1RT6kYvjYfEeGjWMB2SwA75XC3UFklsm/Jy
cBHzU3RFI6BtyjiZ9jBOmYBdB5I+ADALLh7LgBRgm2Xq1JLoGzYjjqbURJBOb7e27qFb7Y/+pee6
Fs7eZoY3x9aOi4fWeAg/0RjYa1SidsB9gtloC2kkk3Q9MBXIFJ4cuoMmXyyyw12kAULr0hKcIe/D
qoiIot26Yh5wnjim1jP0Mc18M03A4hYI+YG5jyZY+43FEoQET7JtpYr3Wpbj8KCaiLZYOcTa29KF
XvU6aq8lZwKYsP6MrxGgfQgsw3hvodECYFqvRPJFQ2M8hhIFqC1Lm/mSkmgfYTDUHSdkuQlI037c
dyl2nhyuJFp+0ExIemF8WCy1GCL5KWSfrPayedM9/OpazKtf54muX+oIlVqGcmxFl85zU9zQM9M3
a3NEd2ZOHpsQ8y5EspZspM+6pIwHk6IWJOiUN5M/xY/JWofr9TbBnOhONgF6P76UBhnRQoWrMBqm
IeoAl0R1VKwopNuPaJ83tiCCTqRNB19x5NqKbFF9FbcAVUGZjw7htvcjf6wPOkCzKKvIAO6ojaxJ
JGpLt8bI8zoMm1L0rqd1SlkXqWHfCw3+vcdGws5sWRLSp6GDymCSIwWs2g/tsNplz4bVINsmOMrJ
nQ2kINDiF5qsj8AdKzFA0q6d4UkwukTb/VRGOrlp1ewcmKuJrM5jFPkyrRZD6zzEoEBivm9G1eBs
S2x9IM0493cYTpXBLurqyFw1caAxh0+WoedndQk87ZYuU8e7637WbPjc+Zh13bvGG9oIx91K+v6P
qfC/Yiheyq+w/dGv80/5iSce4/08vrzMl5/799/5/yJJ0cN8+H8nKR5ePo/ffjtOzefu22+n35df
c919bv7ztekN4fH0Wn8wGFn4O3L78MQ/D0J+Igv+h8HIgt8hvAls7AmnAobbCQv/J4ORRMHvCTSB
gcyHtkCEVht+6k8KI4nC30/4JiiO0ACGhNC4/zccxrczVdQ6lAITiLEqbADBqWDvZqoxrTAGwBo7
kmgBqGDu42Jk5hOpu7GwZQMJscg9Wr08/nDz/qRS/kidpCcc4F+zXLwvaJgnMgWYdnD8Dd6rpkCh
HBiWpFRn8MAcb9B5h79UZ0v9FMVJ+7npBLnTfq8Lw6BQfpzp6kyWYNxdZyauC6TMBp3W3j9XSxxV
mYeh8bkUHQw+oKKoP2LiX4kc+Ib+JVwWyHgtaJTDHFKaVxFb78FtYnglatnTZltRCPuLK5CrLpdx
71dfu7F9HKmPDly7cRR7mwzIR5j2ypsGLf2uW7q0QVm1pCawyD4j8Pbg4EJK75o1Uv1xp/5vx/1X
xABIj0D6wlgUE32Ac4Ac+N934GMn55dvv93Pn+eX6bdLib3y2/UyNxhQVX9uzDeb8B9f/o9Nidrh
d9ASgcLw4R4Kkin20J+8Yj+OfwcYCfgdIA2AEzph1v/clQH/Hdo2GC1i0ANDWsD6/9qU3u/Ayni4
GO9EbomwP9m/2ZXvvG2AvsLuAG8FHWnOoNBJ36E4gmVqK3SgqucB4vbIrUR0h0H/VT9t52QYXmzf
Fnrb7ku3un3NKSR94X/IUc1Ihebe2IXffrjV/7BfT/ibv7brn5+H4/I5xmcIO+9ATXacKSQTTfWM
fGjYIUFCUnb6o/YFFChrxtEo9p5+/p7vKGa4haACnviAAEvjriMKvoWyTGHQEYeU/MHF5ByHeNGi
m/2hcmJI51E0xTisFBVS20L5SnyIJz/7+Qc4AVd+vGhwkBEWoR8KNCGg2qcg/CP0txXdglu6ospB
8phIA7g2nBsoEs+YHEHaitJOwk8p8LZfYHj+/sYRjgwsMg+PH8Tgd2iocQJN8ASOuwtigr4rq0/e
GBp5WWnuE+BcMGm9j/z+MGj6/PNLBmTnzUVjBeMBg9qH5wycIc6md++tDI26doSxV53CcBq/Ly8/
HY9txrJqb9LyIrpKiugKhjF5fIyPcg9rxfP4yK5IgZI3xyC0INnp66fv6w/joTvM6c14mPHXpAiO
wc2cQp8C3/jVZF9v4rw7eM/jeVJQKFoER/XFPrsb0Fr36+16F11Wx77wr7ar6iJ5XG/tDZrt7iY4
mpRkc8oyyCQVY/H1Bi/69euMv67ZkuM+QYnjNsqXjBdkV2ZlZvG3MCUHHG65t/f2uvD2aCvu2ld1
HIo5t1lySA5Rrvb6AJgCA3jnm3flH93der1ek/P2HBr+F8ElOXh7d2azoQA+AK/mH8fvr8+L6Eh2
yMwO2w29Co+nV1rSMns9nOsUY82M5aePkeTDYTifDk12D7BfhlrtKPZlFh3jK7FPHqaDTX9loP0d
Xf3XIv7zeQYeqPsh4hnW09tFLJNlLoeINLe7/PpBpv75kOl9dWu+QKYjRDOHI8EvWvRuz7cDaq9U
FnDOSpvddpCF3uNbC/RCdi/7qzMUUOmY3QNJc6jyLnOQFxGFKurc4VOfxE8g15p3lygLbHorUqLQ
dU+7x+SmQwcE/87tAbCrXZedfvZw+PnCfZdQfL9OFBsAsoMqiRj8nrPc09bOpQnbW7T8qiyMLD9b
zaCOie72VmLMpJ1yaVXxL7M3Dxd//NGKM7G04vj9X5Ozz11lpv3QSqg5gneCKSPSDn/tKZjyGjjf
2B+8Y+nbbITeJWA1+MNX81cR9FXGMH9PMaU/gSAQGrCN6Pns22u0EbyzEhdwllRge33/Ax2/Pt3K
iuV/fe379w3r8kvDrrfR5PudiSLE0ZNKBQ4vdsLv/cBgQHW6KidHdQuI+Rmh5AKD9Ts1iwuOkfI8
3/tllDNZX4XEvwyi7R6Ot7ttOAJ8VmzoMwfbmfK+VSK86Kh9YKr7rE+eakyeAZdwjqnz04KpdDlZ
VI9fJLXP09we9CryyIH2MS5XiY730v/A4UVWYH52A7rhfsD4D80GsY9DmZfLerHONRrIsrC0xGzq
GjjFYp5hoFbRAqiDbI7NoSmTIvE8wCvmcxWBDN8ITO+bu7DDTGXWZzb8pSvpCeT6bvNwHzeOQvwH
bKTwHZulVXyBcVIrbqFlTyEHzqCxHNDUeq/ezKZzOaO4vHFzvEN/9VdGIm8z89MTwwPDCQhtCKQi
YLK9fWy8tJFbYRNfRBH8+4bEykxtFoLFYB4X0TTPd2jLYeit2L869r6nTaBPwIkVqRnUMN7vpMiO
fEKbebtWU/BSt8mYCrQUd1sVXJfVFKVqDiPUzj2EySF2sv/5Pn4Hn+ZeyGHCiIIA25hCKSx6hzvu
6VJWHSzRHtBkDA6OVneq5fW5vwD655Wk2QEfb6D7qi+B9TvKTS6XNTxZjd+ew8wBArS0+0wpOjJA
sjWQ9+6hzdpPDy0b1S8YlW/31X8+KRDs7MQMR2339gF1oDPAsZV5D4svn0GwjrLW8zo0i6HzOcln
DDLQ68eUsdmaX2kGUqSaPyxMTvGyNDrJXGBRQpIlOf3/D3vat5gvBfOibzHCAJfMlkVvtuMul6xv
92IEeAs6ePTY1tt01UrRpy3D9KxrlvOqG2RqhyW5YBoRfxTzuaH+R+46ezvbAJOJsYYn/OmfMYbE
BVAqcFB2DFgmzz0uVdtcga1yDW6cumWYQD/S+QroGXeB2X7ChLnXgL3CwrpaU0Wdl4v15LVuOzgF
duhAbt0037GqvPJiE8HVLHz8vn7+Vbn0oFv8et9zeKOl9P9bdwIp9w/76CTR9EZC6f7FfRUvTfPy
pgL6/kN/VDxR/DsSRuAmKIzBaEz5/xQ8FP/jodMAqaTTIgZw/H8KHoLeBYR/EFNRKiEFR0D6q+Lx
PfzcSVYfhdtpOSI2/gsppXfr+aQZClQ87J8Zwh1YAO9S/c4tY1AmQZkuDSU7pzmU+UvAlma3/opM
czru/orppxoGb8UgAJIE+IXS4u3WwSHWtjCKwxysdOgREBzrPQOQ+4f7f/PH671pcPztXVAgIoVG
hyZgjL8XaBo0TAAwVQeWl4dtHo8TLTpS8V9Ey79fC/gZeHH4qoHYjUt6ey0LpkWubDC+wn3aDi3Q
ndk0T3L382v5m/ydD85oHEO4EYUtVBTfqxmemN0WjU+Rcea+DcvFgHnuiqxuUUumcB5WIND2sOjW
rrmIljJfWmgrVzrX3ph66PNu+ibovUu2ifuff7JT8vr2WYIOcDLNoGAxQn3u3Rk5iylqgYutMgXH
xAxDzHtdRXOacGGBIqQOE0uMcH/+nu9q89MCQi8PxSnyTKwjiHS8velGdMg0VVlhRKv4cdVEI38M
IGu6smkf8RZ+kPFgC15D6tckxstGP77qADtCstMJIFkURHSi6lfGl6fN+P5mRBian6QakD3gprz9
XKMF+GSeOoDxUDYDkJugVh39gOS03VyT1Zjf5eE6hddJ38ubSYXHeA00uluJfoIv2kl4O7QXXJXj
HnD1CoABBp00NoF9OHh8lNnAyvh52SJyzmmw3QF7v3Y5KU2Prruk4CIR4KLGUAa/Eg79+zJHHc7Q
e8CDBqfvvZq9jdlsp9UT4D5tqFpC2eyB3vsVj+Uf7x8/ibkBvomu67vNtNWhiyMJCyYSeVvR6HgF
FbIFUkGHyILhF/aLPOvvMe/EwkaPF2QwtIzeJ3iUyqFna4RdJRqW2cGQ1GtdnDuHLO/na/afbiAy
EIA9EPoRMMJ3SwNiTWCoArbA4q1L0ZE12LtBV/z8Xb5zK99tR6TKaBsESE8A+Hl3B4ElmIXycAc3
mnRX0nrrNePzWNSSAxDUM2/n+TIE5pRBerjh7LpUfrAD2g0ArUtTFsIwe+zr+1mMENZ0c3sjgG2B
OxAEhYZAfULqKHNdkWVH/XIrYGw6nSM59opGhSY11dADEsjjI0/K5hcx8G02/n3Tx0j1TvUbhGtw
bW/voGcAvV3EKqDAH9aZBEofhVHd5JgsB6DF8TgnFJloPclfrJJ/eHSgl6K1fTKQRylwWrU/ZHrB
GEJTfGAiE3CrPySYVKZkUTr/+aP7h0CKozc6+TpH6MuHp///4V3sypqxCyBSD9veEGeWW/fbGoKO
h0l9xq2D7iiC2i/e9J/uKUPicWqaQjnpfZurj2bP4IgEmAaepdm2qvqCJLy+b0wwHEbpy6cldM2O
Yw59/Pnl/sNNPbW3TukGSmI/epe619gjG2BrEkgdt2QEI/p0YsPyi/3wDxscLPQIFSQOipOC4tub
ygF3B1HUQ0CGIgvib7Ae2OC5vFek+sXy/J4g/bj1kMNBLtHDJAeIX5D53y8TJ5CEzEBoA4b7CbA3
cN/WPCZE7QEA7jDtnu6BfJh2hCP2u7F7EJidpgzCIvtO8mbfg20E1EiTZJoD9/DvbvcfHw443gi1
Hfqo71ZXUtKBhz4+3LZE4tZuW3tZTs77xU4J3j/V92/z7qnqk3zDNntAqYsE6ulu8QHj7KOMAPH4
pfZKcZyicgJl2riHoakEpM8j+EAsYrmVq4tyQMC/rqi4UilpeBwTH8hX1z7jyOAF4xZNs0TZNGCq
LUJbS8Be2rbwl+Tl53frbwc58mrkwsEpVmPrYzr3dt0gMIP0NcA0b+a84Ikcvq1xk3zAxoVnhWTL
l7kExQqZV+3pFNj8KLOT7zxAeZBr9ZNonntgGPwMwO7YTyvMwooaqBNwrHXo3zfdRLzU6cgfsiXB
ZC2rpQUqy6dGQjnayIbmAZ0gs7tUoFgMUPb9xWn0Th0J9wvHOIjzkG+LQcCFMsTbCxy2EnSLyYHU
tcBySUsNrB1bmmKVIjlD1qFz1DKY9yXeWKDIsXcykqlMuhhAdAJcdUR/EYlOu+Pt7jmpd3lQoEKQ
Rwb17nycgqFKwEZjyHn+m7vzWI4bWcPsE+EGvNkWyht6UhI3CFES4U0CiYR5+jnoHtOs1ohxZzmb
DnV0qFEAEpm/+85Xjy+FY71r1EwZCpzjjWsX0yeX+7edDZkTHYUFeEVfgVP54wMoJUOaFR/zahhG
xHbGOXfdPmSOXQt7Rt13OUHlikkvN2x9kW/qnAKtFYyffJbmx/LW8h74JNj0iWHZfan8f/wZk5+3
S1bhryyzbDaDnsdPsndlSMjdn/ukmtejMTsXs+jqkzbLIhwYmAtlWfubZuzKVdxkxvfGLNk+mjI/
pi3aqkKzgyfFENpaOvYvNPef8JauN1VSUbwLbICpaGx0KKYff7Ph1FYzRxKGKBi+LUreH0VsDCsk
6Z+xN357JRo/JLd09iigfrySFKJplRg0Rr6q9xId4Q76Ap2CRP+M6rY85w/Lj97Wki6aHBcsjGtO
1tTYk+G0lK1TYTj718OIWH1bl8OwHlPjMx36v9Y6VNEA/wyfciZH779KR4jnKCbWRDLdbKJ5UEkY
FPaubjZ+wRDUn/eyf9/ZUnE2ABVT0EOMfvVhBY0Y/Xxgs4rcOWJuVdXtxqgjsdKR1twjUphPRsIc
6p+vetU5ZGGzw/CJkRMvmEpqih9f3WjPupRalTMS1zGT2z+pcrzUaCwzhpKzdDjmnr3LkgEFRP7J
R/WvVcPnZKJNJ02k0uC5V1lYMTn9FAxzEiJLwzk2aqIQ6m5O5D189ib/9XAX7CeB4YKJZJ7zGumW
RY0Ui9wJL1IE3Ap9JSrixmNErtPWOUoc9ANCbj95tkvU8mGxmkyKgAYh6ye4gZvw8dkqQBVO1KPC
TUnKdqIvsnUGCfcohiHe1bkZzlUQepnV3DaxtM+ijeStEffBoY3z509+y9UUCe+Z32KCiNapGSFA
WF7GP8JWP1ViHnmHeB+P2toEQNqtAoH4xEXQGhaR1+yaSOm3jbstGfMOdVy7GP/8BNX57/MMigQF
c/YkWGJMEFz9DH0AN94VZRNqRNd3bCXNBTF3vW1Jt9ZWEP/MnTaiLItY1sxG4xaYT7eTAxO6VA+c
H2P5P+Ed/1UV9P/PMa1lB/m/z4isvldx8f3nry755zjW8nf+LoMG5n/YaF04SosRGCEzi/tvnrzv
/4dUnAF/jxyPGsAybPC/5j6YCPkrXMHdiT4Mgxn/uwpq6v9hbgrYtL/0axZ65X9RA/24MXuwQYgt
uTJFVbbnf5E7ytiEs6cF6X7OanvbjVO2o+vmhaTsxS62cvuTL/nj9gFbhrxLZ+/wQDLR8A+WD/0f
H09lGXmnqipm2NofQ9vooidbJeVhmhWzUn6in5nPjT45ED5uj39flFSI+JZqNMW7qwPB7BAAqNqO
95IA69wVaCaMRU6g8cdP7m85n//PRvXXpdij/uoFkzoT6Vzdn2onxqLNFOJGmZ2D2dbW6EjsVaQj
wUUPSVeaJt7urz8lvj58sjldXd7nJqnu0H5djr7lwP14eSe35wHr7Xafyx7pRbEIDupZu8OkS1tC
8RYlvUzsmyz1xRu62m73j5V/9/eN/rMCbVw9an4AtTLqgDwJBq1Y1x9/QD4o9mk61vuoX15yPprP
PWSD11yl5TqZ0nlYRW1inxpTrONC9PS9K0eG8Wi6aagQJDx6bj/ufKMfvg6TVcSfRMFX6/2v37ec
W1RTHdhz11W9tAZzh8SZkQg/6Vfo1NW6c0Z37yM52ci40u4+eSAfTwvK12QbUL/gZfPB0j+7WvBa
K32pZN/tNaTYYmUbvYkMayKd3uhRbT8ktcgesjZfI0eJNiUNNrQ9vTedx3oZ0//zr/kruP7H8mQE
cglMlg2HeZsFRfTx9ZS9V7daH+V7ZXb2vGramBFIhQrlKEwkkiurTbKzaoL6a9o3P10sKnbd4M6b
rpgYve8jP3kAQa2/2rWJ7s8a2xiPKCu1X2LZN4d2IhQgQPcMACnS8OuFdKGda/aXM3B37VAm/lCE
ZlyY20jV0cUzSv0T96W/+gLXtxhwKvKWl+/w+gtspDSw1kjLvYOnpAEAAQrvmrb++Fy0LhgPrxlf
gK1kpKO9EdzoRZNvRVHG57a3ux3EM3moy6h7U4aDHkxiwlA4vf46BpO7n1RWPGa50Xzzayc6eF2f
/bQMrPfqWZrf+1kLYnoUcoAvYCrrxe46mhEd8pnLUCq1IeErHv/8RpcP+l93iyUIsCwia8rVH1+o
poYo92EJ71GMwfft7Twkx/3Mb/D6q2HZUCpbWnLMS8IevMpKfCf3+pHftffyNv4K0WjVRLI7qHZ2
fvm5Pv53+/WySsGzMbbMRkaF6RoR6Y2dSOaWy1mgNy55nR75YWOI0El9sh1cHUd/X4ltkpQQmC3p
+MfHV44YpVhdV+wHFceXIqjG58zVi8dZE92xp+b/WDJs+PDnd3a9SS+3B5TSJf+liU8B4ONFSS8D
KDZVuZe2jN9kNlBx8XLBl5ihnsZ5JHGtF1gqzTdoDHxEraN99kKvt+nlJ1D+JC5ZgmlOio8/QaO7
kSG0YlYOtd46dfSaddNX6A1Np4w+CVV/s3p4k3QMFxccnEeuLqasLJEyj8F0aV7xaKcDO206eDvc
ObJVUkj548/P96p16C1vlTzTJPMDAM0DvvooakfPUoGgZ68LMSOtUp4Dn8OrZbeyJTKmcNby+Y4S
FRIajabaOoLzc57MtmLsNUn97FA7JrqoKO3eerft30qzIY/DgtraDqmrnSNbNt/+/KN/+0ZIrBh7
XVLk65PbLN0cIIePxB5OMIpGIpPIKyqgYLZ4+vOlfrfoqUouoaPBfbjLnvLPGMxPRSe4JcKhNroY
ZmdceoZvjvC+/COQwOqUWMrd//miv7k/i9extL9BxGGE8fGi82CLnNHaaj9alb0FERZdpqFz95UT
fWYM95vvi4I0rixczCJUvn79ySQK2AB4F8ghqbalm2W4TTIIpmzR3ffSmA6mJWUcwj92zoNfxp8s
+N/dK1dnIDuAu8cM18d77fXZG8ArVfvSjqFZSO4QPGNw26d18AmPeLmXq/3fYpyAOQk8U5ZT/eOl
CNDdZbMs98iBu+NYWd2xc2fOZmgW1ktsdh4K43rujpr49JX+5jkzNGVAOeDirNyrdQQxrpidwW32
qdAVuqcofUjERN+Sxk50yUBmIPQezLGAxAbBZkXF4P9l/6bagrEKHU2Iileveu78SCnfafZ2orv7
mMrFgT65vqnT7r6MYbDhh1B8FtP95vWyY1L+WKrJYO2vgiik65YuOjbPGCn4TaQpIjrPFGUCuSn6
zCxjeYhXLxjHH3qbhI9L5+hq82zIkChm+fVeEKvdIOp9Vt2nUepvLkI1g7VKvMpM2V8123/sCGVg
tZDJEnaEGOTlymi0AD/WuPvMRuU3Tw50La7FrFju6vrJFdDHtEYbmv3oCvslT7sOSkmjj5jSW6gX
/7zj/ObTMDlLyak8RlX+PZpQD8hlR9nuidDNXZkEKTAInYh2dn3m9hDl3UV9rdIQmP33P1/6d88T
xixqWG6Wbt/VCa9lnFByrNp9kbvaulX2GxbM4+bPF/nNNo7HSMDiZ6D+32d4oOnCG3Wv3AvNYRnO
BA1zPHbHWA7ptsvFsLQv4s+Cl98c5nzr9Cy4M46q6wRqtulHTwUkK01W9ksFYOnOn0fx5Ft1ts/c
8rMv/K9q7dUHgF5t6VtwetDUvPoAYjpQZTG79T6zrNLdo8mikpulWvK+KNyf2RgCbdUHwfA8N350
F1RD0K2StFaKgZdMvDe2UTwOmUkW0DJSuNMaafkQMpI3B8xVvs0dOVghYUFC60sElE8Tofa1MLsn
Apfmy59f2m++ADQaOKksZy985asNi0Z/J23sWvZmo2k0ztB0rT0sd77IzFD/HQN9CYOWjZGDweRd
kXt+PBuYd218dPUEt8BU1oyFz9u51bpdsNQi/uvbooHFCbRMbRG5Xx1DE4C7ajKnYv9XxaPTvTHU
I58poCjJ9n++1F8d+o8LAg0i5W6DHR/q8bX3VJnG4B7GiI9rjMmopWsN1AtcmHDI8F4raYKhsplG
nW9lMXH49JPv/tSTvHiEOUl5vmCd3U2+ms+SwdVnEB+G2vBKoKjQAXv78681l8Pg6teyBxFpU7lm
07su0wp76pwpoSBSwgI9NYPVfC+8Qjs3MNM6FDZp/NbrSfskHQgZSJvwiq9bc76PvUTcZrMdh4mh
y/u2pvhdeuQiddGrdeLK7uimyr8f/Grc6enQr1ugoqcBPtzqz7dw1dhYwmkSTE54AhqLY+g6nDGa
WSNg9au9Y4LpKHpECWi/lmZtoZPYs/3caFVCBUMmQ6jHxttUZJ+pkxgL/VhJoWhBPMecFN50iKN4
9Vebql/VU5NC4dh7svWLMGtFnNwOFeNmIbCPTZpp/a3H7rSa5fDiZbnnAPahee2MSfpu5vXL2AJU
CinHycd+BNc4t5lcx8zY7H0Y9CHEF/dky+JWVe1am9Nm1cXOThuctyEBDZCoE8UbWJLqQSTx92pK
nl1vWV7WeIjLYJfCNlgJZGkrN6rAm+QnvSrCOfdCPejXadDslUg2doJuGhuc2M12XTM96yPIvODV
HHXYyd2+yrP7aVCnwQvmQz0XmAUN31roFyqYbyeKGMCVK2aNgBnAL+kppUyHuRUvPmLxBqx44/hn
HEFDGL4HmeqhlZlIGsQWuuBBdeWvPtI2Or1eu8sOlQPowlPfLMnoNd0yh+JFUtTUb3JUB9pGY9Z8
VeQarCBxGjE00Icu3thttOoCVaEzl1bY2c5rb4CBaeYANhXO59WdFWuw35i7KOAY1kl3k0oj3lez
dp6c5MFuEcFXRfWtQnM+wkfNnejN8sT9BBudevdXShrrxtS3ngOMMPqJnwIPMX5itPWQ2OZN481b
Q9zGsXlSfvttBKDVuT2lKSZL2iHfaXjATSUsSw2CXBxt+nk6tdqYr2cFQUM6x6Zqdql4GJpTpztf
lfvTnm0UFp5z61fptp1+2oBcVj6l6dBtzKPb6L/8/n02rWPfTSs21DWeoLuiRY7gOwcGITZuhSpj
MRWbLP+lMUCJB5R456GliV0jwqrzoyGMh6KXe7S6YqPq+MkU7pZVDFuNJrteJYysRih5rDmMc8Vz
ndRt0bvPAOZWhZc99y1u4gx5ulF+KOd5C+X3h4yLraMpf22M0Y3XIh8DaABn4qeZtMzBeyKEXGPv
PAc6mZttxrL7psF2DMYRlvOkv4LvuQGUSfYbaTu7uena0xBTpNXQ06H/1DLtQNknTCznPHfWbq44
Ziv4v9K9WCOMIUzVQtfIjgIuECrBbKsCeDF6GGX2oz9qYLuK6hIg6l/n+SjBNmQrL003lgX9L69/
0Iu4qCY50ThcS4hJK9csT6mHt1iNw09cDpvRKNMV2+RzNotHLGzujaADECx2OB8ZoYx+tXxcTQv1
U/Jt/0iN/ASkZt2o7CXTv1ZBHuZ8Jmk27qZUvQRdtdeC7s3i2AAkJMJSJO+d3x2Ai60syCWJcs9g
8dbw0BAQQDlR7UZTyg6LxD8xsnUGALuP3ehQ5y2I6a5oTxhkbwtLXhiAfw4qrH1q56lwlLVSlcPN
soMEgv+HucuKgmuoh4pTEdVqvJLNcKh1f20OJbQm/6BTk4WF8sAoUdjgy1qwj/R+Gqz8TAwwaFTz
zZoSiY0VOI0y7EbKjkTNDWy6NmouReJ8MysX7+gMassItql5SO0cArW7GJNMxaqMrU3nNhKAXl0w
ckLsQZ9iFdC/zaXrPhZeiqR1qm/KtnlT+lC8+J0ADmtvhR589yp1ttv+QXT1PdVMZmMZiVH2sM9k
DHVEeTvAOsxDyHM1AQGNJVsQrJlb0Fs2fCb7Z6kZT8Hc3zgJP7iJ97Oz7wWTQ32V1+sZ+SPx8ipt
FtHTT+iGod+or4CO910/3k9SArT0vmZsq1HgrKKp/lHPBAB1PEd44swYs1uJ88WZPdSTph01O78+
NW1b3BajU20DIZmEKzvRrSzayBu96LqnWLUCGJKDwCjD/7MMJ4bxZii0lG93AmnXm5MUmQac0E3X
ElQon74dr3r8l494InrPhi1Rgvbc3mzXCFDFuI9Mo9uMwohkiAlR8ZgWsfbTbyKLKCUr1C/oyw9z
Xr3rRm3CcfJm3A6NFe5sAeQeNzapqvbzd31stYOTMVImgd/eYOg3b+pJNU/O3P4MIr4Qqwn0PbVl
pmEYXbaf+UQLd4U0zT2YQacuwtfmflegfTsg8Ctu40QUe1ObGhh4VaQ9iXpKv06mMBELwYXeJ86o
vTtmxzQGs1kgUnCMk2cnLYKnFMzRbVV0BaGLXdWMv+IDAg4WYxjZdM680ebMXmd9k5aryFPyUhck
WhSiI/U9EFaub5Vi2nhshteuHp23aebiKKnK6Vs72umhy4SG5JF0etdHVlJAGXMBDw1d9kABpZDU
59U3wujyh0G7/UC7xToXZdG8BLGCL+X08uICdoHmZeYQ4v0h+V7aEaBAPviyKNG22nNgb03br4FF
Aaq/7YYS9ByCTShc09yrFdiywFoXaVFvEx1+3zjB4DJnE/1lrdd3mqi6M+6w7ZfUxeZXb6P06Muo
PmhWpW+r0vYvU1AiTKhq6X9zba09zN2y92gu5+mgvnqLU6lbaskxszABaZUD8mK09lipUJtx/Ed7
rL97EgFjRVLwKFXePjmZh6Up4iUkVTWMoRon3puy14Hdxcw6bzrD5ThrhflG9aq7T0C6gge08yNd
HfMQCzd7NjRD24BhgrgZgQkusyewv9kaYr080rprAVliFgue25yRmEJTrbEg3aQdAklYi6PgIblB
mmxhmE/byBAuZDRMXVcx4tVsFUvVo5bUx0Zw2kFQQr2lyyj0g64IyWd2BsTCt1GkOVUv29+6VTKH
+RiB/a3AuoOXLNfAueJzPy/kLjRcF+D6aIPntFDr2A2MwzwbDMdNyABOjGaBJUvtfmUox39VQ0bc
XvnIrqFJdiFr3DiUBIHais1Xe/Gn5CLnaP7SjlOzG5ln+pWKpHqPUEA8a7pbv83iHk4v3E58ENTO
CPp4GzV2djvOUXNm9DfR2TBk6oUUv8ANu4J/95ikcIaSzSUdmpvFH/2tadNxv/CWjwMx8gMs3Zhw
SDM3oAWrw4Te9GgrSPVB65ARDY1B7CiV+ctFrBISr0brTh8loB3zS6dbNEw1jFusVTvKGfouxOMT
M0MMqgPo4nHh7N4TkwjvGdpW/8XOqfiBJHTUxpnQz2+ppKj9KM3ph+8xg8RwM4ltjqNrsfEaBTgB
Ni6k/HiybicoMVA/S3u8r6Jg/tKnprFnqh1LBq9XzV1qVRqhrRi1NwMd7w4oNLLrVJUv8IHhYkKf
D0XLWlvbah7XlRW1eagPA0xuVeVyl1RpBthYS/fQ1NXRCaLuCV9iyMbCcVByxrrZ3DkVPgHhlCgD
QGcZ2dtYlzmnOU5uYFPRJqRbUuPgDIy43Or9TBQdN9aT0wSESrzn/MDLM8W27hsFF6ssf7rUrR4V
3YG3rnoHGky3GWeBX7SpFqS8d8qHs2SDxEDJdu6BZYOW8iIvTGatRhuge48Ckt9JgtZdebFbgYUd
FJt5Yonou6u64FYCoz8OtRJHxp5hb3mO3n/FkWK8GKV0Q0clJ9yEin05ZnpYGSDarJaDegq8ITRE
K3Z8tv3W08x+M8829+qY/XoslLY1Stc+iEkuJwjp5OvAQEkeCjo1j2nXB/nXQoNil3vYTBioycBr
wlldCTn9crSmv2hjYR+mYmq+MfVH/zzps3uzcdpd53vNY4GWalPCpf852dX80gwZPq7guKVpFve9
Z790bUL0CddrPQ9LfJiY48TuBZm3C/s8WyhjVFq/2YVtX3rfiY+l1bsA7XJUIyOoxIMDDmxYNbTz
MkafLXlq7DZ9wtAGGGPbafl5iRZuBQDV+thLhGUb/oIDdphBVEhvRXw/Y/8RWm3vYmlWc7IhXsn4
SU76ZA6IOKLYGp9gLPq7KPHVxneYJ/DM5kazlRGsvCam6QnMxX+cvdqd1vS3IlxD3MZ/SryxvK9l
1IgQN5MEy0ppUKjoPOtXooNTtgur09fVJNJ713CSdQFHEsRlUqNGmoLm4DiEKDz94mzrQALpPL9Z
VP4PY6kyitq2o3ZuNATtGuhYcVbT3P1MIpEgSGmchURoC7ic40ClDl+h1NyMxEHYgBTVe6H1xg1s
NOcZeBuARmmo+KyKFE152pgFm2mt+nXXA2rd1JXb3+OKbu6x/6sPJj4iq7FOzdOC11stbpk3zWQt
S7ufT23JbcJuplI2Noxjky60q8i2vneUhEKfwDwE7QwdFP0OvEm3IHcRTvmwKDk3tpM0jOY0Yj6x
Yf1KrKBCkz95JwxIxL7OVPVdjTEL3ouRKWnqIGWA2YQv1Dkm5iTntIpbQq54Q0twCv2xztaNbb1l
ami/6C0TgtncG1/Tztf2MvJejMaYQz8XJnbehQ4dAj3MAetGoti6zGFSYzbgznWyidUg11HlaPt0
mLBFNCrrHBEimMMAMk5RRSTwNKECOpz7Gk38cGLbf2SiotxliI4vswTWzH9W1VZ4yrrN88R6sPJh
vtGaidLFEEDG7kHBtU3UPbaMZkgUFFCB61Jnmkaf/ANrv/6SWK22xncoAqgnunttqLM2THHVYOCP
R9R5+UStJOshHLjt3muHeGPlXzn92MUrM4bibOQzFaCJxJVeIEUEI67SS9y5B4OHfIQQ/d1PzHZl
ddLfgqHX9wbwqTAaBPgBrdXbBwKcd1cr61c1V+QhSfulhyP/zWuDN8oKKpw89kA8KfZD7qSkNMYr
Ll/1ncW+sAEmNz94uXzRwMxtMxx+7pMeR9lVk8XTLhbluCrNChh6j71K3zKQ0pvUWNtAlhfd7cCm
uBJeoyjbkx/EOCrURbBFOcuQfNYebJK8C/Wo3cQBm0MnnHD/YKb9S+tr8WEqKQFY5VMxJeQNnWxQ
aKMCHO2oOgcL3opvQK5FZL9haLvEdqO7CUz+QbC5qcom/ZZiLXEkw7XXRutG+8yf67XAU2ejZZ22
haVPWcEtAzaDsduYWK4RaLYXMIvtqmrlS6DD0Mwtpz8ybtpMK5wh/dAw0ixfwXYNqDtE0RpGofuc
TSW6tUYTMFK9RUgy1kYQdjmIiqrX3EtWyCQ05lrtVKlpOwi6uNOq0rvABCxvR7CEP/AvcHfguB/7
OsJJMZv1LcS98ks/xGo3jDaQznp4EsFo0u9vnJciTfNLG8fDpsuH/BJrQbDWgTLb1XQs9EY/mMWg
37S9VLukrvu9IWJ/JUsfiJ/WdMeZJO/HkFr6VrpZF8YCFmjQ++OzbeMWwvNvQg9+w5F5n35TJdZr
SrK6Hi2cigs5sMINZJgwxPdtmc1wFVNORQMg40pqaXUTDLAx8tbpN/Au7Vu/tryDkRQ/jC6VL/Be
bPDGjjriJUAHCbDZxu6d+G2YnGwFIDVhJMbKX6jV9N9bza3vg9RNv5pYqtjCqXZ96VsnOUQd/jNE
5qYTqKOmjCrYg0Mp9rU9NpupsTreXTHD901U9Q7MKV1bU9OxoeySno5jqu91s01uAjcRIEI5dHWN
ipfG9PkRi/kKqESkthgI6GteGcD1RmsJwaWxCgZ/Z/FMKREZPtN6ikCpk6GWAn50snaFWzjOkdhu
rTV0MttyYH7c6oLmYcyLeN+k7IWLG8GmYVAqDDz2HpccZp0VZX1x83Hc5LpPzhykebU1pFhwVpW2
1drYilY2gT14hCxXF9i+6Z3nKvdEub7dTq41s07dY+tN+OwE1lDfGqlj3FZEgHuNqO7g5/DUJ2nh
Qyvi+KEgZ1pxgWGNjqddMcHVgtEd/X2hgVUZ9YZaRyd0dOjzuajTN33S3ZtC2Oq+nLMbbHzYH7X5
py1kFnplfvHTKliZg2m+Y/iUhL2opvvZc4qtSbX0q5VO2qmo6xm48Nijl9FdLEWUWZ1FnUzrxKlu
pFKvtIdBiHT6lyrP1a3W47DXJ6a2wiJBhp0eD/vC6CBmY7N036iac5t+6EqXxne7aCzqeiBdj4Yy
UxJzEe1A0CZ87SNIPjsKXgbDzBBjpj9yBONnnF9dBx+l2Qu9lD64reS0c7B7+qmIrbYwvLKDYTbZ
3ZDV9do02XM9nWBlRblAylCUwn61VY7lV1lom8gwy2et66KT37n+No/cKYwnA1SrxCMIJ+MJPyL3
Dc+yad3P6WJ5lnhvuWjqkLzJ2AeJbT/1DilvVbrN2qB2TrmlzJB7uYXH8ZHNr8Cvh7XRyBnKfho/
1wF2MHlPUdob6h0SZHlT+HP1XFay4kCpo7VqrPw4MBZFQWfSqcib7pOrIsxVhu4Q2Am41kC132Uf
Q5dvx5u6ECN6Qxa30wfNvRuXzg8M315Me6jOqvIAZU8YaMz+mB6DMnK3mddhnOum5rAd3a4/t5gj
PE5AqMO+JH8M8WWidNmMaX6yoikP4zh5n3Wa7X2pxRvMafRwnlR51CNabNTCmnErrcTEumic11mZ
7WujwvnIp6Vh4vcEjbSjypb1+Z7Z//l9JCI9a5FnbIY5usBik4+Wm1NpmynelDDx1p3h1T+tKMZ6
Rmgd0QFfXpD4+Np59MrvMibFGO5kd/zipeOwc+zm2OeJuJHxQNm4GF+DvP2VpBkWky0NBfDm01af
A30XDEMJwql27YUzrH7R+MDxQYtr9ZwFU/Kl8LP2pyPes9Yj13RqfW9GdAsovQErg/P+La4F8/aW
2x9bNdjHHFrr3QyPG7GxW8kNvIlujwDZp9wpY3enl4Ydjksu3yQxs/uRGz3EA5tXFM/FPpVV9sjp
OmL8UUXrLM7RtGDiVK8sz66xyZB8STlKw5zycUfAWOfNKzK3kdqajKhE5clG4kTBYzWmI/jBt9Y2
jWM7BNEuLwRtA4Y+b6dqDLCyy/QzSsr4PNRFFjK7VgdbTCpynQy9TYZtQoZh4KYUaZyjTlMDop5a
/KtcUTNv4dgYEIVGjAkLP0g02LKZE/W2gmkMKFjoh1tSkCdKxtW2pml5gO1+h/mdtaljQvBkpqFj
TzldnXwWWx1PtgPjo0gqhN+8AEuf8AeMxIitXpDlFoLreNq6ss3HlWP0xkSxOjE2fZoC8cXcKwVf
L5uJcNDz8oYwenTXljsbYUxLZstlhhuMCaKdkaX9DRZOemgms70pSi80GMoNXZFfvB5PmGruofKn
ck/vKd0agbYRsytATOuUJ0TQnwYriPbFYN+1Q91SpWkJPwFzPesK+wmhY4s4R32qbeohGr/QJ0/D
0iGTrnVXvA/MPHyvOR7vM01N1NwzbPwoge4MzAUuPY3MrxXEabYFIm1rVeLY8QsbHWPnRfYrOIVy
MwQVLHXUVgdDz4uDpxmnuHa+VJ1fHbyya9ap6J9rg7p4YVtqj/Fft3aEPW/KwJfflNu7/m6KBlwk
bZwQGVS1nR3Qc+eRsmkOQr0XO6sp+svIfPKxwY1gm5h28kqtH8eUocXDW3SqocsRdRsPo6x3Ewr6
jaaEvyPTUmuXiO/Ys0pPRAb1vm68YN/ZMXBi6drHspx1YlhpPVNSoMQM7P3UJm53cdTo3QVBTO9+
CFiFtU8c3lPS3rqAp7akU+Y2LkZ5P4PtvxsBoWPORkXHidt+icWcUzcq6PFebvXfc7p5WFkFo+3j
alSajzr2aEAPJmzqUgZ8oNN1aXtXmSMHRkuTSRI3HKM+7i4c1jTv/MjDbtKFPFUZmrfH3bM8VBpk
hRUo5vkonC76CrqiPgDq0g94MRovBjWmbY4xVUAkkeBHOauZFJmhx9c2Ytg8Sxu5BbAy4riJsBEd
Au5mdeVlX3Tfah+N1hY3cd8ScxfZMMfhyE5Wr4JZa6H9xzm9kjjDMCOuJ/7f2LmWOH748XhxGYhY
W/TdfoBEQKwokmKXT0tDKqrn4XbWtPa+xhbrVERV85RhrUg0UU3kgnQSNiJx1SmHVJuFcO37fO3N
eK/ir2UYP4e0aIEtDeWbXrp1EAIWye7UlFCRx2o0dc+lrAgCfFFn586XDH7losezxhuxXLFRTL13
fd7KcDJUdTIzwB6YzXg+MkcAAHfVkPYcvWTcZ71nUPyCyblmhsbguHshdO/nlCKmmNkX3+Opjv0T
cZi7h/TLuTpqRhKhKTZgnuB3Wp0at3KoFHWaeNLixH4JilL+0KumoVoYxRk+ZZJxmYGt6rXvdLWe
S8XP7aGJnOOe0d8ced8LrijiHYyx/spLxjfcTAPQxKYGfiaBj4+Fih/7sIEl3jKdpTERypy5v+1I
6ajfwxCLEst8bIq2u5kS3So5GdP/Qdt5dceNZHn+u8zzYg6AgH2YfUiLJEVShrIvOFUqCd4G/Kff
H1g9O0xkbmJYc7brtLq7VK0gwt0b9/7NmG8CvTAeQpkBW+hVNHM2qkGRHNr8zBBxg+FzjgFJt62K
DMqG8fJzIb9pbmUZq/GBBLP6joW5ie9F0vFr2XDj9WhRUHS03ScB0vDBbMOa8ogb+h7aMMPnAssv
9dhno3sX19NUbXSrTaqHILfxRgX2GclPMZ1jL/DVIDja+Lv+jjocsj51MZZoBwO7Ezjn9Pd3XSHS
T/Qqg+SUOn4YbRsasGKn0g2LtlOWCzxwXYPKhs6p99tY1Dsp6bYSEELw89mooVXp+Nm93cv0U+XE
zbFss8HcN3bLhMgR0ZetBvI0IP0vNePALo21A9gJMotMguJJaF212EdS3dj69pR+oqQRfKMMzwva
VUrj0GrY2hTSlnfUz+ODm8XpF3WIu2SDotRAPxQfCj8fm58I8DePGkK2d5YZt9G9C/LnkYLsbBUk
wWxOM3jFaVz2KS96/2Eo2JhbqFpgst22/G7lZCbYsAcPNjSNg191sef4Foie3B6DPzUliN+ZYyzl
poMe0u1ri8LTNg55ICFM0mEgWwJDKOgxjsUnO6Ovj+BIMma7JmrZjYFvAlmROLtuavx5oUUL8YWK
ALTLGpNALotUDn8Urokmf583P+MOzw1KdEL5Q9FB6MNXrp6paio87kaMXrAfERjEYZbwuVZF/bVy
KVgkWu584c1gPdoiQBkxTdyHosYXp65SaRHkc4WGouS+AkFDPu7rM4AuLYP2EGO486BJU9+qg0Je
2XCRPnIOMHQZKM4m27hNgbMLbQzkTi99mgctGnzBsbV79VuZos2yTRvA4FSw2Fl1FxtfHCr0+BRU
goXA0Y2mRK2mLGYSl/ddBFNDjLX0PwK2I+5SDM6eIogOu6pzwgc3ddP3boPT1wGNFkPbKIjh/5xY
bwqg2TjsAbON4R1YYfOLqDI2Aa3Q76neWH9ZIowxKgh0ypBjz/WgNgDgG8XAjSzlZU5bfYxwk0NQ
k8OTFjNkMS4no92Zqek+h9gPg8tx2YFKWbEIeUvn6CCNFuBtF2MxvsmRI/gSdK6WedSo+s+KE8Xe
LFbwJGgYfAoicByo6ak/CAv+Q2hb6afRtKvnBEUpeReZ0v6Lx06f7Yqu4WxEDWwUEoJJga+gFGRm
DcjqI3l0EB8Kw9eL7UQd8Vs6Tjp5VlHq8oTubviRUFRZO6dO/PhkjW3s1agegEThfGTbnhbHjzBl
a6Pe5z6CQ2mOo1kkh6JMuXWTMfhGd4rpRKl5zJ966YwkHWEw7VU6RvHhBcPUgkX+XapBoe+xOeG6
t0rBFq7i+XwjxdNWj87M+MGvLjnMuEbEGGSe63stweJ3yyD8oe7Yf02FS1m4d/X6UyPGnlaUHzdI
dXIz4x8THNxpGN6p5oscVlF+zKN8oHOkNcOepJ4IlFj8NhVn9ajH+fiA4HXNHEABeS9tvzB/JGmd
RjwhQ4siKnX1uULFIg1Z2hyLPJzdBLMMR6BRj630KWyG7lg1VXFSFeQfXezO7popZC0IcqW1ZYEp
ctu1FAeMCMEZhhOSPNzwkf+UmhZ3ZDQJ7jk85rhEMK4VX3hSqsc0BthjBkr4Ed0Z96nCUfABUYxu
34Rm5yGmQbNsIKfe4rPEJI16lDX3dlfIcWfn2K5ucwVzuLsxU1O84tDk2OmdKYxtN8bdEeEXsnAc
Bkm2VaqkMIGNCQROOzmbWCTcJDkyOZia9ClMl6atnodS4yzmteU+dWXX7ZgHy/MrV9nieFxXu74u
ajoi0rwr6CfQsXdAmOpaaT4b7O5jgiFGQF5WmH+kBBSyZG2qvDLoH+IM0NQ7WqGErMaCb5IbAMFJ
HmLPHWLhtfFgglAy2SodHVpMbOh8AOwiXqjh2H821MYib6wJUibCdp6BQM8nEi3Efkl72LxN7NKj
DEtHD7e9nRIwyQ71e57x7RPyJM2mL0NAEaGUMLrgQr+nRvXUYnUwm4NrGwvExFZRBtgw5aDctW0v
7yhN8DVmKHw01mCNekNakQJmdscd33H9f2h5HOF/iHG0eh/jI+I/Tr4GgUbpqbHthwFPmgeQB9iV
ofZHpz2uJvNv8P//B8b18Vfx+Ef2S97Up3y+KmE5/zQ/MVapowCQ/v9++ROQYJvlIM/+xz6HOTl+
aH/V48dfsk2b/2Qlz//kf/c3/yUw+TyWv/7j334WPHLmPw2nv/w1t9oAA/z/5mNvwyj9tfzH/6XB
j9C+QYRAE+hFZL//JZv/+DeFVPvfIYzgagH+VszWF/+Xh61o9r/zOwK+8sxxgK4F7FAWbRPy/0Pg
EhwiHGyNyA9wXhX/nIptQRRB6xDxHQuSzMyiXTBk8LIXM0BhFqcwJWKHIBbSDw0gMf+znmeF9hkX
5zV46kIUBk66agCWQj0AJthMBVqgq6PBDDIcsZ07e/MUbD5+fff4CRH2V9P//m+w62tS8DlP5HKM
xYe5ABNKC0fXu2Tz7cdzsHnnb1ZUcV/wxf+Fsr0cYgGrHq2SFoPLEHL/4dvD8/t4937afseDduVT
tHP1msuBFiDUyqgR2xgZ6N7daLvncMfH0NTZ3p6xBYPtYpilILGvA/qNC5Yl8UFDFuTlLS5s4QGF
B6gm9dZH39N1PNf+pMHcI9SR8ZjoYafbhoKBoPCUuZuWJ8/tn2tlJc0ZovuKJ2KM/znN0+Hpyd0e
H+uN+z8cYsZTvxqiGkmRfXT67rLNj3D73Gwe9VV9+nMQvsWOJ+XSIe4A0kDu2p3pG6/GKAN/AlNg
E+tBV+yVxA93ViRw8goUe4X/fU7S+HuomZtLLwL1AfLLxVD4KAE1qpqjQvR/Jn7d5WjOeb0SUMKl
owLGi2r87VWaz+yrw4CaroauD/IgCE7ADDYWYPwEqvaUWAB2K0nFe1J7HE67FmCjrud3mW5Hx9vj
ieV8zgNCtnxBuJvmhZSQr8SVXiNZ7lUZdm56bVh7gzxiW8Ab3rUl7mhJQt0eeyp3T7Zq35tmXXpS
651tQpnnEFBa/gP0Cq62jabNHrG5AyArwlW6xcp+p0BK+qhYmbNBetV9sP2A90QWFShJl5Sahq4B
t9TZJ7iV2b0SJxU9bCBd1K+qA7A28jhbBQKFhyb/LUv3ZZeZh9tzcM744cqGzmvYDjxXFL0cVLTO
17loMjvLWjc4iDJUD26apoei6Lu3joK2D0KJCIVA4zespcTQiE+Tn/AOoTGU6dvepJkFnb9eGeVi
OV0NHSP0mnQKHDDcFqccjkiim2NmHGjs119KB7vUtDL7Ty2iSytkjitDITqH5BxRmTC7ZIXqiQ+n
IQH6MwZ2vksY+fOYNe3e4YH18fYKXRsKBNtMeAZipJmLU1Fk0BFpjRqHSQvMfVWb8Q7F9pCSZvg2
tWc2AzSlWX3RECwXEJ7FBKKlN1EtDVEKQxJ6j+kU3TgkJ1eO+fJqQXMe/WzOHlthllOZP/jVLebL
NpJN77aeTZfqdw6KItzWqRH9xrOAa22SAH8AO7npyg09x9LX1wvsG2GgTsZrGVIRROvzcUGCqRUo
Uf8YBEGB5kCX1t9Sk371IVej6Gtj2vV3tFcNXsua1Nfiw/Jy43YjFTN4skHaR+xkcdCo4IZwsWHs
a4mKsfwUFKiXDbKg12vXifpR79xAe+NMw6NCpJQaNeoHsPpebEBezbSTDTX1TcU6dlURedy6wbcS
0NdW1ra4xyi72JPBNitHY3mjGCYUSZSdkOlAJxCa3/k0Q8OfcDqE+AmEASgWBfQHmqrRm6jK3Fnz
KLAjLaHT0+Ejz0dBPg1ro8SHXtrI7F7L/GJjpWZzSOSwpjlw5YN0JCRIsKGjIbWw2DdBRxNqoKTl
WbU77XpbUzb2NHX7tx1zPgh2qctVrMKXRXXg/IPignrtFOal1+d6QZIkAbYcArqi+q6quIfexLGb
54+YbvIfVJt5NzjzR7/aGhTrfMq9zeD1qpFuClOE9zxReVy3fbpC9b6cP+Sa6I2xD4nqcPrOh5pa
pSlC0xo91ffrRxMJ9qNausNKKn1tFBBjs3ICimuIJ5yPoqBNEdA7Gj0tG5UDVNLaAwH95+1FujII
6rOECxe9UR478yF/NWuyYbO5UGK9stCmfdwX1MaxH29/3x7m4q5gtuiYwJElPeFtt5ixwhmGCvZn
7ynsySfKT/47Xa2rh3LElZhC+vjz9niL9HjeDOg2QlDTidO4JC4PkzkXR6kIeFQUgg9W0ih4zySA
R9Bx3KF/mOyastH3qJ1bJ7pQxcrSLSMcw6P4ixo7cYH342wV93pWE+5LO9S73pMmLUe/jBSKUCHq
LGlldZ9vf+qVFcSyi8BtcyUiTb18B41qluadhitTHiUQ/FNX37qBGomVq/faNwHco81uq+x+sdiO
aNaJOBbuCO8XjxVm1Jaeg9OJdoS5IIrT7a9aPocNsjhmD7LxHFVRRFvsGCyUAX3jPux1QS+cQ5ha
lfNepf//JQ8U5RE/eVhUMe3T5953nI+0FoVD40zt8SGg5B2v3M4v5OazWGvhKgUaFkMMSOpi6RsR
DFZsxL2qegHzAEstwub3qNi5DQBnCo16BwDYxEJcJ+ndcb2r2iGhjVdujVgvbdSMhiY/4BeD1jQm
uDEKzXGjfNGCCEMzxCLi3e35uzgA/Lg2ARpONlH6YvoGULctShujF6Oc+BdUE7Xfhjq9vZD2/32v
U6F2M0c+0AbAeE0d+5XbeJkSsUOIvtCPMd2hqLF82NlNW+JQXI0eKhQ+XuO0o7S+i44iy+pvfmdE
73K+fWXTXGxRBqVyg5MJckVo6i/2DMJLDTJCyuhFUdz9SNwubSHxAb7dgF+T0/b2FF8dDTa3Rfpn
zaH7/JCXfTLUnWWOXt5FHfRDm0pzICuYCqGurmy/a9PpwPudBQhNIsLiyzj2Pn0yDl/aIA2MSHDE
NT1GrecWEXwRWx/2g20HxsqZf0ltlruem+WFNI0p1FIYPtREONF4Gr2paGAMTPQljjoQt/cicnp8
J9XcS8cOvoOdfAU9Vj4ZAESDHI18EdZikw5d9KDxbKH0moIIXknMLqIK600aiByHiZQx+dP5CiiR
raQ0yVWg4I25DXM5PqctnPSN0jQ1SId07eVybRnQq4NXT3Iz1y3OB/Rt1PqgP6oeLC8sNbLcfaiE
LD6XRhXs21qgowvD//72Prs6KBchxU1DpfK5GFRNRQdhQ5+8Ku0hl+WxUe9N2Baf9KgOP4ZCDUP6
YGBAVxb/yv6meCGQVSXHnxXAzj92ACVqW1CXwXi7WOAloSuVfep3ztypq7+++SNR5CTRQXaJfFEs
ArZCsxKipT16YaIq7KIGmqYZWe1jH8p8z8+Bn2LZyrcmcnMcI2PUyRgRkllqPFudKFJRWxNNwBJL
vlozqgrweQxi/vbnXQTpl4G4jeeJdAih53PpzIyqlIqyl8Vqu+NBlaCZAJL97aOgDYAGEG/RWUT0
fBSIy/agNYXmNWi2dTvT77HcQrwhW3NkWVZ5ic4mWhaU01T0jngXLU5ejiC94ieKhhYOqPn9VI9t
tStdI5i2IpinDxWI7Fk2geHs+qmJik1Z6xLQWFjjZdH0MHw2amkmIKqdCC7S2+eBDB3dS3YvQnmL
efBpfMOCLDUvTp3S3RVxYsqDZYTTWnnh2hF5PdBiWXmrpv4oGAjCVh7MCodo65cDroRajff8ymdd
PPe54gzCNVqmPNsob50vb1Xh+NYnObePouDHGgrlqxU3+kkOQ/Ypozv9FNV6vXMzLHJWhr6STsxK
y4iTC5JMbCvOhwaalozwkrlpMzd/Np2ZHF3Tk/9IXICLmzau+i5QfKCNrlluxy4t11wDrpwgnnd8
O8wf3inLh4qtF23lWlL1LKAkmIWrUvZ3UStLd0Vh/spA7Gzen7NSEYobi7AOxh1icNLYnhpgNJCm
5bCTeNG8PXTxQiFDIraqc9fnfEKlaHuQcL7t+aZiUbsHKuruuj7KfnIRhUgATr7x7fapuLJZ7blM
RPbOnsW56nxIdDfCEhya7RU0Rnd1YMu9GEca6I30V94/VwKzS5TkqptzZiqY50ORGTlocWoGZeim
+ZElAVoULvJcO7fKEDRA6rBuV3K/ZT9ovpLQQmKDIoJGWXZZ9zWLugRgFxhepk+VfZCALkCAVlny
vtbC6n7qIeIHVdD+NhoB1d+aIu1D0aXWmpeO9qLat0iaeE1TbiRP0JjpxeVIEd7M1Cm2vK5p3Riu
LdnIoYEK8EFRA8N61NRa5EfHLJv4GLVuXW8Q5zVRkUBi56CjARBzgvIOOQvQQl/gxFfFThJB8LuM
dVQ2mhTA576LRfMlz7FY3UYRiKBd0Blxisb55H8qdC39Cucoe1RDJDy/CWDZwnMTSNeZZaON7khh
WruOwpZ1DIPSLw8KJkoCmIVi9PdhUjXOdjJqA7+DbrRRZHEy7a+67prfJKBV8S7UTUWCldGTL5US
ZgobuLHtfYRVxEez7QxwIlJRESOR0KP2hd4YPzsXI6FtpPoNZMlcY0r6UXG/tW4GIRdMWFLvErNT
nMPAyei3ShcD/sgSSO/0h7riYywc09/ZAv2VjUINzjwIKF9wFXgEahtQI7q/n8AP/NCaUGmeABTX
D11vAkmF1lf/iEsS9G1KresP6aP3AP8J7tquds3xS9OV7XPZ5Hm8EXLSngUKNr9GzDF+hjz66qOW
KtMHC8AVyJghLgWgNN3FXS7hZUcaPpjiQ6pZdbDrRt3/gNINCs/EQuujX6IesEEe3/8Z5g3wxQ7V
/sdG9Tvb45u6z0Xbmv6T1QZED9OK1QrjsTp7bHOtlNuMetawrUWvgHiEVvyjx7leHIV00s84tMLr
8au+/csAuhZ4LX8GbBxNwuk2YZj9dAKt53sqmE/3Ydao+Rb3tArAapHQErGMVkdKp+UHOmA271SH
KOdV+kGd+gKhxLzSdOrJg8REOxWqf1KyGC4b6LJe36BJiUco2D/dS+qyUI+D7hb+ttAzEDdBhZHI
ZkBG7mdhBuBMAK32iD7YNTQEeE/pH0PWDj9JIafTaENkB8yrgws29aoWCLEM/p+BoxZ/ItuWaYei
bsGE276q5PtidJRvSgDvbZcg+fGhJI0gi2hVfgz2GSRHtenVjamIXrJDBvps0CMyYw+GVv/9v7pk
6AdEDgThU85/NAxYCA9jVKYrD8MrcdolzqGCOHtqUpo5v/3wPnArxZeGZ/SoOG8Az2HiAvMo/FYH
A+SuwKxzr1YE6Ea/w0tw5el/JYC5SCJiHwSAYhaEPB8+E4qf9yr01IZr8rGmY7HL0jRcGWW+wpeX
HHcc38fzkDbO4iOHsW1EITLd06XSgf4lPyDyO4Azp41KBE23rUjtP0N7lMXv24HsWnQhPNMXA6k4
R9HzDzTaIphTBeyB07hCtCUyx6MU6vTRLB37OEjr++3xLj8VrSs6idR9eG3i/Xg+Hh4eOdDm3vQw
Lmow2egUTL3cqi/be9RrTQvUuDkNUCcU0t/bQ19upVlJlJGpIdIvW8Zsmk5aVClDfCrHADmlooFM
GkQJwPBK7Z1qkxV23u5bnbt1o4ehu/b2vFKGo3BLq25+tPA2Wz5cmjG0jNGKMwj+Vhh4neVAiQHl
V1QbEZBn75vZUW5TK5EUHn2AUjl0Rg3MOpZqA14sB4J6e0ou0xhaedS0QAuQArMNzlcjURBCGdIo
OVW1pA/tytq9H6Vm3nV15Pxxe6zLncZYnGUch1QbJPmcFr+qjkNlr/JCTZNT7oh2H4oogUmttw+h
0bsH04GGd3u8y53GmwXIAFNO5RoQ5fl4XYdAR5ROjgcwNTmCCHI2ljllDyIetSOwZG0zqkKunOQr
EzoXCG0MIQBeXjy9hTqAzYBw5HFzp48EcgnQFqX5oFXXPNourybbxoCDRg2aCZeNkzoI0SsypesV
ZqkfsExM7poYn/jbs3hl1ZA+5NRQrqWTvcy/wB3zWChbQDlqrBBCfOWTBPO4x5ESjO6khStVBF1n
Wc7vQjJ5+mmzojZCjy+v5VfbJB4m0Q+82qgN66AMRehw/VHPEKi19ZX4UFR5P8vhJhJ4r+b7PuZD
Woj+TW2/jxSjwBmpn1Ue8F5Vnv0Rz9WdJkWWPsS6gXyVLyJEhCSGiR9itemQGMtH43uDJMLnKSAV
Wpm+K/sBIACvPVp3jomL0fkmjEad1NJsfG9Q9QF1Lw0Jhf3s2o4ETGCi33Z7ta4ON0McCFrWXMo7
H06RjousYeJ7JTwVZN3yPFOQpKjqZwPKrrLykL2yA2frF4crRENpftlWqEatVuxQ870mk6SXQYel
LWSdFazR9VFAHwA1oi+z7Mm4NSOk6eh7BWwDkpFExO1ndcAyZGWgK/EBJxU4uA5xYr4QzycPTZqu
sozS9yY7sqcd6bJO9oc7aS3bzISua/X70hnCdxFiYGtFgWsrN5cDeL6y7fESOx88pV6sdFL3PVVp
omcyokb/lsQi/6wrtVE+v32bUBrkkccbFsDYovgRSCfo3aGDa13j/tZVAI03BZSkU6e5a47XVy4Q
Nj71XVrKZBkXsJthyhNDGxUvSN1sl3ZNs1MDKLhAZP8cOR5vv/VpVoD7pJJGw3fZTjbVpoH3qSlI
Z+vhk65W9c6arBTwfJpv8rJTTjWaNCs7Z16cxZ3FoJxaRDwF+2exeE0Hlp7YrSB/m1kqzEZMT7ZJ
BZVkD3lgAIeX9Za7EVHew2TxnaMOpcp4c2nbptAC+o+vpra0LCMmaEpkptUqHoXLTPNQuQEY1gVm
3x9E2o3qbnKDAE1Mf6w/3d5O104oPjDG39UksDPne5ejGHatzBQvhUd6j8iCsg14zq5837VR0PGm
Mzunq5RMz0eRSjmZtVOwsgkOrS+Sb2KXtyjerAx0bceir02CRuubBsXic6zONVDvDPkcm2pS7DYl
AgfdX0ZAzbUOsjXw7bWTz7Ew56yI3vNyuMaNYuQAHBdEjDR2hiiQSrIbazPG3T84HPTQ594rsDS2
yqKY4pjgUPU29b0WUVt32zpx+0ENMwMkY9ZmIFINvCeB9ENPvb1Drkwp96nLXwhXg8FYDDwVbP1m
4htbv0EuVLNTeC2T9TntqM9QbF2zz74yp8wl8damR6Bf5LVmSlF9fkyiwIAwj+5rMcQMR1B8lPLt
QZAmC9coouhzkXNx9mnl4/4FpcorURZB1jAP71qri4+3J/DaB5GCUZgDusjeX2z+AGhAX5DJe0GS
Dqg2xM0+qLTgF0I1+e72ULNx2/I2Iza4M+WMX9gp5wdNT8ta69PY9WJXFieD+sphgDI0P76tAAFs
I92l2OZildiC0pMdmpuW63ytxRQc/VRxVuqfV8Iy5hq0loDFEZmXz7aUwkaG4h3xX5ZQ6ROnKI9F
W3d3AXW0baQE6T6qLTI+Atqarfa1aRe4btggnXnbL+/UCPiY3WaMTa+ljt/11gAcyskNULmWMiCh
dHvqrw7HG5Vrhwv84jEeiahsc2GSLUKuOcFGRtKdLdG/78sRatLtwa6dSWTU5xYXDqZs3/Nl7v0J
dZiOZcbWw9pow4C+sdAFXMVm3MhUdVfGu1JUJjOlMwhIWeevZS4MjbRPcUWDLJ9OyIJkjY7ka6uH
MPdHX62Vg1XAZL6nzI9sJvqPXbEPceFC7CcbxnTlQL08thcxmx+FWoRgVxFUFicq7g1pxI7hezLu
M8RtKMKgplNkRfgEI4xyKzqpjr/3J6UbELFOkvsui4dfFupW3+BkFc0Gv07IcsiLxEh1B1qWHdWm
te9Gyuo9ys1ouuzfvmJzdvFSmp87k+crhnFPMKgTFGh4rvWv0hXRdzTvi+/g5fBVzuPO1Ffugsuz
x1OMTjlZscuTdnkVoIDpm6GWOYACpr46GrLTvvumj7Yl6Iq02csywuMNUI7xaZLS1Ve2zGXId1RB
i4zQoc7v3EXYaE2ZuBNOYORVona3Q2AhlJAMAPxW4tP1gQzAjsBsZpzz+cyGIH/bJnBsD+Kwc8R4
LD+12HmvfM7l8eZziBIA1ii2sOfOR5FpgFUbPG4PBRMovVNnIGEGVhtc4rCyva9+EE8gyE/AEQE+
ng8VjkUbglO2vdQHROPCD/BKvWu3tzfk1Q8ijaBwSFWHrOx8FEC2KhJ6lu2FCHXvpIsNet2pAskO
KJX/YCie0hQjcZi4AMDqIjAjqJ+U+rkqthAcx33phsN2Ggvtn3yVAxKGaE74W276PCPBNkAkelM4
fNUACwHExp7XScp+JbRdXsEzwspWIbMA/yDhPJ+/yARlOFmDDbCraE74UzuICSX9dkABBa6TMN98
gfBNPI4AwArgZMvayqzekIMuchB+sdS7AnXuDZ5Sco+/UrfVrH7tyr/yfex2waHCfscBPnr+fXmS
hyQODdeHHavvW1rdH3i3VfKdn3WINflFrK+8xK7sSDgQgDcB7M2EqMURC3rUc1qldLxQacdNVPTF
hg6+vRvLcc2I59pQLBzJAammdgHnspsCX2yAkt6EvMVdaDZyRwsI1diZBnx78185zVQNOchzCjSn
gOfzmKCmYTUEHU90VGmbWiY71LT7lX1/bbVejfISv19V3tA4Bcc7SsfjaAC+dPWRnt/YPY8OUkFD
Zln/YDey6amIY8QxJz3nX4VDmYYGes1aQQTfIMPtfhitYdwEQ5EfDCNGPe72NF5dMQqms0UT/15u
f8XpbGp8hePZnR/sbem2BwtAHl2uYY1NMq/IeXZBERju69xGpwq8NBdpzViSEOTMZa3q26akMZUY
7Mgkm5Lt1AvVK3Hn2FQwFXYI8el/3f7SKzk84wNPoAoCuI5+y/nc4o6LCKjF3PZ2bGBlhijOL7ea
WmOHSIWdbjPdksX7sUpqXGZqHVcFdxDyU2bhmVpSIqPb3IdxtrKPr6QT3AUgPOG5gKla5lx5PetV
DsKm7mSOJTq2hfYQ1779R9tWst/SdsbkyBFd+1urEBxeGf3aKaLLBdGFEhtMwsV+y2ZoNBIhLkwN
RSJPjDUvNGLldHvqr20yNpcANwY1kj/gfObDwDaGSKHtgPfliKhlHu/jbnR2zlD+vD3SlYR6JmcT
qV4YS7wXzodqOFITBR7HA/LQ4RkDWGOr0eewtkOeWt+NXMZY1blBf1JVHtuu1tPtbZS1JtKVeYVv
jQU1PT0eFBdZmogEBJvR9XI3TB7bpERKYMzfDM23+FiCCd0qF3Th8mavLSPR+1pzPeRzIv+lOgIK
e3SadOWWmGdtcXRnYDoUC7oMc7npfFbDDOkSvwl8D5IBsoSpVES1q9M6+YKFtxXdoTJdPQitQWL4
9npeuX8RlAE4acHjvOx8oDtHLQHRWc9KE+1dw2zfDXYYPBgBmiM5dk/H2+Nd3T8z3hBoH7NK3/n8
S+1CJ0dMNKok6Kh9Txy/fLBkiE6ooHeALSgCMxE5KnRX94hgTXboNbQNb/8Q1z6a9gH7B3kAQ1+W
TwajmSYZ0cVqazP5PsSFdI8Wek3IQOXCEHv+xpTsb4955YiSgiOXQMOduLoMPJQ9epG5BDqnwQmm
nvBBErg/HeJ6LP7BUIxF6Wa+hsmSz6dYmGObt2ZIjAPI8DmNXAPthmIyN2FmBtXKzr1yvYJV/a/B
5oP6KoCrKjqE5sgrxmpD1UD7o06+o4AsTwPwMVRip0B7D9jDsTcFCOHBuz2r164BnhtzYx+umrq8
jXR6j4Y7Ko6n6H3xiGR2/w6mgL6SMl9bO95Q80Wjz0WZ+fdff2NCPlGi3OTZo1nvDYHDE6ppxj6s
Sn9lOq99EJVSWsgARS9ZMwYyQBM+2g6m73F1Svwp2jm5KP7BKEAw59f13Mi9AAU0MRy7PMGuBIX2
45RkGMdEVbmyD69Qbhx9bguSFiPCRPn8fN4oYA/lZOE0WFRpCddOkx9HoSC51uHFhgEHJlv+GCJw
iEWQLH11o0B1ewd4jKal0So7VPSxA7Wr+jGLUe1DHMlcWdnF7oX2Te9kLm+QnM0d+0U0k+iOxjkY
w5NtD/qXHt8XZ9citi0eKLWZ8hTpRWedAkS6yp0AjLaGw17c+/P4dJ4NLkS4ZpQ8FoGbVYBrFzXl
aWoTZSfbbkQQrmz3fWFkO6rj0T4eGrHSa1jssXlQ0kOcVWFfzF2yRbBBrTcAKdcVpx4DlIPAuRMn
K3RFbx/NxaF5GYX2m5gRsleaYoK2F31cPz+FWmpskqgsj6XQyfEwa1zbaPM0vQqf/xoLoqrBK+yy
F5akQKlUpctPGPjWw1HUPoKpwEyy92kPwPNQmgWShFbdjbuO3Za804fCUfb1aFc9HBg3X0vFr00x
Ox9KJt1VnPYWUzxkYdDiucLHd0P+s9J7hLwj0PgrgezqMMaMKp85fRdVg3aQ5HthVpySStYfgj6x
T9A7lN3tlbxySCjVzlx/rnmIwIvrr4pSvR7cKj+ZnZuITe6CTt4hMI/WVxOE/Z0xhtRx406Jj4XO
A2tlda98JOkzkRoyADiu5QvKBT0ZKHKqTwOGLlifFP0dLjP6ylQugVLzHqK6ifIG7TcKgMuo2WIP
qBt6Vp8CxVA/u0rtP5W1islpjXFHmRgKVk14rHTd1ByARrtbHWefZ1PJkhX8+pWDg4SimP9FafCi
jxSBe9TxxatPdpbnjxDU8q++O1a8UVC6v72y16aWYEP1UaUVeJGUxGU0DVpsVad2ssJ9l/NUYw+t
4RkvLjk6jYC95hjNHOvLRlxRCl8BaZGcVDunNpKy0/ia3u04o8NUqQdazPJ9oPuYO7zx+xiZeuSM
E7Holy2bxCm6bGpcpfEpCt3go2jaeGMasl0JIhezyCjANQkgVFmp4C2CiO/WTe5oSXySlo22UDoh
XTlWa2f9coPOw5gav+D+DtZgEU2zNIiqqPOjU9DhSrZDVaSLNmadueVjl2Q90lZhM6l3fa+jntep
XdRsnQzlyX1lwIhwNgYim/rKw3OprmSBaIefMyvkcPvApVzcDcjLSN0OZwvMchQDcUstyw3ubtm4
sQc2HBaZ/ngq62KyN6ETuz+FMaT+htqAGt+jfIp7a9wkiG7XoN03gyXkd22M1foAVDN8lnWJOxIC
P9Eaw+jikPFzwxijWgLCDOTLYs2MtstDUFLJyaiM4T628ug0FCnY7xTXotub8OpQJBeUgOhCX9xf
imvnSO0gwy2MJPEmGerYXyS2F03p57ePxP3MCSOoUf1cRJ0gK8q4C5qYg5ZZm0bUzSn1sTxrA/T3
bw+1hMy9LDwELfiFKgkxt+Z5btdRDwyA5yWnEbfivwojL5t9nwn3szL07gihKM1+VKzBjzhWk/jO
qmBe4s3Sqt/x86kxNqtbA5ko0p72wSw780OTNqayx9UTl7BBd/I/0WZAfrSTg/hSODAdNnqazRbj
gRjXvubaElmUxen6XKuc6VVZBXrcxyd8AlJEKId4U6FusO2ytyb4f88bxxdA8EwcWiZf4MdDFDa5
kowIes3UjtG7QqDbfnt5rl1JhGzoijMCkPf9+epUMmzc1LZRJ41dZxeH9ayHPlq7t48yY9SB/7hc
8Mv8HmbI1GV6G53MbDR3gDnFga7vG8EO84xxg/OWBSjHWEt8YaTFeliAFD/1iR68Hxxq3kCOsrdf
4oxCZoxCjQPnfXG7jorV56INGEUd633W+cmBLoxYyTKubDRaBPBu55YIvfbFtVMrbjHGVcJdkFej
vbdncvvGR8ol3/DCdOKVbXCRuTF1MGOR9iExBlq0OKQJ3i4WxY74pPf56LWdk2cbLc1QyIeE83XQ
Qkruaiz+ULHnXEn/5x12lpLPQ9PjNl+uvYuKlgxtKyFcxafCRbW1FkGlbIpMm4Q3wA550MKh/5I3
ivub2qD9V6Waf93em9fGnwuiaLxAu6c7c34CLN9M8rx2k1OH4ON4IOtz6scARrlzstwkCYDmVvUH
iQRSu+fGopUoJicpjrd/ink9/w9nZ9YUt9GF4V+kKu3LrTTDMICNscHG3KhsY1pbS93apV//PcpV
GKag8l0kqYor0ajVffos73K6CrR2ok3RbePgn3yAigLcAdtQHjNzlAdn7gjErhOFX3urqL9lZZHb
Vxo7lw8O5pltxjCKi5ldxkc43WaMGyZ6Sx6gf/hTS5KGtfbiHFqhTOrGG/77BUcRSaABAsjjThFe
ENe7AH+a+tgAQMfaB97ZVx1q8Yxitv9RSndmRV89zH79XUs3xfawTanYhxKFurAQO6ZgZtwVDwZW
xZhDNR8copNu4RZ/GLhtuFVySF7w5BsOeT9p+PPl0aMfO2KaVEz3XU0vD35XbiKkZwhMC9/fN6ez
lH8eurE2gtBifPpmbtB0puFg6YxFdajXO6Yo6FblM15o1QhFy6+nixFS0m4ufAvQOoZmhdDtnvyx
/d0tuBe//3POLToXIyQDMIpW5J5gd9k9+dzZIYmFh6w3Uv/D1RyF6mYQWbFLqZsu8HKAQ/T+U89c
YlugJK32QIKQP73+1Ezky9o3mvII43C965vWgTRjhL/ff8q5zwvKm6EJzWgGCdu7/6u519p4e/a4
2R0xPjMuanhfF31U6G8YJ7RfS0iI/8fZ5IxwLDkvHPWT7eT3pOfYMbOWTs7QYp2bvScGACC+/Gj0
dS4MbOsGKnGrGk7vZ/DqM2NpibknmjGxp+ffysUgcIE4/cG9dvZTQT3ZEGv06E5DQNHleIClcHow
xatvzMCYrlJ6ax90e89cZ7STtiwaoBqAzpNPFZmA4gPswo5QRtcR565OzPEc5ave58y8WjhOwkFY
P511cFVnTfby/lY5VVPZTiUyjkQCSAHkVqdVw+p2AcbTpPJlHcLrAOyJnJAxgz4x1racHh0rD6of
tW4gTYW9Gqc4NxZmO3EfBc0D4vc+Bs+qwIF+9Qq33tfg1JE2VFhu/Pezwy+NgApwB2zR6/WuXsG+
ovHB2ek6qpqyyuU1zY0Pjs6Zrw4SYYO9o5b1ti8+pi5i7NIVxzz05gOFDZrm66I+6IecOaBbbckm
hqZAr/Tkq9e6r8eeIfrRg27z1UqX/Lbz5vzXoqDRanL1j4Zx5x5IKNhgYCgmvOlXBDV0lkyO4ogf
g8ZGYrUPPfZkn7AC/+ngSbp/f1f9k1qeJAlbGx4EPaPzrSP7+luplGH41IzZsZe6ucNdKXNje1oy
byeUqL9ZUzo2n8LU9NtjyVz2chrW0YvheWO5sTkTXDgDNNxdTa3m/SoKia57XxSYxvm9HBF+X0qR
Iuxez24yzBDLY4EqkNhjSe2UdLVDhz6M6GHq1LKwjKRpBY58BUrW6UVlygbpzcJorzSeGH3cztDM
d7JAIPIBPkcTXLQWzhP/PUbSECeh4P7b8AQnK9LYNaYwXiGOzeIu+ykEngQCx9mlPYL976/+uY+N
HAW5OMd6a1C9XvyKP5porxqX4Rwtx7S26/sepfknV+VmkpeG/f/sLnqZtE0gjHCxn2znVMP3kQLK
xGQNwU40zmdhudSb4Byv1tX4CDF07ozCgKHXT/DaMF+v32+VpTkAj4OhYZrdLne8zWl2rT+IzGdu
GuC8oPyZXYOCOg03JvMdoSPfuLTs3vzljdq67rAq+DrBuPz2/gc790L/ftT2Qf91X08EXtiQkXHZ
AQZNXKOUhwDrk8P/8RSwujQFABAD3Hj9FN9f52xctDiKqkXegb44vrfFRwj7MxcaMAoU+XxyDwrP
kyhd5dlcMSUVxzRwGLeX2MyX7YrI5jDaV9Jvs4MIK3MnKmLe++93btujTQzC3QWb9AaVN5i9rSbM
x47DvOSor4rygJYG5p0lrzsh6py8/7xtV5/EOFqXQLG5PilGT3c9Kme4MhZBdpTuYty5nbU5QGY5
YsXgNzu/qC69Ce+9/+Oh2yiVqRD/OO1R9Qpf5sILs+NkoS2BOfGYDG3mHcPeDvBg8vrLiJ7qBw89
cxQQGQRqbm/NWrBYr3dO0Pk6NYxOHNmpWFKXfk+xGwzfjTFyLt5/v7OPAq2FjhPXPEf89aOAQ/tj
WHH/1nkeXgw+LtQS55DPoR6f/48nUeNtE2OAxKc8qKKOpCeVEkfoPHpIrLxyFQO2Rv6UgM6n/ftP
OwWJbHmWx8yYtIJODEIIJ2PRZRaZ6sssO3b9MNy4oVFeBJBJodmGwv/WTWGu9p5cV5m4yDQ8QcDV
N3qVH8tkbYXN6baljcHwi8OyjYpfr7BQOtBNVWfgZDdzMUuXB2B1w8WEgc8+GzF0kbPGkTW3GszA
PehoXTq0HyzHmbO6RQfuKIvrkMbu6x8Rel49ebMjjh0GtZvZ27N07C6O/NKjseL/R9m4fxbfYRxG
ZxeUNZ2914+rmsm102Yjam79vV0zD/llJ/rsd28Y+iNR0jPRnN3EnIsuMg3r06HG3KxgKBqFD7mc
psSxuvZqKU3z+P6GOndQyFIZH4K0fytOt0jtD15lYz2jULffeaPyLpdyiNCV7HPn5/sPO/u5qINA
wQO+eZM+ZpPpN42NqXA2jtpL6r7hy6UWU5CisTYxNbBq//2JyBRtoiFby+e0p6zcYOZuabl99Rq6
NyEuyMAYCpF+rgx/6bHXksF/VAL4Z5fQGGGEz7qSz5zEHq2QNw4RazwWecExlG6UNJTy/8e1QVpG
XkHn4W0fO1Ur/hM+qXhbGwNADB9qzgFjNe8iHJ3+ekMlw+pzMu+D6//MhtlGzUgcbApfb7LCaKK5
lNUm29IrrKsswyC4dDDPSoENfPDxTlEy20qiC7px3xiCUqpt++lfCY0hunWJijE/jhkk3oMt017v
ZF2lazJMdmt8TydP+xdItcj8svY9A0vbukOpxF43B1nkM8NvJqoeJuYPTnNZDnJ8qPCPx3zYSz3z
g8Th3Mr8+9eeRMTWWDBr72R+bACO7NxlzEDt9jh4UsP+94+/oYeIQlzfXHMnj6q6gvkdM2r6P+t4
b85rkzQ1o2PH6PQtAhHuDvXr4YMvv+X7JxH/Hz3YkDIfhODpsLoeh1Y3LTlDUEfFXT/hiOsjHpMM
GzM/9CtjB1zU/cnnMXcj2ld3//kog8oBKLj1Grdr8PVmGJvM7ycUw46+XTv1TrQVg9PQ66V9ELNd
5eiHBMNHNdCZNJTyACgSiS5VyWmHU8oFa+ZhyI6RYefXOGt3FzC4sYI1KotNRIvVAmD7MwUY+oHy
xrndRHJGlsTMhSb5yevOQhWljSz10VCpf9sEpmLghwCWXbTBBx/2TFgmIPuISUIyBSl0klMEi9/N
K87sRxuVDlJ67VgH6WP35ys6l8LU6wcn5dyqAh+mKtpkKpDBfv0pkW8uHJDSxTETo/gxdaUCcKWL
fetZS3CVdwO2joTM6ILq3ZAfPPyf//vJPoYLQKJNzQek+LRV5Q1WylRbs7LYrA47ezRgXKMzbmZX
ThfMLaJaDaLH0yiyndNT8jIFyUw7bp2wvkXzYnoQrbFZrAu7q29nLmYs9ISVXgXOgLd8mub9XdSG
7Sc75T9LlArVetGGXlN/cCLOZAgBCQINEsRZ3rbf5zbTbqHpjmhVzLdA+C2Bc2wXXrx/8M49BsnD
rT5hYPSmy1QUc5kbY5Ud69FYbsIBaaDaDbIPnnJmv4MkR1WRLWiSTp6ENB+dqcGffHlUnjuuO0co
/MLxWwUh59IWfnr/newzWzA0EflCH3dzaTodgo3BRl/ehiUpmnPiIu0w+IlBaNnfculOQ+JnCt06
tmlvHxZ7QfOzJL8Y4x7F6OpJ2l6xXvAeebVbimXAJj5c18Sd7ba6DLAJGZJZotQcD3jRdodmFfPd
VA/mdOtiZzl9631flIlbB2ObYBggjCvNx+TGGofq2hVDfQdIGQee91/6zBJDWMKGA+gdTZbTYKbR
NBuCwZFky7VcE/xkp4Mj3Ewdh4K/f3BH/SMbf3LOYCAA/oHdg8nI6ePWqu5HsLMscT5aYTIUfWUl
gzRbdM082OqItvfyqQearG5MV9bmQeG2OMW+QI01AVfahbExttZAf96x8LZfJVaW/31JkDZCVJic
3nnDZseYUa7zuFTHugj5/qYaLox56WKvqtwPouy51d9MZSh/WZY3043ebbKswhL06CHAcjFUbf8n
lfD2B3utX/77W0Hww51hm64y53gdX8U23VbpWB3Nvgmxonf8XW/ghuuX9f37Tzp3jLifAMjRnoVN
7rx+0pSWQ7l2sjrSjXmqZB7uI3/B3rYq1zs3msakKTB5nyxVfFBKnAlKqDPT9mb2CAjuNBlJe0+Y
0mM1m6ZXe8Reg08L4K//Pr8l29mGBGBg3nJPK6xz667t2B4iry7X0lD7bF6DT8Zg+R+gLLb4dnpa
aACRtwEM2DTLXq9kjnKmxI6PFwpFdpXJqU5an4osHxaLC8jIkkqZzcP7n+/MnoxAQLBDgCO8xTun
PUoLHjoAxxzbY8BQXXpdWNNT2AT5B693ZqPgLrRxusgxwJFuv+RfqXyf21FLNC6P02yM6zGym7a6
ygimKkHzbm0/rUUzz59HoKb+N1jfdvpROPLfLvA2jSEoc8G8hT30SysxDTarY2G6+Z/UoGcPUysr
7i2/qnAGD3x572UrnVoUrwv/q7GoaNPzbUN84Dw3v7V7GHKHEWOKazBe0DbUJIQbIxsv+/373+XM
ZqDoYTDJjYgQzWlTKQ/ccShKpmmKlOwg7dmPG7Nc0ZZz1qSS5PcpJh0fZJxnPxEgTapJ+ktMGV5/
olA1k5kGY3kcMAn9aUVN9bA09URd7maHouvLG8n6cr2Z3gdNiHNdLTIMTjHXMRXz6aPpHi01PIny
aAdLBklOqjCPrQbZ1gR/dqI+kghVtRvWRtXJOJaWk8wqdKy4H7Xx9f21P3cmoABs0HGSwzcSp33t
UDsHXnVErVgjUkhR8pgLV9sXQKQxf37/aWfiWOThTcR/SycNGs3rRafKlhm+uNUR6F8AzaFD79dO
PxKROfdO5Lt0I0AkUkucBBdBvkLjcOAplRXcAaJ18Ppa6r3gXvzghc4dM5JRGtqYqG0t0dcvNKN8
r43er46ul5b4ossgT5w5C37M5ZQ5zAuG+uH9JXz7chY0FYb49HcYK59eBSuSSVMboeNpV61FI9TF
K24XOar34maFaPn+0840JciEmX7SWN78X06JKbVLG9BIiSPhGOomGZqiE8wHvfI7lD0qGVd2oU56
kbfqLmqmTMRpGgEfX1rPWA4+FzFMeC3GdI9yYoFjpHaneq9ru8fk1XO0+58/CIr6PhNDsg64/6fV
HdpmEC0mEJwe6CN45LN35ZUK0lFol7d91K8fPO/M54BovdWTkCIAxGxthH9FevB0ir5LUxzTtnAS
0o42KcIVOqqDMvQH3+JtS2JrfW0NUppR0DxOniV67fuj1VdHgsrS7bJhnNJLPxsplmfi1H1D2f4z
rTrdHNagzYdkga4xx04bFCI2a61QXOhl5l+DSp+vqllEz4CY2iFuo9mExyCmSexMMA/TbiwmbuMP
fv/Wn3596dN0hQi2ccF4i9NvE6ypowINgCoPrPZLSrvt95SS18XuYq9+0qae+5fCEfWhVUZEIEQR
i2+yLOVy49dVgds4fJr8g6Tn7QmGAcr+BhhD4w1FotcfkPUcrKjbrmqrUfc4jPuxM0XRfpSj9aCG
+cf7i3DmcVvnfvMb5V5+m/hg3zRVY14ddUo9giC8+DwUK4CmyKep467FR6yZt5crR5eseNNZOoOV
KVxCvFF6YH/yPv86ZWCyZxMBk2V1w0Mql+EydIPig/znbZwH0xxQPzNT5DCelrewARo4bOV4VDhK
4taJiXJb28Hx/bXkiG29k5MtxciUopYsB/7caffZl3lqjmUVHTvROng5w2IRn+sl8PYRso9ZLCeo
g8mUzcFPq59Qt8u8uQt2U6fHJZahMT7DW6/tjZbmP/bo9N6qtMrkZ093M4J7lhz1DaySvkumel4a
xsxtJoD02KI7pEsaTBgc9/P4pZsgvceou9bUwmVa9dfrYMo2cZog+oVuuPHoak9+kdyyqDZ5dvoY
CpGtGEOSVu2AHRovyHq2CCmtY/PZkqL/tSxzJW+idZ7/eNY4FlAjvLFOnBJeR8KrZFVcWD2caABj
3fftCGcxFFztXejey5ZkjYKl/FK7uro3a1k+BoXdPOJcgwx+Zlfdd7RtTcz08nVd46qdJtT8h7Qs
/1aGzprjQG/IiMOoyqZYearqv01p3csqhhtZuodp8hmdROicqF8id+gRLov2vhpmE/7GZUh7+5w8
fDrYufbRaLLKvr0pDUalNxK6lNgN3lyV14M0FvMa0Ljj/B6rKDdibC6n9Q8RrewTT1c2cHVrrdMk
j5bqE7oRBjde2yrrS1WnGqsUIxUjbJE5Mp/RxI9q+L96cj4VTsNsNh6BZNmE5sCoq/YYdiXA1Gc7
zAY/AYdVz+S7jvfMZKH2ryngl0O5rLpDmpB22uVMx2m8rMKxes5Se3hkYEymIoEzPAymsszLGfeG
MQZlOdW7ol/sOa57FQj8XPpIJbTDJp0AIBIvYa0cN4HvWKzxUMvqqVnEpGNfiomhhcb0rlCpVYEI
k9kP7aVKQzFrq599m7tVYocdOfnCZReBcQO4t8cDWuoYNI+FkNlaAdWp2joCc7U48jkVbZQllgXY
Azi+WMQOnBqGtbR75++wbK3PpDH9T0BEfb3PVFe2+7ESUxu3djgOWCykaZWEUd8gp+St3Qtn3NuN
wCvuli6q8zhfev/GqIcQqF3A4FE2sPgTKpEywRLBH5IxyvI7o2sDSEkdVspx4OrhuixCzF74q/0u
dFldFx7OGUYt1e/F8WV0sMvFUrvONMMqiaY0uMv7xi9io7bHOWH7l0XM9WA6cbt6wV9rdNLH1Rbi
qinmfN7DqqkUXrmVU+16k3vmJtPahlxSKvcqo1/dYFI0dddDjvlBXAYivbNWM3+MuEKrZJly8a0p
0+Le9PT6lBkFFnNenllLUtip+OPmU2bEuT1WOeZZshGxsfTzZhsRILKirH7+7tja+RKpyhnQ/RHl
9xk5+YdIuMOUrHrxPw8SZOkuy8PpT+Maix0PY0P/ssW7NYPBNeD5pTtViMQKZG7usmZchjhq1tHg
3w/RvgiHNk3GtSluy9UUFm+WB7rYDV3j6Z2zdPnyB9oeR7mLci/bNcz/qkuj1+4NKl/G7Zpm0U5q
o1Zx0wzTEgM7dNekH6H/7hqGezKWfh0msuqmrwbiLd1u6Sf71hVOxd+8GqtztYYymdfJyxIZDfVj
XrbVS6kMWOkRVsl8XRyne3ZhXX/Ri86CxMPY7kcmKrRL9SzwE8DOgAMytlgoJghQ6d+lZzdTnBLM
5K7TtA8v+sz3v/tmMb10flh9d+qhnPe9P+ILF3V+9sVThi8O4MkhAi21HsQuq1oP6xQ6ls6OhB8P
EY2CRhdPwrAPbldKHMQbhkjxKLr2E1Yc2FoMqZweUtum+VW75M1xExTOn9zMRbZfWr10F2W5hLR2
mL78dNa6yHYhrTLM0xEGeOiMLB0SmfveD/p7bb8vDIHzBbzM9cVgzrvR2OZwRWbUWH4081S3GHka
8rJ1KaqTSZdWETPLM8qdz56JYstQ9Rc4bsUjAAswYGPXj3OMfnL/JESqF7xgGvOXT3v2RwXWQsdZ
Z5dPlbf4ei/civCA7b2TxkHOs5Iix2mAF6o9DyHyXL1gRuS3uxZbErkfR+wFEbsxq1u0gOs7NMH7
OennLOsT8nPnO0xuepBmPoTqIe1NH6lBd6x/rRvAhONoYWGyClRQLuxAOTvXwpBkV2q7RxctyObv
CpYOqak3G95ekIkj+oK3xrAL2na14rW19cz9Z83Dwa/XNdiHWBiBwQkM4AvgVFM7dl21HJEH89JD
16iN8Re4OYtiz3T8E68sbSOplW1JTG4N+zvtASwMADEB0BuaxnnGBjf6BPsIumGwwHGJtWyGeqfc
arlz5lHdeGXWBTHCJoCbuCLL28Vulwe3KdeHptLsVTHn/kuYksftGxQsNLGjRA6lKAeTm3KzWHFn
nTpxpAbUKs3FrFmZQrrVjaNH95iLIfuFh3Y/x1ORYQGFmK5+6FwnKy+KEZLLSJu/ucpVtmrGPy4S
GaqzfulSYCY6Kv4Pg2F3OWF+MMW+boPpRY0I08cNxB66ybIjDJpdE32C5JCK3TIswcGy604nTur5
daK8rP/r1WnlxavCVPCiWPpAcspE9AKJu13immhixGvDbZlIYIAZigu5rmJm0PJlyP1xJbfI8I/x
mspdYgtYQZ9YohVVbE11dJuJrLsazcWbE2xqZRu7ji4ecenM/jbKnsZdGshwoatt+HfCMRvOv2e4
NROnyiPB6NIRgBIXa6n5zrE71N3tGtpDh21RaH1NDehwFx2x/zj4cxrtZpmSHCtuIpte4TKEwKnz
IGQ6OHHr+n7a/rDdBgEiOYvyvl3WqNrXDQDYeMyN8FahNzDugjllTzYYS3eXJWy1v05t1F9Ko8bj
wpOunBIRhqpMpiJCSG0pt6jFFGO5m0WT+5eFXeSfMDLpoZjk7Ybn8NrxS2nX/nJA8HC1LogS5pdw
MNqZpMBa9s0gVfSZEr64ixZwuPvW1YHcoZIC1G0xNrgE9w1SVAxMKrU3c7PqYyVMrh3h+KhMV1jm
5DeGIVSD7lpTqWSCbMH9iJwGR5Ro/7de++ILMohU/xai4yoZaJzZl2tfz8+RNYhD59dexHnp5/vG
X5rrbHH6e9OUXINmVzN/qHWHr2tjE2ETDXZqiqVrcvkbZWlWl2EA7sBvJ/9nFRacMHNtnau0kGHP
G9D6jNOWoJxgCI0bmGtkYxMLu/E/UcvlcxwgYK92buEM5n4tG9tO5kwTF1tn9rwdIB1gRBXqDDZH
JApvAQEV6HykGdKAxrSkNdsvM246RClkrHQ38of5GN02FXM77pkAu6p0iqbpMPZ0z5mfVSReRSvS
v8r2hhxmPkkscEpZeHHV2eyVdBnK54HflsaVnVnfpFTiwfCG6DHoTC55URHThwKVz8OUZWl70a69
HBALs62WDrUymqTtZt9gw9cGIxS/bh7HyMQduGI4cOkubYaR6pw79xLDI4f6w8K/GctEMI3R0Fr1
hakNF0C3B0Zjx1QDGxpzqtNbN1wDClyXSTFYJC9TMRVW1cZqsTO8LhjV9HED7mrLdgP8Jg3fK38P
dr22l7WbGV+lNPMi7gCqP1gbQCTx2nWkQvCBj8egI+xL3BhQmlvavMxj7qThW5QrbSZlH45PnWmJ
myzg2CVl61T6kjrZKhIoFdwkBsVOSXooXTyIEMCKyzCzrvD8sqaDBHbXxVU4DffIpHj8atPD58lZ
fPOpVEVxNfk4DiZ1oBrcIrWaf2hAe32cWZ0/xRFU8TnJ0FPuY/D3qUrSciqzvTWQiCdRTWWzY6ta
yD2Dvv2Tle6I2m2UB0XMLWOYnywDIMg1xQGa3jaWapRSoy2/6jxvuripK/sPtHOPFCSq5V4EWsn9
VNRsMjfvlylG8EN/EUAamxjlgfS3M1j991XJdt7NJB8167RVAq2cZbsbl7KncR7ibxanDC1B32id
f+uKNbplcsP9v/pLO110pEnupmMu/vTaSX8x9rRk4oXaHBM/dRWPtfPlc8Mc6bl1PTLszPS/SgNy
blyjmvRZKJMB7FJ7869qilyWyYIHnbiN6qbdQub1GyPU9gde8Hj0TOQjj8ZqoVrnROinp/MQbkFa
Ln1ckr38ktXI69ndMtJdhgfwOWUeM13YRpX/oUSbXypV4WzRBRVb1JWqLakmRj3FReYShNPZ4wdP
k4VoS0WNITtaTKnTfwLR4OElW6vqjxM27R9XRNwalTvh5KazDr2ivjDcR3egNkvcOZgeKWgJZAQs
cJIh4fmmFNLNk8XKxwwtfZAlrI9EUqRfq+XJm32Nkeu4Ult69uo8QRQl8zHysZ/xl4uqFv7S2Dzm
aT49e4MEylFISqcYcIpxS8buUb4OukoPo5YWmshDP/OZK0/ne0fh/b2TtBt6bsV5+SnzMqW9HrSm
gZpyWFylUd0Qbdpy+W1MIr9ubBzH7moLKFBjSP87BoyivFDTEkFGaFTkXIemztUuxILtEKZtX6Jq
LxQAFmsZ1UGOyDPEc7s4gjw7bWpgJ/ZA5Sxdm2MtZ+z+Un9rGCM9rZO8Ddq/2I+HZTwta04NSO+v
wpc4NZ5WA0/d2AcaVO6I0ennWTv5i+/3brHzOqP6OtpmXuMd6jXXjYwCEnftmzqBV2DfOBA2aLR1
Pei5iezxW7j4Q5t00zSbCZAQ5PkmoxyeN72pkXi6NliPIF1zWReRtmJSq/ZBhEs4J0GBAkVstK3x
q+LS+J3OfvNUOmKN4qmKBmI/xn5UxD5Zl+XOFv5OgzKiBLuB7gcOpF4et8bcBhfc+8u3wmzyX8Bk
9B36S/IJI18L/6/R0n0SoSEn4s5fFDeGrIcmyVYZEP4lcGB0vLVLcVxmLjKObf/ZyXlunNfp+Dyr
UlZU3euUoiOAJ2KMMP/iJaaepy8Vf/a1yo3IOPgogf5MpYy+4uFWRLvUAHjFSdAtN7NLAz/+hyK0
KZjNR1z21gwL7MEBDhauaF5PU50/lOS+h0iG0dO0+kg3Z1FdeMS7Hlc8pdLoL5o/GsOxDFT9PmpR
sb9AFyEsEifMCKi4ssofZI3WzVSH6xC7yrO6nQqsrrtoTB3+mtNieXInu7/yrAIwjhb+8ky4Zq+E
vccDIznUREkQgyK2aAE842Ef3g7BqvHx9Yv8N/lR5MYY79VXkDL6zXV2AHFAP0Cnx0yt9JE6ba7T
oYimgpa9WXB7+GsbRBS0jjwUVObzZavGzIAU7xnWPuuq7hO4lQUvyD7EGJgDSwuqNgRfv9BDW8Wd
XVdcZ84yhdeGmsyHIWuHWyjfJEOrK7MbkmbKtSWrBP4oXjfKeBltGnb5ajjkhSD9qjhTzdjtpWeL
O1P21WVt283Xae06Y2dFdR3FqRXOzW5Ks0DFazhONQIRYZgnWbZwOgYoFbTLRnvZh25W/V5HK3oy
jb4tkkxHFgNZvUZDPIaLLWIV0iRPhkE59445Nk8F1q4FxzGcJprPnTKP1I3DRMY6tXki+ta0kozG
Mp6PSGx+E1hYsC9GnX02jajCgbpCKugCYiLTDniQ3tci8616V9nDCnyRBtcSu5aP4EkRzM2zj0FN
FwuEYrnro7D7XhZz+nWanTTdMWSw/3a8zecysuETBlYV3s15P/MbZbGxke3gKQWSJeOyoCiLu5Sm
duy2kfiFzeggEtloxQ0jslDvFVX7X9uZwmzXq6bhWulHXI495UALbQAWf04dyZ2qadB0F9bGsLvq
Vz3eYi4qM/CAffRF+e1AgMYclMZG0Dr9zqDbWu9Xr8HZfmbibcWmXO2rZmh8lx+c+o9oucBmC6tR
3hmulX1Ca3r26ejNzY9gGTo3Mf18vp8KW7BeYvGvjLYxgivgx6HFYGkQc8IlH/hXqdPOLwpttnKn
wM+9KHehLSNw0IwYK0UEzravhmflTUMbL31p35CZLcMBPWabRDGnx4NOqZpvW9LYpzrykccNGMY/
RGsxZBTkm3op2X/4pOqouh+lJmlJZwULDiIJtVi5NuOXKGpwpmjQsrT2rsSCFUpVYH5jIGi0x3rz
24qj1PY/V17qXAUcXDsORzE8zcKTv8ng7BdHLswCstwdjWRSDkI+Kg3KjIxttdpDWufmNRxS1QKs
Tpt5F05C/codJAgZoUWiQ8QBK+V9v4r2+0ivzSZ5F6XakwvQWgyGNe8Qe8z0S2Vqs2MGlMo/I4bB
VlzRs8XRG0sbTt46yy940mUvIHSosW09jPer1c23i5tNP9kfzlffd93fGV1OLEE70KGxhRL/k0Qv
4pMQjbARDxzFr4WMMUzaYmEOGAUUY/Fa2s0PMY31z7W0zMcRP9RvLVpBj4bsWv8wgR+8ha8f/Mpz
kaq96pay2Gk6cPVuNaz5AC4NVCFJpv13BQX+s0PE6LGqZzknSB1RuJKp2s9yoc+/Q0kKB0Nz4JAM
oVMinGda5b3v4qm7L+0UUInL/W/GUdZ3UbzIKmoTz5zn+RC1dFhIW5r+O4Nr+64IouYb0pnNtaXz
oLzspWlmuxJtEDeZuEzmuM/wqWS+a61dvEyuuE8NvdmABHbxY4oyg7A5T6azb5rW+1sbwUI7lZHP
45oPGIdkVa5cWtulqfbMfKYr5U8zyphm0H+3hJ1pgppwggOmPGMYsy+BPPN2SA0sg3lDICK85WmT
MnlV1vgClJCoYuJMZCUMlxrjgvXapn1s8/tFBTP1Qk+Vc3QUdrPx8j+OzmTLURwLw0/EOczD1oDt
mCMjI3LacHKoADEJgZCAp+/PvelVdZXDBunef5TwiKcpo9z5xOhhfilcA+MJ2wvlk6hF4/nUwwqM
JzWJcC1WzQlzGhBgCyiTlQcrqP3+vwWAATzbcxFjzktAajbaQi8P9RqwPjczdlxsIhyNyulZiY+J
VJVTBFC4FxL0lK5xmtVe105VfB92iCV3rsyyvG7VfG994t34iK1piyGpg6deDVmc903nfqu2Of4k
Knb8OtaGGUN3PJ8rSt8ZnDCSIcfT4mRF0Pfjd19b2tI2kYgPswYm+LCzDd8UUrJpPKcTpPd3OOvl
v1X5Dmf8kq6BZGnmrosusWinp87PVvYZNcyPnkDPcSWAzwzlbmT1a+XsuGMy3IZzO6GhyPtYy3+h
qNqjlFWfzicKO4CeO2fIWJ2lWT9Imm5AWTmzm4tJ9PqUaY0XXCS1+WyUvW1sLIhfor2bXnfhJSNJ
B3NgGf7b4clOnv/amc0VpcKgJU6pXPbPdoiDB9kk+3s0ed33gac0Ko5E2dd9C+bfslXxtxGiHQRN
xKyb463CrkduLR+TZUxpJG57y1qpfIZnM3gtkJAxEbsEB6lQzxPo6uxde0k2dgcIE+0RrfSRu0uq
41WQ+EMMWDBT2wsrMCZMOe3O5O4iDO7KZvYqdi4vEPeT6kGf3bFOxpOTbp5bzJyvHy2deq8pyCnj
BlKc/ywhQN/XbnF+zHwWj374rNrhhRYPeyLb+r9EByH0CitykKM4aO81mNZUNMt0wwE5Zahl9nuJ
C8u3qmwrPg6sxhbfY40Yw7PbYBD613u4lWmcnldN6lxlmGQyBkoSudjoORyQoRHPeyJyuXqOttDd
crMP2dfRqk1dfere9wuNLC2bbTe409W3LHFl5A+bKftgrL+PDjpZ4IsZSKc/bBPnrsyitmj25tAP
bly3VbkFR5IV4xin+iSWKbGFvFXXMpbo8Q3Hxt5CzO8KKXZi+SK6bLZfASLkkrdZ76b/GrePYAXT
Znbvl9Uj1zfh9mzyZQoYz3RKbyUvE2P6BWLouPrLyuKg4kkNhRoGtYOfYt0oA290WQBF7ZLGle0I
PM6y9zbvNUgyg3STO+67v1cp4P94aw8vpzAY3DKmkOabSVadFTZINA7mGCqLJH1rjxd+PkXyfAzj
VmiTTg9c2sMPM9uA+phe/e24wZqrQZnbnSkTH9pzrFT2Mphl6ApeFiCE1k9Uw5oRd7TlerhFT2KN
GBAFAPt0vl2P3l1thUyeWhaFv1UfHp+9MsFPqSkgKdreG8fTRjqLzCmo4TBCYux9RmPIZHMCDtPx
xUsmX7/ukViPH4Ae2/J0AIHHZcgY05yq3tb/4eKr94sHdTc8DEcKLEO3STJ8k2SQ+mdPEYVRAAqG
6g5pcVufTTI38jncp2o71fZIxjsLnD6ziYZ7kvNeMASDRov9fgjCxfvBscVGk024EMRJ2HmNT73g
Dn7e3F5Er05G8ElwcrJ90yXm0f6dqaqK73xg/PolVobFrkuj3S8GVx7/pAAK/L3ezJsXzYOmeeVd
iLtGuF4ZcOS1paBoJsiNbvqKU3ekPlul9cpuyvMDlepZQtxEFRrNPymr8J40qlg/UAniyw/rN+n2
t+2dlSZMmKuFruh45fsiQ3t7Jnt15WiTbjvn7KxB8JRsG5HlbLtDl2OPaAHSrW1IDq248eO/Mo6m
7AKUP9R5ny7wI01UZ6aEm8i+NXvmoAVUh/832MNleyP+fFlLabsug1Ud9fJkQ0NuQZOFyr30DeHU
TwTMOt7FaQWknjNz9J4559TnFjize6YSidgGDRd67g/P/pvqFhykq/bNMrxk3qfhX24egeBUdw4A
MfUHOWNjf+qW1dkem6g1QU7ZGEQXlOMe5PzRyvwgnmd99EaO2n9cJKnNYZpG79WpVBrkTTplzmvI
wDYRznCs5jmrbAolyftuv3hyne0T2HQS/vAIAEnKZVtCmBW5+/a+3VOrn3jmPZ2zVU7kcmpegCKU
uOJPxiyR+9eD156LVADF3wW276c7YFzSBNDbc2lo/AcL5xSXw3WO9NQUUSwok/FX5EMnnCq7/94D
By0nel/I7O5coPNc7XIbn8Zk4ezv2VuXws4jgvSNrJrh1E8HJzXCCPfB9UwLyCSCec/9Kcw0qxCB
qPcZQNu/Y9rhlNGiL7pkUa2Cc60qkv9qzgfzOGaK5wZK+9gKzagjv7Y3swR3kyAGZ1s3Qp9l3IUd
H3Ot6MtGAxBveSW1+eV3h6EyCyP0ceIB0zHlnkmrzwttNmwNmdvXpT+aUedz2K5dsfhQQWVFopxf
NDpU+/cuHXwXcjJc4/dombzkPoNLZSkkxzAPnJEPXrej/pjVVuFokYjZc4OpdMsXPW1HIXpjYmb0
XevtfqlmsRfbEYq2xEXj82fFB/6ZxplJIs/sGL3xL+dClPxx3xZtF6849JoRZwGP/4/NaXkm9Kje
rzMv+7dYdOz3TW9T99FtNnqOp8wySUSW+RKGzmGsa+J6mO7bWnMPdo1zxAWKjwO2WyfBtOfApiq4
zxwdfg1ZZ1HbtZpAuxPgZDeyJlTr8U3uLoXrJMenFXTCCNMrs7Wqzq5xw+kD4mHhhzHtUD8AXMD6
L0JrMGX4rLjstwbhITqzBeq67j3zDdi9qc/HRlsWZF0Uq2JKMQrTS5Pq7XlcE+cpQk6R3gEfxNPJ
mVzhPURgHR/cRpUpNLgC5zsY0lefbwEkLuzC/VEnCA3zfg8ycFd/mADkvKFqzjqpY3rJBcvjPb2c
RACPnfDeAGLZKPydclnwIgLoT/wS7a8m9ORRSHuIKh/iY1oomZOhKNoRuc7PaRgYdAPYqPaUBP3Y
X2cpFvcl67BMngcqb9wnl3g7DmwDQgCFCS3CkIMTgIYkslVbUiohu/oy3UZMZOu84ORp2h5M10Po
6zwHdJ4uXyj/7tzvNF82DdyvgZwtp7ZizQ0RWkdfp1i4plgNecL/Wl2lCm6AY7NnHAeuAYt1ec6V
y851CWcQyufD91pROOhcg1JHNtPXsQ6X9ZwhB2y+rvM2Mz1gghvPm0Nw+EQJq7xau+j3gfjpBwoF
07nwhT4gEZF1FEHjReNjErRyuuNSGxAWbgJEROgFXnAWgdnOhHgMP4C3qjgXKq2aU1pF6yd5Msh9
ws416mGqZzKYDM6Pf9PkLS8WrusHVnbap4FJXHB/rffgDDLs+HcCBKh5T+uMwge7hIkq/Kl1KqKD
mIA3Mo/huBATBOdxJCnwnagaFOqJDMb/2nXZjvuRM9CWjhUpog9OvLuxmmBpLG+b/4bcQko3HzrQ
7v9kT6XkBYNpN+QztHVS+GMSm7MKYeVxkW3OquQpOdpOxCfXNWZ6qkkRN6QTg8g8InEV5hy3Uv3i
SWWiIytQACRm7khaBkmeFQdiXdf54h/48XtzzN9ZHgbzMkdZ84iJeK4vzbyb4CzBhAEFTAdNu2SH
N6KqGYOqmPyui0+z1SlinngGA1yUGyanCBPacNqcwD4JKPrsIixnSe4tMIR5NGz+fvXVzPK2OotY
z2OnpotGW1XnQR8czaMPRzZQDYVB+JqSh4Xodh+7vaApdZ1y6e/eUeg6kmsOpcAFza0uAmjscHXy
PUrqp21SAbnpo00B8rKuedYoNhEONWvEHya8o4yFp4PLno3zz3ac62eDSRnpi+Bze+T/DueDtelb
06j4eedzj3lWpSvLdi3kd7v1/m8yD7q3MOqnX3XlDQgtzBEerzehTfrkBQaMFanSQmYNGPeUg0XJ
42QJjP0VdH7Snee+Q6bloi+8HJsz/ucJ3uhzv1V6PI+ziKILb6FOS79JTH8mIQIxlJb7Pl18J+62
S4xyYMkXUSfRGePPUr2blaW4mMPwdhGM2v3Ov8ybHzWDqffbTjqLLlI6nl/Ixh7NeUrjJTvvrXdM
b2tlxEfYhryzgr56ek2yBaRiC4Nf0DrotVriwb7qHWCw3Gob/ZprrCInxSIHJ8xwwrvOifRtAVtr
8qqZ1acNQ3coBBzQM8hfh3wm1skrEQAzIoY0Mu0ZFn3jFfIbmhPcQAp0RXJ1R0IB6xgEfHDHj0Zu
2Ue7x9Mn6uCwfwp3VyBSHnA4+Eb2Q57IBiwtcsWEd03xyb7qSMnmikRLcvcbEOr3NbmRE0zU65fY
qv2Ph+ZmIFQyZTdNHan+QcS14jEYNRd9FcdL+BDsell+WHSRybnq/CW8zA0Hy/0+SiUuGPPEVqgl
MGhjfDtgNa1YYFqgo+1uFYn+SgQvz6bjxNOvAc/aH4vC+ouTkdicjzVhMryKlB5d241YgCJO7GQ/
gno06KiCVezXZneMvDhGbW9mszA/gPqEv2iY+Kzw0x2OqHZ6DSzXCDoBpok1FtGG3ZcrgqXVFvxf
3VesRKBiEssi+aHstZQmsvb9J026QULtCaTzXPPo/aUGe65Pgb8dPmil2dQd4j6+BAaI6bSM4z6c
g0Z7VHLT2P2TPQJpAGDZPnxbpbbc3KvhMlpTCXt9wgMiyUGe/KUpV8DW9qmTrfjW2K7vCiUzzy27
ZJ3lj0RVY8yPFsCWBB382NX1dGhJEBrcP7qyCHQQ3UcH0ilr/izaOUhNUGLVVxRBVCNQzlNREWUN
Z0Hid9GLmzSz/derFSxlDaDhcusuOIX70WkkSq45FucmbMmQzcjWI4UvmKZv1ifR+jzbebZXDqMu
KPnfHn6EVW3kPvZ4nhc1aIvvVBw/vKatxgtJvmScIc8LdVnxoALvoqj/aPvaTZ5UXNVoEmrt1eXW
aLByN3Pi+91ZJ0ChJlE9XM18m0wJv4zyKIkQhtQYzAFRa7dCeQTRMt6NfUZ6mxnTeivQuDUNcpIJ
uMpMtT5O1ZSCAnoycb7t48DGxNf103XSBWhrwi4Ggw/NW2ymgQ5CU+kiduBodk5bza9cHGufzFcB
if6bJiFgsgSM2DC/1R0ThmjUuzEiM3dbs3n/xUsTV+UMzv2lPRbERNyRDQ6KKYlvNOSwltivY6wj
WxMW8IbRu0I2E5dYF6r/yBxEg3MLy3k9Yn9oL1k1uMk956bpCsbswOdumBSbb3S4aIXY25tzzbiY
XiJ++E+X70sx1+pEXHoEyf3vZSYR/8SsAfd8EsnoX4H/63sc8M56h6ct6256l2PK42Fjj/eBGtWb
jEHNT/6YAuYtbeptD5ybrc2jbErL9OYRO2mYA+8aEdA6XFiIGlx9NZ2j9yiUuw3xZbRgQE9A1M48
4WP35CEkHXgDQTNKjPnVPVVt81Oj+fnPR7y6XyHJzBtVJtmvGaUFeD6JQNIFh3Z5eBAkup9izpzu
pCEwmwLCxwvOXbZBYoC29yi/NgDvVYn5LbGha4uKLxvr5jpO6UkjkLMIlBfrl6DrHeSeJ3x04mDx
4qGju2TGFufpGsIe/OpHQgmP8ygCJoAiU9C9eUgNrs39xneOL2gzQNi0qrK4sL0bPfVovZq3XfKJ
25M+hmXNUZ+Ip15v3vgSHHaGzFv2JrsEjhC3xPzFe3PxWxLC5wh/+6IyWWMSdif93yap63nYwHrl
C7MIDX4wxBWD8OhK9wLFyhwSxlr5ryBQUpcOG/PE6Zq23+Viu/AUVH40vx/gvMxRXQ0GXDFCON89
pRzzuPceLNyBiSR6BubqzZnWgCj8cGR/BAXyrQ2IOBZBettOLB4NxElNsTDRilNnW+3wNU3Za8ti
BkwNAepeES5nPwNU3u1ZryHPTZb1G5LFINj/ribbuQM7BcVco5i5NaXr+tOZ5sy81bQDcQJW1JC+
hk26oxYFFLKvR7CaXwhnuxnpKgq9kzL0Cl1CjeiprHVGtV5w7MuSyy0xr8fa+oYJtpI/NRNQjc9E
Oj/3yWFK7CMf91IWDMa+p/g99N8Y8BfJeGg1Jhh5TNvXg4IQ91UDDCGN8NcwVFdhDRdUjfLti5/s
YQjeEWXfR693f6tsTr5RzabX236nfg41NeZf/apFJO4flIo9Wneq+9ftCG7IVCpSdfGR16LlDdAM
55MPqfvlECBIj/OsVPboTQk8QqhN9zXCTxo/O3r12wujT+WXfgdhQiNRZhzwLKea2WjjWmyPbQTu
VFp64P9mXLUmX5pp4qhepDueB+5tvPCet4Dxk/P20qI9HE6xmFZkFiMb8OsOUCQLMr3G6sSkMehz
OB29OSF/nUnBjKD3UUjeUgtYuAxTy3T4/PY6RaKnw6PSeUKVGZCX9Ncgr/neiahalZVMF3E65S4H
7m12xR9YyB2OGwAfreR9xSuY5bsAq8w7NaSS+WVSY07cMZ8wzSZ3/jy2NvCbmw563cs58yM/94C/
f4rO9vaE1zPwyzVpkvBpmSW/Y7gQ0vxEfgVS6Snzp+W9B4s9zjtdJLenMQN8w4HR9vkRL2N/DpGk
7Egub2sNiR1on7ivuQRNHP3wJgClnBHXGy6ds0zzgzWdePfmaVhys7S7U6wbalyY1wBtcghO/XLQ
tOGc0ygYgnKc6nq6t55qm4cwnQyTamDQYvLVMH+Owu7PI+EIRHmpXpKiSh1dy7a5jAszd7bf4/to
+x84m6lYO5r1TQUNMqFNTdNvGyX9J5xj+k4LDdD36lfI7A//eKLVsHvpcTi/2lHqudxgJFByrrv/
1jMIw21Da7+FhksI7pKoI2YjS+Nf1fvInN11MWc7LkH2CBzpJcWaNssv3gbFVcrqDwXuWdobJFPo
zyE1BlPEPiN72ymG/Ky3zK/LVizdliOAW6Zr1qjgc3CQsZZxj3iCDTL1BRG5qp1ieOdu+7Mi9f++
LdwRN+46Xs7hoTr3xds553PoCn++C8RaHZcOafpP1FCYHfx9SN+9RMfzy4QYTwNVJZ4FX0kr+bKm
O4f0khri6syWRr8b0bXJBYgDVkzWi7gPkj3DvEBSfX/lUtdITJPaLZMomYcS7SoiuQWv5cMxHTAR
LVmRzf1AXe4XqRdJI6REuOSrij9qF7ZikJFueJ8mA6dsMMvlpxkc3z0nTcv5zsLOIcuHZDvqRB+r
3x4XysfWxMucN8TgBKUbNUF6HQQDfonrKZyYcsaIDKiqlgn+lgkFWRvb4e/Wp+v3fXfUeu8krr3r
dG3Ct8mLpj08VcPq/6uTBBYtHH0gf0tm2E9z+KB9ioxm53xwfBXIydsRD+6ksvOxRqxfILVbM5w9
Z/MEhgW7vjaOM/4j34N1eHfd+ZcUfSvPCLNQJ7fGAOTLcZIRU/rofqcobWnecd3YD/YUHHRbumfF
fnB7opEIXLw0M7fxzsD+pw9nS729XDnOKAZEjOUGKWLngQ3zuUVh+UGEAORaqBr1N0GZpk9pl00P
SSBlWKbVCpZDQaN4APngKSLfdlvytPGjX5tXt992kYrktECPNKd5R9SB01oc5hT2jUB1daMKH1Oa
ZrbSqxamy0R76MKxWCPcsIHjA6AsO1lfmtyM9/AYalgKVBF/kxVv811i7IFr2j3i+Zz4yMLzyt0C
dQkY1qobi5+J3EBblMppmMHIq5d/Ba9jc69HTGpAib7fF44NOGZXR4agVfxB7eMwQGCg21coSdAP
IpcffdaCsl9SZymnrN6eyUmy8Z+Db5JUFeZG92FKwgFPVLv65tyIbA3K2AZ7d+2TLVR8XxEnRX/0
Gn+PaSjZY7khrf60MU7yOLgwH0Dyk/xF0hYWL36KQBQwoTd50eRmf9wJndUJnXgvng936VXpxClK
LuaSMOTLpewVXboy1XqescYs19QBYoe4PdDIztrjmVtQui4F/SEyQ1+zI+gVDOHY9GpKw0ryu32E
LI1+7tjhnpJEL3WRNLpOHuNg9/4EG0nF8KjGhhdwpW2/LCKz0+9uSRY/FwZF/P1NGzYVlGAAgYDw
paaInRpPFwNGml4Xz7bt06E8+ZcVeX/jVOvEBd+MeHKWeJ0udqtF9IAkPHsnjEr8HfW6E2mGpjlE
BDzOlH3JUTSs9QR2n4bEcEGjoRoFuwki0xxrAeYjyNoajEmyLJ7JR6O8T4mACxrZXXRcbGt0+IqN
yhPnytftI6HLhy4XBt7ueWHPOI9rQMpW5qiZM1M48yeVPWF7j8zQ/MjCSjyH7BuszHWn/6tjN/kx
BZisntPMzvJ6zK7+kvRb0P10wSGOj6M2dqBodK81zyiekWJMlMkYFLpkuWvrhBuGI9D72DwybvM+
7DnrGPk5fLkHV1JE2Z0Wsme9Mbw4dg2dAmfC+AZ8LT6lY5y/E6I9trsV7hCh4Dr8doaROZEmQHVc
YYhiUUZN3zFEtVtT+qK9EVzprThzYKZ9nMEVxkK5iHJxsgddWHZe4kRg9kfyZ9waqDrP4AtihlHd
UWwjntKyTwTqQUPoWnCNHfQil3Y9/J/Jin6q8JBh9xc3Tqo/seWjzmu1km8E+/aCRwRh1bohgrll
36Dc0cO467sI5Pvcxfum0DfwLA3Y38b5e9Max78iWiRvcA4iu10U0KfiUBjS3ziGgy+IKfw/nO0m
vimnuvoM1qiar17jrhNKfm5q/aXprIS/QVNale2w7ZZLKBLd1fNrn2k73lkxEbWPsnAAx39I1YTr
JdhZuGCwajk8NT6VKTj5Krm+uk00LYVRu3nsTDeiLkUKyQIVwPs9YbOQLiJYcUD1D8FEj2Soxbpd
HQ90+wTA6l39qY9dVF0bXh4sGktbEP8zPkTtqMIXGiaa+Rw7NzBmMZl45QONv1AV8/2cDlgxprbd
awAWRr+evgbVBuWxHkYj6iXAHg+Mlfty3yYyG8rMRY/W4a5DeU80eXrhjHPN1WmQqyKFyBZOR7Dy
d+ToO1N0pPz6qZ7XUT/b7DhWXI/JgVbBxfwAcaFxuCwrxvrLMFdV8saHGoFvMepUua3c4IMK6Ejk
kydYepOmySqkdyOHcdYgENzdFZO5QSzwWPlOlJxHLA4PXcdD/yVxyUm6sq0jx2fTQjIXK8+pfvTd
tgKHjtJ+RsgOjjuWr3m7OJC6wT3ieMbNeOyCM8L2ngepFd3TKj2LFhVF/DteKbRePKeyf2MEzf4i
cOxwCSf1qnIMXD57K3GgzXusmvo3qqJkP08Ed0bsEzTx4c8KE/+shv8vn+TiBbx3QO5/fTvN9oR6
tn0CKZrFPb0Og8m3oVs+NwqV2wuQECp/RUQgD5Aa+bUF4/txdqN1Ou4lr3Jd9KEQr6IeWvwYCa/y
N27nEeU/OoD6qUEbnd4jIxdBsXaYT5FGQtoW1a7Vw9AHbZWD46XfFRFT3QWnIPPMOnTtdJfMXtfc
e76QdGkyYmDHgWAiK7MGFTzVFSx3PvfhMn23suMt8/2WCEvC0Sg9iEZX6xKwO+1fkOWSrR9vO16U
3Z/qF4riJLeu6bcSDiCsyqG1INyTE6QfY42aib90t9UTLxmCittK99WtQ2+99kfK5FIlKUdEHGFL
irH2psXiLVz9WTDJ+HHdEkwGCWAAh69nkyfbxccPQR80/xyYfJYPQQXnlnX0cmM4MvvrwH+HbwVf
guAFnthHwKFH+twRC0RlQM+GLYcAF2A5eqHjcsKC7p3WGV1VHtd+2F0Q33Tp2RfpEF42B6qUBK5x
vripQEyrlj0Q1zCuRHg2ogluarGofdHaVhJFWxdPL8cwi/EL76+M7yrPsdsdtglA4z5cX5oE32wu
p8YgD+VLZCInrMp3J299Ig9oS++zaR6f6x37+l22kzGC2KU72CTEnqJ1qdrPA1/rfAe5yRIFMJUJ
93VwonQ6EajWhTxt7dEXg24iWcyQqH+WAeK+TBZHzrlKQJIYsY76y4ILYPutdEDNhWBi68oKKUh8
mQxk13Uyc8LkSBnCJx3uIFBtQhtT4cZ+O17MGhr7qj3ZxVj5+v1bYknt5z8RDyn2hGB+SOVWuxdX
o3I9rUcNO0HAAwf7WONOBI1S3DxDh/DltHWxxwetWmgPILoecbLrxP+yJqnnvPa3RuTpvCuvHAiw
vtsyjs8cbSWhphHT8sz9tc3Lx2LqI4amoktJMjSFGLLqdf9Yuir9UsPweIwOCPgLN9RVm3vIkFA3
ywaT80hYMx6OPlrsKaoS9RsmBNI+G7OATTZsEBby5QiQC+bC7op03OtKP0gOAJt4DQUkGBbikrCc
Ojl7MxTA3Y5wBuhqRGzKCNa5C5AgYrpCJVY4edst3G0VOY/h3XYgH79G25D+g3nAegUo1NZlsKkt
KA857B+8xbCJWC/3U+rt0rsEI8mzxCeY8F2hNpSPMrO7vq9VZL7xgt/6+Mxal0Mm5b9AB/sn4lyB
X0w5OwqwlOE5XtF3cmmkuJ2mdhClm0kN342FLrs423LM+VZX1VHOQcAWxeP+KlFEfUKhZwWKv5vz
CHx6/nHs5mj5cDGzsGXdwEhiavUCR6UYDzcULndM7jZlLp/n9CSrg1MvyAh0yDHajLKksiNC7XJb
eIqtIQServVl/26ySH8NlLf83IZkv9J9LcW9Aq1+SMhFu1lWLVabntoUVLsJaf8gW1X7qFC8/fCb
OR0ZLaU3Ibrm4OaRT9RWkmBVgWtSrpJcU+ukXbEHDUagzJKz0aRIHS4Tsj4CHByVokdI6/GVWjD1
k3Db5k3snfPTW0fonSHhNnkkCasPSuBKE+XI3NPHpN2wjdCvEyJ7cqnwC7oEecRQ+fZ640Bh9pDY
g66jp3tawm3641J2bMt1C4kdID4Bh3iSyjq+bLR1ZOCCCIze9B5nLHjcPSeWpezbgvJO4JKp1phQ
oSp6j9AutxewhO09GQ71PQ47SqYCTza/NafeVvag0H+Ug77rhKS43i5k0Lu/eSTICWVNcdmLEru9
ECcR3vLxjiikNWTuunLJ1mV5pdVlRkIdHN7fWB0j2whs3FjIhOzsoj6S6asg6yco1bTWr4LAqH9c
5klcOGu/+6zTXoCOduz7PyN83YbgXCXsNYcN0dQFHcTWbCTioSNgmD8mHKooYdMuuiY+y1neoLIH
QvJJXD7FM2kUue818BrhVmckUgjCizQ0zXrpamkqrnkb/0hdz+JmCYbopU5qdiGvzYIfpkp82H+Z
bF9a0df9Q4xs5TNOjPixOBPv8sC79X+g9FgL8u2GJCcIqfmWSNmaqxIH7oykTrKrkwW+fcYNRquX
ybYV9aQvgv0+jdGYMjwaMBHZ0Vh66vQW/9zthkpgWzNdXTpY6QcPi544T3SluIxGyw08xv4YXg7n
2B9Xpe1652O4y4q4Y2nFX2iz5AGudBl4CRWfwlklcDSuzLaDCSVBoog83U7PY10RaMHT6350nBbj
BYEWzU5O0O3LWxev7Wu37MdfD2/D3ebhobzR5DvmQyNVfUaDFx1YkVJg66yKMz8PJ6aAuzFWoYsQ
xSFhLhRNV18ikhjg5KNQ1sUWMl9ewOUb79e2bPZdhsZZzlgY46dD18N8iQmA+ClWNgtA1ml4Q745
2pON+OJ4DMglyLkxydawVXy8yX6N9hNAwo5Wd3ZIXau9GC3L6uysPGz7e32tQSpL390g+FsxeCGD
i1H/tJ+yJGiUBfqkbbyFbDtH9WVYh8A5B9gF/rp9H8R3ofWD/9Zjigagldh9rY5uQGAv0/XHrTB6
QR02T4wK4ZhF9weySordyQh5GUmqCrH11zxatwiUF5Uh2C/3yUTHGZf5iEQWG80pInr0t8U5D4qe
RsvvLB4a524Fb/uqMCa0J7zQ4lkjH24hhabw1QMb54HbA8gBf5eiesJ4KDB4dnP2snh9v10wZNK+
698oGrQ06qvjaZAqd/Szpox0r3iTnFmvL5mtt7rcbU+H2P84O68eOZV1Df+hgwRFkW47wsx4nOMN
WsGLnDO//jz4SEczNGpk77AutrVdXUWFL7yhQfK9cLmpCL6cTMPJl52Z4hk02knK1rIQEYlyUCRh
QLuMS6m19WsppAGS51exKFsooZQ5eLGOE8TuR6MYezZfBpyJGCqkNYN4SwcmUKOJ9XdSh87bmJcO
WRjelB8mvK76IQr9QJyV0aIUQW1i0M8W4iLRCc6t9UH4swbWXS/DDJ+K2nrXhhUXftMR7ylZBS0W
LZySqxyBRIc2gZMG+mlO/JKCmyiti0qjCrBTHurGsaMZQ0FSVYsPxGvEdEOhanDcGm6s62zo09tU
4zo99BN9tcGIoyWarilAz70ZUyQrovAYjQCAD72Pi9KjXqpps/BQiCr/Jr2xLKRADPGWdeZZMQwV
qzCI9NN7iRDXV7+oGlQXQh0A/hxxmVyQ62rrB5Vk5kMwWAn8e6OMAAvBpOoPRQwO/Q0VCGpiQdHI
L76d+O/aYPbfqLRu/EdZmLN1RGxDGc6OM2jZYZ40cwK9IxFOG1s1+w/bwfK7Enb+lwnU6OwtUlz/
0Q2JcDLLwUQc7HbukQOvQspkmu9kT+hCc//qsg//RsgotK6oyeGSOE3pZJIJoYfgKVZZvfXDSqMk
b5KDnY2a3h+fIcwhMBmmr7uWAnoeIj7Ms5NdVzVNicLWTjLPALriMmi49MnoXYCTif2TnC0bFBsQ
Z0w3krTLP0B26N5Ncde/17Oi4cYGyd4Aww/Hr7VcUhWII/0DIgwAyOwks4ZHrjtf/chuhEFhTnre
g10zDO0c+NRNYIACZDuQoy6K+2o7PPr2CGjSUAxkMunmZUfTDjQ1OCR4K/2saLkv4DUoxgeq+P33
TrOBfpOy1B/CtgSrjwzOY9GakXH2J3pyCDYFENF8PYj+DapOG09gxdF8WcQyxGEGA+JfDEowLUoB
uvPV8EX4BY324mMyRhycSOatO5mFqtKXCeUjzJxAHGI2DZr/hD7x2Uh05CSmSHWuhRPrT7Rp2xwb
bureb/MuBZ1D5dr41Dp23xzKTq85CACBfCoLAY+nJJJsnmc/qpxDgEqVcWy0fKFvB4Q4ZyXQ4m9m
E1fzpaLz0r3jp44fat4pFPmVyqGYahp6e57hGQCs5BkzWS6Dlmcm5+YLWk+0g9LULv9pnN6qD1pg
2rwaaQdlA1QHIBJZt0p7CBZXhGOs+1l0rdWxpG3Q1Xh2UBjSm2cxO9Enav+m8cxGTBELFWbnn7XK
4HmjG0AvPeiAWVO/NKrgrCYDUjD8X/vqjO4xggWxNaOBB5ERdX/WFrIVlSRqsGg6WPGp7oc2vjRo
2YbkWmH/LESvLuoBdvhmnnXF/hj4cvqULYeRSkVMwlsWjvlJBRKCroFRJo9Bbac60jpO862nCzpe
M8j1zxlvAz5qOX6wAX2ogleiG360aEL/RCpBPkklk2gaWbZvHwMJevoBCpuKdHNZjB6yRMZDXeO1
eIDRAkxiJshiv5LyGz80aqNfNaCaRFCAkKhtgq+0Ppoi1ctzX/cmEje8zccGdpGHAkVfXfmzMDk0
w0i/IBVmqZ50KEXZxZbd9CO1Borccx86wUmQDGc/qM/aZ7i9S3VHrwmhyfQU3QVa2D30ek9JSbEr
gxDFMpy/aKeJFPa9Fi7vA7LQECXSQf+EBJv6cWxE+o/CPvneZGPxJpTBtPBFfG5Qw5/yf2Doqws1
WaNy5qBe9zPMFFzsaMiY42Hi/Xp02OnTYyqz9J2SxIlxnAEIxwfDAnvwDUmMAJobBsTQ0tBlpoQ/
kzTyztB9PrVjOXwY43huPxT07yBMOXX7JaM8CUgUA9hvQC4G+wqeTK+ABeXclLhBWsahqshB3UEt
lOYHnXI1P4ohqsonShzFQ0GoNV9rcDLiHKqBApcBTBfqPNkYvickET+0wCcQzWdwJIC3W9BwsxpX
LTo6WD4cKhpNBRVmvYyv8+xMUMnylDi6NFWHPRfmkoiZC3C8ZGRz3AJFo5VvnVwmz7Bo6vhpKFMD
bJCagcJKAj0HNhzL4GxQVi6JJvulMVohv/ge+TM464YW2bkHbMbUjwC1/L+Q3grid2Vn1PEFDwyR
n2vhDMAzbVE949xcVQctUvnVMGyEeBA2OHDg2nZ6TbUsDR+olRaEcPgSgZjPm0n91tql8i+Jec7q
DoX1fjIzCQhzimvzgF5kF32sgrm56ME4dedUjCT/s+gboLC6X1yA2cXvNCSO0IgqinJ+jqpKx28W
jg3Ob+Bwg+z5f8AImkobtYNn2n34gC5nab3pReQ7h9maRu30P8LXawk8NvNmv8ciS8vyMkdrR+bp
eUAOeLwAR1cL/qoZlEIRl5Nb1lNundOOF2vq+HAwJpJhR9ZzQ0HUJMBBVxNZV9KV5c9fKIjSDZ3o
+ZSdh1K0ir1hoQMUAckrSDn3VKG35BIt/M9sEw1K/r0Su4wXmVCoPJ3XoY9w8lE7OkemsJ8nVGGO
FIusH4o/k1o4xIE0uQGjFQTmMABjfUd2c0sh0tLxjKdDZOHHtDLFUNjSVM7Uzmusub10CGGijx31
1/sKkRvil6aFKpwt9MXOQV/+/OXaBlR0JzISr/Prj3zA4Ksekjbyf1A8SgnkU1UKE/v+oNrmKqN8
r4FsxjVobWaSw30cfOqP3tD32jtwDfZVCk05SnozF6IuJIsA3JyzxpxP5ZBUB1xNnWM5FHtuvFtb
C72u//8hixjpi+kjs1Rbtcki91mG7B64K9vWokd4ov2ON+vm5wS/gRPUouh+I+1qjmZqybrzTFrJ
V93WjWcTvbgdserNUSxpsVq6DtJt9Tl7ACud1uhksNiyUqiShlsMtXG+//02N82LURbl8BerpreB
CSxr7LwSNrSHNUVwtmkUfUWCK3+Ia5CVxHz9znnY+FR4/ai4l2qqhaHwamo4xzvUHGXnWQghnmnh
t89dMviotsH3uz+/jVUEHArMxgS/hEz9Svm8Q2UJgEjceTjUCYizrWlfwE7SR//dcQS7QdWxvdHQ
oF1fNmHOdQ6qhd0XN/pzMQuwo/MY7OyJW0FdRiGM1KUFOfJGahaVRhDiBjvPR2fxYheV+Ow7ozI+
zFEsPEqCvtjxZL9VjseISpVYCKgWyvHrvS7wOLEQImo8QoTuS2iQZihxmpzH3AzQUl5E/hOzQPbN
F2JH8faXccBrvVu0n7X/c4XCaNVavu2LvYlmkA4jLJq9tldMzUtA/qK5JBWHBLjMReH1FkBEr+6I
x1waBGZFmqIZD10HT+GSqE5FXuVDJqZdj2CLkVpTdoQc4RtuDo8WPEGGAChNV9sJHjLLoCFfgvc+
pHDxszM+UEBmM8ROgA6ms/xk1bNe7lyft9uTKfIwSCA0EtOale2g5qRFFEVi8kI7MT+hEAWkYQ7V
9/c35+15W0ZZ9gs3NK5Iq/NWJ0oiaW9MdK3QFwiVoT0qfSi8oZyb6/2hNifkmI7tSLQT0WN6/c1U
OKqzHVgMhVH2OZEUaRcs4c6p3poQ7hZYx+mmNKm5vx4F5Sinrh2JuyDoouPUGGgezCR1kBj2bAY3
DgBFTpUyK1mPRYPu9VCAnXMIjPboBSRIxSHNBoShumHRMkK5UIRP6KuGfw1OBw5XpMoU7lwsy9+/
OgQ2w2vSgqtKi2B1gVFYjbNOVqNHuUShmpjRui0GcHtUHB6rSo1Ppl7suY9vrK9NMdDAooxrBsvm
15Mu/TKKrbaevFiJ8PIwh/Rs1d1w1tG7+f1PyVCLQYLEugMHyddDBWaMenzC3ozl+E2KsYPnRdvX
1GW2M9LmSr4YabVp2kpBO6bLJq8lCP0AjMt8zp1igisjeq9C3oT2rG1e7p+HzUEdGos6DjoqEcfr
6cGMI4G2YXg04Dj+5sQE/2QlyYudQ+HNtE78NdGE/fv+oFufT/LmSRZV2upaKBwCW0B/Jxm8ANLL
Q5XBtlIkFAiq1fXOom4NZZtCAs5zNIEU4ev5ITpNijqUozdI1MAHWcFGivqf3Tg4Oy/RaiVx6rEF
9wpwA1ZRBd36eiS/xyrIhLgHqV50KAyA3dJOZzVHi2AECLVzMf+6eV+cu5vhVhdZmJdoEweBSe+2
1/7yW6n/i955n126oh7MY1bLxI3LsABkm8rywdatXp4dHzrfzgWwWuFfP4R2io6jncP+W0cWqHLB
ZDJ7k8ZX3H5zQqQhDFEFbxMjD8/3983q8v41FPEzJVfHNIjBVkuMn3mILvJkkewrOiBRdT4FiFjt
bJlVEPNrFIerBeNbjVd9/SHNuF1YjLXtollleWFji5NO/ehChx8tZWqqOwu4sXF0NoDFa2Tx0q79
iQjYyrakDePi7Ns9+lR2zvWcKc+swHgcEYO5NFNT7CzlxldDSJqXSSUmVMX6YReJ4wc2FQtXbylb
oRy4iKcpBkfQiHbSkY311Nkfi8UMFkhSrHdqCCopQYHaHaLSOZoadN++RNglRAP+qARFe7q/Szan
9mK85c9fhGUpWqz0rWPLDcwoArgnxLNVQPxzxip2/2Ao3lydmIW1XO/9kmZHF1HidDNa6weMumDZ
VsrwuTD9nUltLSLZHDqSmqWZ+jpPcHSdKim9N28oEANEZrE6142Ns8GAcF1sGeJ6f2ZL8WF1vVAQ
wBbRJixj2FVxoo8yRZ/JvjwqilbqtX4PEyzXtOKYFDo2Xaj8p2euW7Ae9D/FY5v08U58vXHaKRLY
bAg0MrhblnPz4ju2EO61XNiB16HITBaGkY1Kz2rntK/ip+W0c3WRF2EAIlR7/RZR/YxSKlgBrZa2
fKJB1b8xkX99Q65uPgV+WzgnVqgNQCQ7e+mStjk4lmRE1mLJYJav/nKK1hwgBIuTOUAhpzqOU6zr
56jO8IvumqGkG14VFCJwNqJ8bvRN6D9AMctQnFBQiqb+28HhHBFfuJg4D82HCtBVdwXwAOIBjBA4
6FmjtHOEalXJb/d3yNZvJ9MTrN3y33U5p0ObVi8pY7oBVi4hkrEKrNIuDN+lKOw9QMc2aOo0QPch
BPzB5cUjICk8QCu5iXl9axF0akmq1AwGmQPgFPMUAyVSpHR3NuHWOcClkyOHPRgB5+rJsTh0apbP
kZd3YUInfhI9jJiFeP6DFpn4geO19n1UpANrL5T2U6IVqbNjG7t1oeExJKgTYgV4U8JC6hWObIQT
MAy/CBpC7Z8nK/gHptq8c8tsPEVSQ1kJlw0qOnJtoERHLFDlFOEyj5y6eQgjJESPUafU8zGEZYGE
t+m0wzmqhm6vHLpxwUkcI385Kwpy6tWFg9Akm61vFFcnpe3eZL0NAx68CKL1BX/2oZFhV+28TBsL
SxJocp0ahq3dFA9AmwlUzRLFxQrhM731/LOaZp+z1u53vuDWurKaBIDI6d8maWBEO0UThe8inTyG
BxUQejinev9QDfiwHvoZkPOZejCCS/cP6dYMgSEsoqgQeW7KS7Qn266lzewWNNHsEwYROQAPU4t1
yLH1vOM0tHElSLjuEFF5NrgWVsG21SkpT8nku/UIge7qtKB/MaLo7dbFjLMurig1mT+h9gQfUSZt
pt+/yqUhqUVCP9XQOlttIRgJiIjatu8SaimfNQcZu1NgNRMsMMKM8amzJRgZacdF7VXz0Ctf7i/2
xl0h0UnHOpsCGGdoNX3HNguNpmPooTZh9f92dGLCh4L9159mMQzWsbStOD8CFUPVsgsMSMya0wBx
uP8ztr45qy9Zatpf6voQF1VVATnJOMRjEzzCS4qxekH2CqWWbOcAaZtjSe5/AmZ29rpfUgAxTGbF
Uty6guDxxin1QL0g6BfCq5rodhcW5D6MOhQkrS+hqWbNVwfuznhUBUJBl6rP6vhq0Xh/MEZF6R4H
RZmQic2LPY/TzR+6pGcWTZ3bLMXIhlJ16kBxbVhUBnTyJPih9H0tUTmvodbf/wRblxmbUHCn2Etu
vXo1MjihiQ9f2Q1zk8QI8QYEdO1w1r0AuWtEQ5FZudwfciNa4kWk6i/IPWmHrqIlYpx2FIEaeXLS
sgsKdsVlHkxxvj+KWH75Ki4kUKG1sNRD2OyrPQ5qFVEo2yBiqdsw+xfuCz2MxtBwY6nR+xsB+onA
eZha9ICunQrpyKOTjoKCT2879gKhp/HXCqLSIoGk12A48r57DocIJmSr96VxnObYwhQjMrvpQcQw
zT5E/hybP+EKLIoAWYkXGCjtoNi5vNadoiUS/HVobHMRibs5voPUxkRXtchTnFR3PA1cznhQqGCI
QzVNTvCmi1XwCMJ3wL52c8MKZ4ZsFnNOJX1GwRMHhPurvfVNkcLiLGOdSZq2bOoX4aEJlE0ddDPy
NMsvPdy7SuDn7Z5b9sbRIK6hVqkKB5/Odb5boZvX16YdeZSY4weVcPhd0s7l1Ypy7fsfTMigsaLS
mOJfq3MB8bqOQNNEHm5R43WM8cjQ7EbfWbaN13b5uznmSOsSIa72KPK6iZqTx3ptB5FTsUD/AMxo
LLcoTZS8EXl6E2hhef2TubGINFjId9e5YDr3OvhZDiDCVAEU70kq8amo7HRnDTceWWMpKhs0EwVe
3sufv9gUSNbBNIDO7iUw3uSJOebiIbKEDiUgyX30c307Kp8V7G8+I5yOOdD9eW7cbRRchTAwiLUd
dX3RBCAiRqjZy0VTk5ZRWzxWWQUktVZ9+hZt6P7BeLyr5ID0Gil6vJ7vAA6z1CWAn8wA+zMXANMk
+rWnaAqnr+oYdzu7Z2N+oByWLjhFdcNc33AtVRqnnKvAg8dTntMQu5IhjvIrNefRVWHx7Nw7G8fP
XB5Q6qEkoZa9OuSWPgSp7ZeBN/XwDOcW7zQMzcRlwrRux2Z5eyheQAlu+bbZyNUdD0CZAw8qIFLt
lSkeK7goXjlEtXf/q20OBSOYrUo59CaTQBtASwtBdtgPAHLmuEkf/SqwH5SsG3ZmtXHcTZpH1Hdt
lu+mTjAjSDr0XRJ684RC2WMP5R+rFhJC/VRWMxrsUxjH/jcja+fw6/1Z/mpyr55DE0yq4yy5KLHv
anNqOA4LI9ICjz5uUl1h0NN1HCHW/tuErXhMRgLPSzdjUHUadBWkc+sAs7lYZhSmIIEg3x4VkMFf
+0Y3UA7sOuupM/kfzia41edANWT45f5P3vowtGroOVs8eFQAXx+nZDSR3Zl6xx0qA3ctPXBcqkDp
A5mPcrw/1FaNmuqKgRczdUaDwu3rsRS58MaABLqpZohnjJokgXAxnHsRFEdQv+F5yJrxjBYlLGjw
dMeqjbqdaHjjujRtdIaWrJYXYX1dNQDP6litHbQByv6/AmDzQzOOABPtWR4n3AQ/2Eb204+rfmdv
bDzeBBTUJ0xg4LTnVq/QDCMrikbNcZPeb10fZ8V3Fl2HvTUWrOF6B5JycM5AaNo39Ssa3J0+qrrj
Em4n+aFsFOmfJnBs4UVAWfyOsGj8tYV0+tVAuwQ2WBzm5JphURQXZQ4T82q1sxP+/iNB0U7V9MVW
nfVfnQsA2A3Ud/ZWU9fJGxS15/9MJ5ivdAbhcU9++e3+Vtv4yhZFtKUBQT0IENPrnRYOyJKbZmm7
Q03fxTH/s7TobVibbzDn+Io1919FDtfh/pgb9w7gEO4bOh+Gc5PtNigw5nUyOu4c6MX3xs+wBrRb
pG9GizLtXP4L2UHu3HUbp5ejS2LBwWWy6yADyQNk/4PCcTMn/k6lqUWGG1JtWQPRvj+75Qut9hWh
INeaBBVGq2C1fc3aMJFElY7b4YcQHZVWIFjQwHsZAVxy2tBsQAEX1T2t+huhyQbp0qxW3t3/EVvT
pfZmOHxS2mfrywrFbqWPKgoKWqmIDJ0k1XxuLMPXjuhZ4ID+B6PxjhjE/vK28WOgY9mjM+jTqOjS
BfwXfKmNEFkWva/+ZGIvhloujxdBHE54fTBmve9GCBQjIqR8B2A6XCYtGf7gJFLQESBkdNCDa5hW
NpBgxGhOuh3qUt4C83sCYR1e7AkqvI3E8fUPFpGYm70JrElbv4ilrlNMSyvfhcsIew1Wo9qdRdNm
P7EzEc4fnEFyIzI2GiO3vbMoX6w0WtNxoRSjFtiOyL6h4GsYyUmgKkmBJYZEdjACIyrPvz9RwnDH
BjbN6q4n6uiIfyFpyPG34/6ssiDPeZFhT1DI6g+GooJHWxkGPMdxdRYVuMNItKe+i0M5DCT6rMdG
BqqrdfZeBXjrxCFZTYVkgXBx0bzemO1iYI/hnuUmxZC+y7Ci4+yhlt7PJW5G91dw64ohcKItuLRb
byLtwXJy/HNpDJays95BW5yBhkr1vUQuFa2JdmjekGY1YHGb4ftAa2Yvv956NZBzNjQNQzuCuNWr
EUhQtUOGhlMBzkr1YF/k3WWmbPIT3Wr/vyos++YUDKn+lWghDXZu2K2ldig1AExl7jflSoceHm0H
xwIaNmVv28wcL6UNEYnijrETi2wOBQzCIBgxbp3ZLZQsItxJbbfoev9Sx/p8qvooeVAbsQfY3Eif
LFrnSK8b/POm9KWjY65TCkTkxbHnpxKf3GNrtylGCpAQ+6Te27Abm4jFowUlNcu8bY4EyGV00Yyo
TNyWGDb5ujF/RscBBkuEe8j3yUh4vdCjNf4hiSgeJtFEP+9v441AD1ACTzK3LPXn9elEzwXgHdBs
BD0M61g3LcaxmbWHfdj4hEujcjknvK4ElK8Ppm6PLSaZiFF1o21dhkqGRzA64xX6rrlzLn+Fpqu3
n7AdVCWCqMK4jaYwlsHv1nHcHomD3jUGBDlyWA6G9ncFac35qpUpKqVp16X1z0Bpjad5lNEzvGy9
/DLLkhaR7EtreB70AWbE0FZT+kVBaLtGFwuVOdB9RZABLwqzj0VJ3wUl3np+NnvE/Y/TUCfzU4+p
+0cawMikQSmcu+uMRsK/TowMCmY7jQDMNkzVCTJAkx+hxIeRh1FGsLD+dExtamHJ8AEdikPtpM43
zRqm8b2Rj5j2CD2SmptHTfpRm5vAPDSaE/Un0eBc1UiYzAdQlmV7jLNcqBC6ovYvJOsE6N+gYyvZ
VRN+MBN7GhGVSZA0Tdu+6ukzyBKp09ypIbl2caseFJU22VnLSmM+2KUtn2MEeZOvCNjr6vn+Dtw4
czb36K9TwAZc97AnjBnjbjlzVLWwrhrQ/1B0XEoypMq8Hlfc3w+UGG8BOoEag/C9ujcjQlDfgErP
zlCt96jfZg9tiZJVrzo7Z2tr13MHot5tUkony3+96wHWQi+Zw8ALDbjuF6vLUfbWksBuUOxAKGdn
52+E9Lx8xNcUZADDrYPeqQLsQO6suB3AoAvPY/DJmMbmECeheYolGm1UjoedQTfnyN8KlpHqz00j
HQGKqtFUgy5kPzQeH89/Fk5hvu1wEDzf3yhbl6W5tCGpcPGfdZq08P6noanpSwBY6ekIiYCihVGj
tF4rqNDj0zQV8hiliOaJvrPGYxxaeuXe/xVbEwZ3tLRcNUO7eff9UMkmc6RaWIZD8Nm0svwo59r+
gjTfHrz+VxS2vsrYpdTOF6D2zRMP+9XSW/RQ3ZpAcPrYYSX6g36oVR7KNJLhJcUQaLoAwc/TxzlS
4qegpYF2wKvC/JZYuv2cpaXTejos0/xkzSNWE8jGzb2bF4qM30eB6aCHOhoW/pt4537GVymxj0PT
qurBaDGbOub0Rv4CuxF/IVTNlQvEXe0BL1CUigY7zx9xSI6S399S4FnwTkJbEYuH9T4eqckpmikU
11Gzz0miO9dyMvHcRBRv51tuPH7A70Ee01vmc96AdPpYOD7Gzm6XtOkiG83dW0Cqv79jtipJlJol
smOMRaVvdeMUZSmdOpN8xkiOaH/o9QnJQIjujsYSxzl+eCjZxOfRTL4NfRidg077ef83bFyy/ASq
SM5S5yOTen0VaR2FzNxROKYQ9VxFJqhOFRDAzwCFtIuW5MEOaGDjmHDtUeDnsQesvr77mtlESLWZ
FDeRen/ARTU9SkeJEO/i7b0/t82vSAzMtferTrZaXpggemx0uuIaGIK5kRlO7uDUxg7QcWsUEusF
0GWJ26JQlFciLAdfcZtATsemnpHWaRHVvT+Xzb2ygORMxD/pUq7xlIWNLP04UcBXUbf0nCoIXByB
5NvepPJtOCPWVKQd5kH2jokJrzGHyENU5vv7P2PjKXE07nO+G1AEwOqvt8voDPijKhFlfRTE3QlZ
hUVjLUY0y5qp3owIyyG0tPMdtwZdsErADyTPybr1X9GZwnNyoMsdBuY5UBX/Qdea/A184srtg7z6
IFAd2akwbDwqqFSzQbkIDI7mKjKtmyoyx7EACBZG5RctxAQlaPFGh7wYnUalzh7H2EbeZeTl1HK8
be8v9Na5JAuXAMpNcVu1UaNFlsyoOJc0Od/gR5afNKf86dtUGkn7x50lvt3E1DUAd6DGacnb9les
IQohcDFyw9kSnyykbHBmz6eds3+TmZKV4m9Bo4bKAv9ZfsWL+tAkKvyK6Wq4TtnY7+u+Lt92jmhO
XdpZz0jRWccZ74vgAH7ptxMNhoY1SFZKfXHBK70eOuscPzaE1bnI7Hcqomph9aPx5xn9hRzNg98+
rVwFlDTgAui0a2lLvB4umGw5TyjUuqAx2DT4HCjpAZG6OXjbW2NlnrSSQuhxzstkOlQkHgJOPKIr
B0KpON7Bs2wsOwky/L7l9BAoLVv9xbLHcYtGUpz3zD13cBQFuI9VPavxNa46+5utVp28BI1uIYYX
GiQT97fyxvAL3ZAHhvCI13R1DXeoivQDHX4Eh2v9WGBYTYyGGPYBS6X+CcFlDHbT1HoQXfb190cW
BPMLjY2K9vq2crC5oMhSDzwAfn1M7DJ9VHNYPdiA5sNVQ9MNl6IK+9E59r37Q2s3JwpZObCNBNy0
iAhXVjvAt6HGwhQZ3Hi2+oekxm/qNOW+OKEENSOl3yCIE3f6d2fqerpGUXOJVd3HPBFbCHqY9aEp
jfCfzs+dnYvt5jblhy3PIf8AOYQ/0+vdgLkRJoOx6N1uUMwvdm46h7ycrSschPlT7YT6506mw+f7
y3FznVF8w2SHggIjUoFb7YEKw1ANNH7nDnFn9fgGOLE3qVP8acTNUT/XImvynTO48QFsUyKhTccG
6RJrveuHhAMYlL2LQhOSPiKazipl8PP9iW2OAnZIXar5vBdLuPPibDUoOkeF3XC2yMj/XsRAn1uE
TXa+2dYo5Gi8QuAFlh7J61EqmdpIcVK0qAfbuDb9WFxoQO51CrZGoWFvqaBkN2QCGmwLEPKayALK
QjkiymMeJ7u2dq6DW0QSewFYDsg63gJi+dWSlRWVCtPPelcOFqKtogjqE957iEvr6CWerHigzkAB
xHie0XR8V2VdYZ+ISXVErdA7Hk73v+DN1oS9AY4EH14CGjoKy/X14gsWVhuWloaWcKggRnrAWgi3
iTZV8SQynQLfgZG469/7Y96s9DIm5TUsPC0wLzf16LII+wYAmKsQnr7rZNs8Z6U/7OzNzZnBPYUJ
w7vOg/R6ZmgYGhB55UwIE+C5Lp3Ojbuo+kD7Vly1KMTF5v60bm56+uEcNfpqBGlETatTHqDrlPPV
J3dGUfrsAGd7QuYz/jjiI3AYtcC6Cq2o3KCNgt/tIC4j00vg37wx1JJfTxUrNL8DBaK6CgIkF4m+
yns50Usw8SgMd2a5/F2vku9lLN4zvt4Cil0nh7aOkHyLOJgLtFmea4wTntraDD8ONQ7qO2Pdhv0M
phncmTzd5LzG8o1f7M6RDiGuA2J2h1Spvuo4cD0Sj9oRNht17+Al0kTIQTVG+8+Abu2zjZ7f2zim
IrgTQ9zu2KVBu3RNQd9qtGxe/w4kqso+QMbIFZXI30HWwLNDiXGiub+DtoZZyIaOEPwT5srrYfqs
LYzYYsuywfz4EFRTYx8dDZb/zi20N9DqdUg0kSkV/nUuytXyMa6RasLX4rdRVzS3XkznF+70xdeT
TFI342l2kXhoDmiQze9LGf/ji7k/VZoYdyZ187Qvw+nUwOD8CBq+y6RfDIeoDFVFS51dLDjwB8+M
xoukRH4vRoEkRz7Mw6q8P/3BJ3sx6GolsRzTjBmvFtc2Ru2KO3CGkOsgdvbf7aHTFiGJ5b/cZzTN
X08NPehAmtiNuL4Yp3ehmKpzCzPcDaA67Ax1uzUI2B2eAs4cL8P6scWIOWyRrdLdXEnCkwxB8Miu
2aO+3U5oGWU50lScDbL61xNaKpZgDivdbdHhPIopHY6DPqJF2lF9v/+Fbt8BACtsDBgEQEdvUtlY
itRPIlV3p3lWF8sj9TzNqGu1WRYhFNqoX++Pd7sNYVQDn9cWzgSMJvF6asQ/fWp2oaQgkPbXIVOr
H0iQIs0ZlAFilKkTVGg/dupOIWZrRZc+gQUwB9TQugxcQBG2wiyQLkDOEL+ttD+mGs3yQtHVnT2/
taLUYhY4BcsKBOv1DFEEjys1j6VbpUnlhW2XfA4qc36aYzH9RE6LmPr+ki6H6PWbA9aMoInXgJcH
Ov3rAQ0EMKMyhP2JUmv9VxolVvUwxwaEBL3MCkF42yjGNa3RfBVU+r1ciuKf+z9hY3mXfi5REuEE
ke7qJUIEuEnLKLfcGT3wQ+dY5VEmvnbGm3G83h9q4wRS3Qbxz5Q3GrvTFNKlCjLTnQs9vEKKM08z
a3O+P8rGR4Qaw6EAoEotfQ3bhgJqZD3XKNFKZdGaM7LLUBrdCeIoenbpqOyFR6tp0YnlYbMtkxgT
5A8FkNcf0QIFkNNhSj0qK/aTgdYgQo7hXn63MQoUaF4WECQAjNdbJa073ZmaNIWvk+TPWhDVp7mw
90ieqzO+zEWouLosDRe6WDdzkVWSlEA/Palhopt2iYZPQ/q3hcNjeZAT7r4HpIb3crrVMfg1KoAY
kjpqyPRxVxFt17YaLIs69QYjyj/FNLEeeh+vmsOQx3haFwkqfAcfXwEgMkagv0vwfop/7yj+32+A
Fc3eXDgMa+ilostp5FFNPbQF7Q+GTsA1+qirVgFiamY0128UBTdpc4qzb9gPlZ/v79qthQeeRzuP
ZJp8c/nzF298mdL67Yu68Ggza8d6GvTvvoUGD/EZ5gGKyN9ADuPW++1RdSj1yAf80rdYczYwERwb
Z6oKb4Zs9j5oVXGtzLH50qij/SYuk58RGIxv98fc2MjsLzr2Fk2u2+qNhuZ2O9d97jlFpb+tCqXC
8VxN3fujbGwp4Ac8wIJaDYj7VZ2mDxaAXKXknmY79g9swuLkPFRDUrpENnVwykSQF4c+DmLzgG+6
UZ/LxY/9/f1fsbpcl00Fjo3SPpE+bax1a2tobaRsjLTAYNpvvvmy/2fKEbZWkJ3+dH+krVX9BTok
QuQiX7+SoYZVRxtlhVf5fotmdmBcZn1Mdm7wzflwx/16Kigtr94rdPbCWuJp5DUxqSctyBoBdh+j
q0bZgzvdHAh0y8g3DTTaKfMZa4ptNcki7zVz8OKmb98Fcapfpm4uPuNDUT3ZfoDjWqTuvIWbYxJq
kMWDJ6G69/oQRhOax9ri5dDjZJidau7bxxRMxSka1b44l1JNMSDDAFPu7NbVm8XuWEI5k71IIYhS
7mpgjLvyJIlx/cU7Pnx2EOvFUqlP/y0okvzU4xLXo9/cLsuAcmlSctdAw1sNWCMNNISiqTzMfhpU
LbUBPk7U7KjM3GzKX6NAhIGDx5ZcVypo5hSKMraVlxUjHWRn1Oz3TmyKncnc7MplGN6tXzTe28+m
Ie4sga3XXj2Ec4DVUDNfTar/wynUg/6/+yu3MRjQbQ3cC6VPYGOrlUOKf7KqKGw9J2yVxzaMu0s4
+tnzpJbRDtnm5g5bLg+yZbbigoVd112cwTCQPPcbryybqv03j0PkFUQ3pc95uRg99lFt9A/4Evvv
UhquaHFqiJHdn+7GJwTMwvGjlEYRcY3INetihnMaNJ7hh92T2nZ482CR/OX+KFuLuhC0qJ2RoAH+
fX3w7GguWvz/Oi/MRHjx5+wv8B3ZGZhSvzOfjZO2nG3iNYtapVjPZ1SRAtZGsF1mPKtX4GlBjMq2
7BeDjL67to7WWjuP7MbkyN5tEwaqRnKxjm5Qj2lHvf5f0s6jSU4kXNe/iAi82QJV3XSr5dUyG0Jm
ROJdYn/9fdBdHDVVUYTOmc0oZiKUBWTm515jyUjtlPktelXVmZrXe9Rb86ihvO8rbRcJoyQyKI40
KJ39eNNsPYFpj4ULM3b15YNZC9H5pYKjsI8RrPnQQ2z/r8qX6XuTg/7fxEw+6gkOcP/8PdkwwHb4
CSjL7dNIbBhnGkqbyQoGhB8BjeCp4KboJSwljqC317ryRXnobQRFt55yYReTHKekKk3TIUqxonpU
yPU/xe1Q4lHe264e9FPVHpHWL5ekxWNwdVINAzzePx62QlVVpFkfFR2WD7NlnzCK6EO1weC2gn8X
3n7CyzPIcrZHZswwl9TQfXk61onGkJBuFwlNDJG0XIzpedaDVS63KasgzLdpH8GFuSgwMEE04ynu
olR66+sGffK7IvFwgtSg499+oP1SfCnkY1ATJvKQnu1BqEprxsIbFNw+aNA99LXRY6sHQ5kJ+L9K
qv1ZisNugAEEUbW/rpGIx/KqK9RoVkV1j6zaF7zOp81I+gghvf9K+5W2TfNXBq8thpfnslbRfW2m
8zTEdmgq5nrw6vYxYVuFkRsiWFvRSf78cpUxW8CHk1RGGtlItXkfPG+DpQhVQec0Si071RS/T3Nl
9adZW460DK885J9e5CYyw47cD/xyDa2GrUKMdBxiHirFHe7TzRn19v7Yny8ecutFA9ZEl4Cm5+5I
V0Zmmyk3S1TlsHa6UgVGq65TiLQNFpSV1R4E2mtP9f9zFJjCpBH6y5c6rArZUKyoEdYFKmPbNc++
dJ3jHnWnr+x7bkXyIEgLhPV9JBixJlqUytYBFg+QBuKYBm6EbtUExk7rrOog1l15LIAZvMA/CPeL
YGDVyFwsDNgQ9rTwTaYGesXHdaLbH8vY3s5fTSyqDoZQENqgTsKNuGhi6dLOwKFiGcaJ773ntIay
GQmz7j+2jYJhlasKWiJxkYhzZfbLM8xzXSfcgk/0MdsbdXTVUk2cpTs46Tnx1A6Ohar1QYfoXYzy
r0AUBR4JSXCN48C7uqukEsZ4PrxdMRZCXLagej/bU556X2dPXfpvotFHzCIxP9WR7Z+E8jDHaj4E
0lorIDBFrmJ0iT3dka7FtQ9MJ4h+/TZKumBJzAkiV2te6JFQ3SxasUj3M4XyDwb/0ce9ckboZPPa
IWKDkf2TCfx13WRZlyHetqyROovxs5NiR4qD9hQO5tD8Ny/jt9tfeYsxu49MHU1XlFQUsvm+YHC7
aahWleU6FCPVACmw37Ezup+SxqwDTcz6Gz3Py6gpTSO8vfKf5O9iaQBGpIZ4X16QRssiyfq2xRsK
3HhiPTaVmX7BscV7PyquFdEDcxHsEEPyZh2U9oteDu0ZE1L7YxvX+udJjuWbcVjn0+1fdeVL08pE
toGBr8F1tbuHy1mjBZebK2VAb90nnewfFswhP2H3dYSTu74UWg2M6OCo7EOYh4AA8j82X1qqxlNR
d/gJ0Sd7qmkjHFy8V5fiuUBVUa55+4KNvmmb2VhGREK0GC2LcZZhoQjx3lNyecAqvLKBNyVJAL/I
DoOa337LXxu4hQLsZb0Ljaqu1/w5Ibf7NGN38jSAiih/6vqi/GOmyEVlwL5B1h+kCv/arQiSO02A
vq6RNjXOe0A0VohFlxpiD4RSdJG0Bzt3307Y1gNwgbgHFT1QpV1V049K47RwSKJcJHo46+h7jA1e
TxjIlNjaJT9VCsB/zLz/rMme5CIm47lgw3hCOGWZWFzAlVO/TwYXC3r8CuEyF+n/cakt/Pz1ASWd
nzoZ3SVadTdLT5VcpndlvumXKIWqLwdb8+rLhN6DUNTWIt3nBMzgbVdgVBN5/aQ9TkVT3AFoKn5v
Tp/3ydo0zyrJycEevXYeGKwgpExKrF403TfbsGYa0FO2cEh+PUtR3MmmS++2ku4gB7l2wUKpcFkM
BBdY3JdvMwNhXHOpzRExCxn1BEAFnuoa3u65TlFB9jP0dQKy2vlXVfo/W+avlXeJq7StJVPoS26J
q4s8ioM/E4IwZ3WuvHtz1oZfo+hxPensujpoEO01JbfcASnSrQcLpg7YzO6pW6sZsQjJ+apj19VE
crQ78VxbGGdXvZlBTgDQMocVZdEU2PghRouJyolf2bH30GSKq/kqapEbvcxMhK/pSyl9fZlj1++s
tp/9CTGz+s0wjXVx+vcIQBeI5IdZsnmRiZeijLWlzNWoLdziPHmKEzZrUZA9qkf6ydeuShIKWrtE
+0vfAHU07cKcVuhRXbuck1r09x5gsVBNlvWVEPVyd/vRrp01mNaMf0jygXfu8m+8C40kMbCMGr3Y
08/mYKBxOOHM83Y0at2NyljROphNvXx/e+E/ivb7WA9iC69UQj2Z8m5lOyHOqTLHNFuZ9SakpW1+
7zw1zSLptG53hziq454rTLPTE9Q7sZ6XFq9enOBm68vkNWr1xkbEQQ8zNcV7Oa7NyQ2bJR2SwF3z
Pj/3WgmcqG7H7FO5qaCEYxU3w1ltRJc8YBi6fkJcQ8VFabFsTO7w1zK/yST3mgB2ofy5ynWtw9TF
xCjE6rf9uEzgWvzVbWcsRIfRqR5VVRjN0YTsyg6gW8vkzyOakGXvQsmcVb2tbLcD56UeAqvRCuUR
otf0zWjUrDj3Awiw8+2PcW1NJsPbcNhElHzf5WjUlsxSKnTga7WZwrapFrYdN8MJSz5UDXox0vT4
36wJNn+DmdHS3U0CO8Yx+tyx5mI6MR9Bw3JRcjecLWWeP0DZO9hwW4za7TcsYQiVqkEODZL65a0L
SNwY4xhbtKRcTSoyJmAogk8lk7fbD3blSAHSBunCmB95qH3h7IncwCW7nCPT6lvxSi1Upu2iL1Xl
tMy43/qJWNdXWb9k328vfCWEwTZA2QU+0jYU337YX1F6nbLeVi3cB3RB1RMIO128kx3D0kHZxtIP
wBrX9gx7dIOAgqK70Nsyy7lZWlyfo1auwwNGlj0WjKmizyHCLYZ+so3i6B6+EjgZYSCGB6l5a/Ls
toxbi0Qaol3xTOq86knmtdr5NloxmLKV321FeXIqx5iDypXxQczedsd+92DosKX/APEvuIHL4lRq
T3kacae04A14tlJiIda5ZhYVuWne26VehmAlldVvxrY7eNvXvu2mY+/YZND07na7lxZwSXKucSvI
6p07T2XU59oPVLnKg4Cwl87c4jS5pPen98O0ZZ+d5JrVTBWwvaglTdLfoDNGUxW6IjzDQc+YiPje
WjZPhjNM2FsKrfrW9m11j42U+4wksYFPGkyGH5yC1n5IcdaRUWG69JFub/Yrx5lwBTYPVCXz1j3G
Cxcd6XjlvEamwGheH+RwMnr9SDDT3G7b3XeH/oHE2yakDqRxl7UowF2JxylNOKJ+cReP5dA89i3G
N1DR5zHAhQ5KRJZq2aNj1uvsM2xev9LHrddAzjnmu1h8Vneqk2JL6jid9qtXEWYPBG5k0u9XsKGB
GTO9visa8GTcE1ZVntDswZA287zM+WErvRsHKX19/ZH6sFju3b6dkhBsUz75XVo6sR83cuEjpXlT
+Ii7jsWrcVmyH7MpmndmmiS/9cYuZRhPWqLigO6oQ4Ai7aQFJVKjD2ijOozJFXup7rtm0h8MFfWe
r7e/155Ose0rwLbg1zalh0tBhMJay3Sr6iN7zuv4M1Z6HZ6v+bhwbZheM/03gDH+rKekPG9VszeN
p7YU3nyPRal93w7zihkiX0oEdNaW3w6+luVBRLqypWjxc7Zo2JGl7scLrta4dtFqZmTUKqjxxNI+
iaSY/5EYtr0ICkSGX0hnQwfYCyUi91pNdWOZUapw0YRDLFvzAYF0qLqJxPH+PTMH8e/VDT0VGpIo
w7Dk/uZM1lRPrdk04BmWKL+SQ3jpedKHZP6ywJ49Gr1dCYFI7ICtoSl5BRop+oVJ46oZUWnUdmSg
En/XAafxK10vP+M2OZ1LtTkAYFwJDhu9gq4RsCkwktv//yv6UUc6o6yEyYjbwS4PNWdY25NbTm+7
1iOVRtM3apI1f/RWqIj3t3f3la3jWpDiiPZkzMhfvlx8Kte+NpPCxkSvwD42Scu7PJ2Xf7/ziOqo
ejE23fCR26/46xGnVLfXfKnsKB+syU90pwgzoWUHoe5KqAFQB+mfvibz/H2LPJOWF5tkZ9Fc45Lk
aW0GG1UqJ6NmjHj7tV0MMTkLFIQgIjVMTXh7uyfCNnQpUgVP9G50jFC1S+uV6cr0lCrWeu8sCO4m
Zim/mMNohEJxs3A1RuPgrV5JZDb4CV+OLu5GTH/5Vm0sU5PRzJzIwiX5c5FZ8r3TavG5difr89J7
ydGU+NpTA1jccPjMbgmx2y/66zu6fWE3Hc4qW+pbfYRxgbvvimhE51lNyGBJARUGiS+fZnEuk3QK
4nZ1wtuv/upTow7DjbehJ/fHJYe7NYtCdSKz9MxzbuisktlziFsw6mmGkx3V/9tr3EXSTZ2ZYTEp
I3FgB9PC+qSw4Xg4ERbNmevP0stPbWdWoXQxDXHQWgrS3E3fg4IoQsVV+8BzaP4vVoYQPf3fcBp1
9y613fb59pu49sNogkJrhF+Jit0ubdbqiZa3qlicXdd875Dv+tYwJgfPf+VK5E3/zyq7GwIUOfFP
Te1IzbXk5Inhm+tJ/fM8md9H9HIe+kkaBwf5DwRg/8rBcANNY/yKJOBuZw+OQv7uEnKbrhwUv3GU
oTvX1dy8NZxikyUDDYetcFH3y5uqFz3Wyk2cD096NlTGq1yV41cp6+Ue8n08fk0LxVTemnplopFd
GFnvj8C2OqzdhJIE3TTl72N7sn/3uT7aAc1SpJQrpZifGegozt2cJL0VicbqHTRytelO5DDvQgNb
HAzS20xOYd1lWhxCbrTi9248A1JCUIEmY4JzaBL2k43xcQ9H+Giee/VAAlMk2UUgjim1/vJAOnOC
BG3S2/TF6sU7ZxmZ3F3XOqq41/IYC/a+Q+LARzHDudfsYdGDWE+4nCxHxPZBAn7l+t3mPJtENDr5
mrM7J146aLUUix2tjB1OmZ24pzbTu4DIfQSC3/bcfn9w98LH2ERiGR++fOzcynFFxj0sGpNU/Mqt
afbdsulPZdItT/h0z/coKS0PzPetgxr52pnbIA700rgUmMTuVi7RaoRVY0f9Oq6nytLHwJzTo8HZ
tVfJQJSSkSwL7Otu/9vFuuQp7DpUL+fix5poJTdbZnzOhfh0+w65thI3GwxtqAtb9vjyeeQiC8wX
SiKzF+Nonqf1dxwCjadUgq24vdS1i4TG8R9DB3IadRc8lAr1iAbZlKicHeMhsZT2o12W+quUCvyV
Pk/WN8fuDnKrq49HqUWzhsPBFfjy8TBGMPIs5UU6RjI4J4UkrAxSa2xOqClmB5XC9cUoEtC5JmnV
d4fR7Ly2tJLRitLK2G6GmlRc0bJ7a2jM8Pa7vFyKGhbwO3F4U0c3dttwSVOkREcuZU8v1se2W1QE
mq31Q7OKo8bu5Y7fymUDtjbdXVKN3VKWWedcqroVWVOtBjHCbEFZ9O759gP94bq+PNKwLkArwlAA
hXbRyfNGEQt9yOCJoT3h3c2MMPR31lBP4rGcy6rwa9UbHrd99atSFP0eGeIRPWj6pR97XKA/eiYg
w6Ars1YbN5FKZujGMjsKimZZW4ZxL7UuzGLpPs+OnVS+JvTq94oV64exwU70HNe2SbtyjuOfdoH1
OkYFIvmEsXVdvnIhQLtIGNGI9JGmU7TAHWP7J9QDy7hLuyX/6Vizm/uuUKz/OjEaP7t1rd5kpen+
kN6Arir17IgO2qg3qu+1Tn8nvGZwPmKNTb8rX9d2fN/PRVY9ogO/vFsra8rP8disv1wj78r7uE69
JVwm8EGBurT6x8leDABJLZDfAJhXpZ1p0PVQxgo47X4CgfpnkcdiPNVLJpeQu9R8wqvGRk2zRFP/
QY+V8ruiYffkD44L77+wjeFIiP1KdGIKTwiHMkABR8Pj5elLpaouErWkiCx47fmC8K9+qK0gGtJ2
S13hyzzTc1/YXuHeWfQ4M9rh7pjSrG687iBdulLIcyi3GhJyD+2wfS05ynGqK0A65Evig9ua/Slj
XH9fGPTmuydsEOVp6GITv2OGWKhReaHAViMsOjzEFKbL4UJ/+ePtfa9t72C37zcgGwKvFBKMYncX
8FrWbTej7B6ZxTLkmW+7SvUqrTIQ693qJZ+dFTTL/Vylpur3Y5pmQempq/KAj7AsHsqmnLOzmeLu
dBDotO063v+wTfwZEXhQffRKX348BmEgThEvizZp6zHy0JjOTsUytd7T4qnD91XxEBAZ+9ytg3gY
VBm0jLR0PHl7pXzWSzlDiU5X3QixyCiawM2l/M6gfnnTpNr46/ZrvHJJAfgHfAi+mtRjXwpZztL2
it4ZjM1L9QPSUeocLIa9HLXVvMuXQisejDEgYFazdzFsHBxLugI2qzpV3tdiTNQQhEvzxiBPLX10
FbMyGPSpaE9zXziJ32a4rB9ABC7jKKEF/D/0RhqJoAZffhjF1Vs7L1ouZP7wgU/q+q1a6iPSwKjj
n1plQR8egORBHXDtFRMFmO8Ak0eXbLds2pTcW3K1Im8d9XNmldkDVYN+cEivBDYdUU56WFCcmGjv
XnCM+IGCf64ZMQ9oUR2re+/n4DXJOwiRanb+511DlUEeSWsaSv3+fiKlH+eqK4yobkorWhDvfLfK
LDnogF95cVSODt1eprDAHnaP1CJKl+XOZETklMlDrHqjD+moPZAh2P6W3XEFwwFuD0qKjXDlbsRQ
rdKJDdhDUZXGsffbm3Q7D2EYmLa/9BzAp4rp9cGaV3biJqOB4xuZweVkvFptpFPrdo601ui/TeqG
U+nhSjljnYZN5uSvlrrNDz6asT3J7klNMp9N6OGaIHaP1otIZ2OMxnzquqdSb0HNOZ1gigKwqXvL
61H0yBXocuX2kjDttp3RQnWoFw3KdnxvyJaibcO0LDMtTOa+S97M0OQ/Tem68UuBbDw5RVuhPJ+L
RvtIL7Wn7qccSH0t58L9boha5F8bSqvviDxo9X3OhdED6dJTpGSLPMeNgdQ6eV+4Y4ntX31sJH/t
3bOnQGjS+4Gau5u2OsKDKNtKGWWZsXyIlb7wU7KJFmCL1M8znew2nLV2en/7yFzZZtuQDtw+kzrE
Z7bz+1cHSFStkRd4J0Ya1gtvoXCtgVW7OLFhLPqOy0oehKHtVtl/bBqUTCWpbukhbq/hr/Xofw1k
z0DK01lY76ZK639WtSuCSVjzCcus9SeQmxY1q7462GdXji2FJXcQalTb6d1CwV8rW43eN3HHNHQw
e8c3W13eWYl1xDe+FmZZgVO03Q5I0uzS6xax86ltbPy00yGvH6QVq/29nWl6ZDeTnbBh63zzIXUV
BX3gRqyPVs+e+DBoMdPDcTBi+atLmro8c9GN6ttY73QQQDWmubq6iCM1+ivbjtsSrgj0W2zR9kO2
YpqMDNU9xnmYCzEotpu3S1HEJALSyAc/7eIiqlFW9sLb++7aulzRIAsAP6Mps7vemsxIR3eNl0ip
nea+GCQqK109B+OYa28Ikz1GXl36fHvRK5v9T2Octt819dpxnG2+Dl7nhrs2YZmpedi6o3uah/o5
rkf3oJ97ZcfZOBITK4A3Mp/eHemuylVz7NIl6vvByLlFPWxgzaY4AmrsZZAY5ICMp1FDKuPxz56B
s1otg8HGmyIETxC8nxIj/V7RXkKEjb52jJlJZ0aa0i4joI08/aAqwtTvRrO1Xs2MKpfvt1/zlW+L
gSRTF5coAqNxd8bnuFJMt1BRDJlI8JCdTp13Dfv4TqLQ9Jgraa+ftELU/95l2TJFjsVGqeaN7O6y
Nc/VlHkE3MIxi09xHAu/yJP+fiQtON1+xCt5o8MFRtyiqcO4Zbd9F2+hUE2bHlsjoQVWYmt+26le
oGapPM9GE99psSrPKWfpLNx6/Xh7+WuVGJuKURJ3KQ2KPbQjW0G5p3ojo9WY1jhEjbB0/aqfy7ep
0uCxgFSglZ1bh6hxMtLCpMWaaclnVdj6EYn9SoaHYdaWwcIcBJewu1dnSux8KeDwzPmwhDZoHZRD
lXnowh5y+dG0/coR5gaHy8C5Qkl+HyYpdgFxyR6W11SD3ZNiuKfMGnyvruKwH9TqoHV97elwVsHk
m+V4vt0ZFsgtNoaXyUjCWq+DtjPc9m6uluTr6Ipe/zdVy+0gM5GlPNs8D5Af2a3GaL/pB7uT8MoG
GWCJ6wVYR9bRkGnK2ZkX+TADNn7XFjQQb+8o67Jupdeypc085jag3X1GgC5ZXBdQieD65RzVkVQ9
1KyhROUR1jPzL0gkr9fCnT54mfAgYZvu8rlYXWUKQfNhq1fhLIum6orXQNjFjWoQ5eJJDeUkezyN
1nZO/cWbOi10V9pBp34qqizok81iycWZWvURGEstLLdi7XfpGSDNxzhZHB9vR+eDhnFT4a99Ob+O
B836naNNIs7WzMggwmdI+1gncWn6Y1cNQD764YM3OZ16RvDJzoJYWorBx1ukexqdyRsD2go5sF6t
n0ILfmJk6yKeftfCHuII+p50AhvjiyrsOpnEgWaniNT6Vjn0epC0wrYOttllWsRRBtVJrwx12osw
jLATlD9VW6IUOW3zQ5x5mfd7XfpB3OW5Da5ElB2sk4z7FmFHAw2jg+9//QeQF9G2ULULsF+bCInR
iEI8tk2ZvV97UDbY0/TtU0I2d8fAKHsNzKN/s8At/XJ7712e6U0tj3kH+QeX2p/L7q/MLO0ZtK25
sUYJ/ZxAdfI0VM3Z8ScLB9xlIi26vd7lmSbhIAnkVVPuIBf5MhMscke0qOrBODD76pSWuXWyOvU/
OQ5TcHuly0j4cqXt0P31ZLOuV6nVQCqT9ZSf5OwN2COM7bkiJp51IUo28NLe3V70Mu1gUU6xi3b8
FRkKmS0w0wWPhz8iiXVquA/jnB/5FzIf5se/TOVZx/vTsObWurj4q3KZJP2TbWSeVdOzMU5u+s1r
69z4jrku+AbVFPp0B+/M0X2ZduWCx22c1WFXxIl1whjWa7H7hdESzcDYMr+xF7mGCo54+V1dl6vl
G5psWr8QWEIE69A02WPmFXTEEztvBn8oQdmGXDRDG/WNWYxvyS1WPWBSNf5qzBiOrEhbqcMVilfF
twpNq/w2nx0U00TP3ar1mrQCrYir/C4x1mWET7MYw1tFOGShwLvF/BFAkPIJUcAGseQiGZJHa0SU
3vfiKfkd207uhGbj9NjFDCljR9MWvb9OuMth6Vil2R1N/+Y14+y0OG3dpfWsF6n9xmRQgiakIauf
NUni2cSx650LDP5tx49/1CdPEyFSi6rtx93U9eGKM5QZKkOWta+gNlt0nbMyfdak5uaB0ONu5vGk
/nqS2pp9QRk9SX3a4pI2e7w4HuGx7Jpvbja43Q9Z1DRFx7HwxKOVIE3yelWV7FmilRSHbdtP9dkS
pneHL4Yhf3rGmH4ohrLM72y7n6d7N5nX+q1ac2R+VvQEOp5XaZJAF3YPpkuu+oe5682J+33IilMz
N0P9NmshqQXqbLnpd72nPfrQux2hBeemwgi0stMT37Oq0buvTTVOIw7v2gXrrAv45I10z3beacvD
2NIwDCoBGe8NtiL2BEIaO4HQdZIh/mo3mf0gpW42IZ1xevsG7d4vitX1I/1wLZ8/Fmuje6ELD8Z4
E6eZ2ZzgP5R54Cx16j5PCVDCV2sLnvDZNpS2/p7kuaL5utPJe6PT2Ypeq+J5bGZ6nLxSZJxM/jwP
ZFcr82rzsVtTM7tPyrqjnurBlPs4KShaSBJup77FWKA/L7NG1CvcjgGAmllG8xn5Tmf63FtKj3Jz
q+vfk9YQ/WONdxfbshdmG8zcv1ittMowB7OzpXOeNOo3uBlxTaJg5qhn4dRqfa7tYXw3l8B9Qz5E
1YWSXnzac7Q0ZDRlF2Pyl8kVN8u6LFFTaSz925in6CN2a0bzxCzk8i43Y7Pw3UT1fnhrHhv80Z6f
6jJfkP6DzDgEOeiKH3Hc2fSG8jJrHivXm395vZMSo6aGz06jajYeG+FYSuRISAt+kaUiPa/IaG6m
sQ6+MlQQRQ8/UtGLoB9dqQVG4Ro/OgsQxImxD+N9JGw8NcDTry/DRO/UNKxmJS2RWhzwVHFJWSo/
RbfvuZ7r4dG2hMFE3I2Ld6olbevkZqDWH2D4jMtD42koIzurE0fcwfn0hkoifcqQXqrvismWXVAu
FQfLEQuTxVksZfJK1eRk3BeFOn3A70r8hAYvJ98s5k4PVgthunCaxqTxkbvNrDC2uyEP4r4prDtP
FevT0rntI2+Nl874mjlWy/wJu1VXrbTTmnldG4JEsYfnWZWd8wvix2Cf3H4wSTXmJe6oKXRi72JV
eZD14EEgdBGyfmHUaWs/Z10dn+dUVm+1Qtc+WRBmkjtsU9NomvtSC/Gva43Hdmi77o6/wohGl8rL
rzuLec0I+PMgeb0yj9nkc0get/oawfldtHPzxkqzInWjGFXWlmxOuOin6uZ3s13sDzlSXt8ayyqe
usbontI0cc99otuT72Ai+C0Zqzk+TTJxHYZJpnZQk17JMRABRWoA+j/mFPs5v2KnujsPCqT1OG4D
tn1znj1vfqzUbnlUx8r698iPviQHj+43aGl9+z1/RX6ZyEqVDe8ioy581zmzmH2iWHEfs5fF5t7u
fVzqeHj+59gPcFSjILXoJV7M5Ne6XxWQebg6IE8RUqSOr2KGdufbq1xWv5u/ByB0thwAkf3oYACm
LL1YcyIFH/jCpyiM5wCJeuN1hcfqc9eK6tG0mvFVC6Xz/dqt7c/bP+BKBuexCA0PROMoWnZv19bV
TJcdb3fVbRliDTz5TQJZY1amI1mR7a/aZTkstWFTmJlfIg5UyKnqPOg8K80xP1YdQUlGUFCL3kMS
bzmya7v6aDQvaB4iRXAhIqZnfV+RnjuRpovvZmIjzlh49vsiXtX72y/xSp6IpiZTDMx/t37sVhL8
tUWZj+s51wnAu0RQHBWT9toap+X97VUuU+A/qpYIljBugSqxuxTixdbbUZvdyOoV9THLEuVsoizL
S5TNPROBOph0ds/tRS9fIsTxDS2/USQ2ksbLR7NXt0TinIaeXgrLr9q1PVF5W8DTR+30v1mKmS07
hBne/izIrGljdepocy2pONfJbPjCtJa7MouPPIMvPxgtJ3BKzEQ52xeoW7NvUkFi50atAGq/IdGf
yHrbg2v8csOzCqMAhGpA6tFlefnu1gJkTTaZTsRNHqsnEJtJ4RuJ5Ty6tVLit9CmWun/+0vcrBXo
ltKNJoq8XFPNek5DkXkRbklbTsUp0AICsRLYsp0Oau295RVdlk1Ga+t3bzuEQdfL1UrHqRHUcu1o
at1ECbwhtl4zIbXMgKmA93FI9ew3tDwLi00A242/ESe6oO+mCi+8CoSgTyPfac5j1iv1nR2PkxaO
TZLl59Ed8Blu2qpzw8Szm+4tJjf6QCq/JNWHRIFG8YRyLhIpcPzs7gSOw5D3C8o0UwAwwI3GtcNL
tMly4ycYkkE/uDcvdxAdBhSvOOzIjV9EwbYe1wUtKieSbZXdi85IHlfkc8PbX/NKeEDacaNGIVaA
N9Pu/Xq4BTaewhVWN1P9fli6/Gs7enXjG7rUDL8fHPFQlQKJbL1r67vULdvP//oLgKXbGtKoYDFo
vu/iQ99jLm9MuRUNczmTdplxIvBzLzKgzRNw9XCeDffdjCvP4C9IucUhQ935yCH6jyDDy9iBfj0n
iXE0vfALyIXap1kXo+8XGZNT6SG4E7v6MOVNNzy6FS3SAFy1VwYFJdLHsYZvcoeUSEn10jip/CpU
r51Cqcx1dQ+1rYxPKobp7WObTY5xWpTJ7s9a6bZHBOnLTcLOYPBMH3KbA+9fXrE6SsPWNWlaaOsp
zbQymBPtyCboyhW9nSnkn+h7cex318ykDLbXpZ4VVXgwBjJnSOCjCUzR1xb6kYLRtuN2H8JArY9b
k7bxxil4eeKzJjFlosKKUKiJg8Gbly/jOjmZ7wJwfWuSpLbBgNz5q9SQhwIXV94nmuYOgxmVbgmv
9OXihjomRm4Dsm8d2nbJYueBXKyj4HCFxgywE/E0mLNIPwBtf7kM6ii907WDG3n0LJ9g5vF4S1P2
73pdQZ2OumRRaKypUm+p0jmaUF9yqoK8UowJyr+aaD6IsvU7dC5QbXReE85qnWm1j9SCLP3OXauU
2XenFic3z7qHRoLrDkrAbE8ts3RQyPnQfbVHMo4EQp47jAgg6616gpbn/XQ1ie5W5bTGa6+kyqf8
05U6QMmnMU7GWnm5PzeT9883HrIbTGOxtiJNhPX/8q2UYxnzHzM3coe+OGE1ZtwbwHD+PX6hL8sM
hFuH7qm+S3JqT43tZKa6SGHoB7N0cmyJKu9N1i5H0evaboLOhLyY+kfpY9e8HPWCKKqTBGh6r4b0
wK1QkKxHty/Qa6fz71V2D0RDL0MdOee16ekKaqcpz8kcjx8zjAcOlrqSIJKFIrCxYbDJPHZfKJ7S
oskT4UaDqk2vQc3FpU8E6YCfpcUrr2VYD2n+yDrmSpYDfYnjuOHbN/Xjl/siXqWuYl5lw9qU2dnC
5PKsToYIGCjMp0602tvbL/TaZ2Osg+EF1QT4gN1Tlmo3j+Y0OVHOu3y99vMSAD5zD1Kba+9yG8Fx
s5K6sY9fPpVXgBhKR6TZ6EB6X2vZJ56P7FlgzKv+0PSTEqXAWY8Una9sls0FeePZkZReBAyXFh9S
4aYdFfM0n9NGwdNvSTJf98Q/Cq2Tum3CNgziKHLhnu2rCW53cHqV6qE7JSpqztzSfyqGMr9mylM8
waUsD8B5VyatgOQQAwa0T+Rg6Pvylc5Jy0tEgzyi+5s8obTl/AIoaXymP+V9nME/htVm7InSgxfm
emm/a7M6ns+3d89lRgX4BxsCND9sQBP7+EWmU6MNVycPtU1rPSwxNnpc0SxHsQS1gmdBWucF9Fty
EXh6lZCkY5F1pDl/5chsOjib4SZBDCrDyzeBIQKkahDYkdRUzO48FZdaUKDK8rtaY65UYYv64Pb+
f5ydZ6/Vxt72P5El9/LWXp0NGzYQOLyxIIB797h9+vtnHukRy7aWtZNEJ5ESnVkznvIvV5n36+Ld
pmSjogAGoAABsMV+1g2kRMPBka62M0XXAfzG+6IPQIlEY32JQuzXciec3I6M4vx4xTfOKwz3GZUJ
90VbffY+yIzSmSheGlZrve/NvHOd3El3zuufy205QYsQiBM7K1ItH+0YFmkwOZV09Y1BVi6mhDZV
p2Sy5SY9GAMXLLf8S5as5H0MQ7p1qRpHz7IeT99VZTKmT1mYxL5rEhyGZE3GNLwrEOTO8F11EJkt
lcpUPEfqWtWVAylSTqjeW75XKxjEebkIHAqdGWb3xw4m61MDsRLlEpEqPeymVGr5pKPde90Y9clT
l9JncDtA68alDALlEzQGp78ooKvpbQSd9tL0jf8FxZ7opa3zVD0kkVE0R1opYXseIcF+mFDCAiPe
9wrvI7k7MPWx0ke3T/xGcfGXGj6aCUx+L0GMbzgMo1CenUEybcTHsvSly8PMPPjCzD91RGt4eNkl
kUbrSybtjwhYqVcPWQ0cs2qt5pB1Tpl5rSQK020DJWiJT6TohWemA9qP+IpwQzFU9HKKIf9gFJgh
HZQBKTeEfdJBfY9pWZEDGdfy2d/aHm85yejvzGjV3yIA4F2OrPGxD0T2DXnKxHEHytmNJ9O4/gHR
WPtUZ1H2g5am/z9RB/W/dhqp4y0W8fQZYpWSH2ymWiPCIewneLSwuGJLSk9YkZJ5+tSHdBfpMIj0
KTRF/XMmWWa48/Zu3Nxz9A0Ai8bzzAG/P9KjsBtNEUKCaB59GQcVr8C4VuyjrufRzgO4NRSK0shl
EIcTJS0iiqpwen4GgQomwcMHhFiK93mG/WoUWMHx1Wd3hjSqFH8gB6zeWhp8sa/aRBQtHZNLItrx
3Rh32k6NaeM6tGcqBKY7M+JoGdabRSnyorfsq94p0lc+YIWdliNH0FQ0m5SpwDHy8PqJgUMB+QOq
SiZ4WXyuuAliGnyUCUYEOCSr696mKsTVx6NsfSliP9aN8uBc1bofxQ57pYrAi1/7RpkOSZcNB130
/wInS3a238YlO+OXIEr+IeRq87P3VwVSN6XUNEPmY8XQqjQpSg9m6e/1w7fn8/9H0RfzkWCB5mkO
EI1iZ+ol6GCcaRxFXgsB9vJ46bYmxHtF2X+WvUHj4H5CIq/spAsd6liKMI4N5a6fjWTFP149Cu8v
75IxM9NWVRxRWHYq1aFzDZouO2qiGE9KUeSvP0UQCGUeJTB1hJSLZYvRfsj8JHDwB4hshQyt951L
Ftd9u7NoG9+HjIlS1yxeOmtR3C9aK09+ljWzE3UpxKekjwEKqBo6anTRq8B9vHZbg+Gki8Yvni9g
TxdfSPU7yi8tiQ1kDP8AxR4ULiaYrq8r8c4FsRG8OECBNYdWDBHkMlYNzJzIRaUXk1L+kLxGyemP
+4kda+5YSGULIKCzf+RhOfKImtOHxxPduJ7QSubTkeLM3hmLiYYaWlbZRN197IfMlUbJLgFZlzoU
23L8hKpJsPMZt6bLaYaDS0uIPxcD4tOoKTHgjCtqEMm/4H5jAjZ8kQ+0+9J3UgoGE0aG/K7papTy
Hk9266tCk6BBiuQUFf/l2OiURWLOroD3TrfW7AxCHaO23gL/0NWd+3HjkEPvwgd+ruihrrUYrOEC
8SersEDl4SFea072zs7UdGeU9ZSQpKBrQgNjrtQul7PTxGSNTePj8ISIOMiGxhVNWDwP1q4TyAZn
DeAhSmTYwVt4si/HAmCq0KUO/WteUeg5kKWP4WEuG+EqNWn2Z1KKuvcwZjf7Q9NmzeAVmQ9tXy/1
PFBdXSc+PFpDY+7BbNd7av5hlKrhYsBZWyqAyGgNmU0ezfHJFAQn6p7JD6RG9VPR+EqJ4F7T6p46
BnXkpkVlJMfH22pz+BlIRWeCy3Z5hga7wHpDVvxrJISReSHtvg6hI9CfrhQ0xZuul7Uv4CLT6Nj2
aJztXCDzRrpPDuhUgN5AghFpjpVEeFGHfY7rho9EOKwfXXKcQy6X3TH3He0lC5K9Vt1GrsuDQl6N
yfRMUl+mW3VdVXRWC/8qa2XkdXoLnRSpA/M8Ci33hNLKR0OJ8QMp7f59HDbtSeh9+fJ40bc2PgkX
CBIKprjizcfvr6AAz4WuaZxauoZDr3mjM8CcTdv8qOaWsXPG1id5fkApmXJnzDz2xctjJY0ZFH0h
XdUBswo9Jp+21Ez7D7uIHjWKabOF+6onb02tKPPcnlc1Hk+yklZngF/xcUjQkBKYqBzSpNcOkYWc
4+Ol3NpA9HcprYElJlZdLGUoIOb5k+5fUQA2vcrU9LeBqHLPlqX8WaIDsfe6buhm4+tKa40bAwzi
qtub6I2OPV7rXCfgIXPeliXqN7TCgurF6CYzO+WZyL9Ybat9brpcTz3LTCzLy307KtwQnenfHdS9
D1rRUN15vBhbtxx4SEDVs6gFSO75tP+1sYzEnlK5LoFkpEaSnbo+ST7KZqwi24pO35d+lJXyBHc8
/yZLTqC7iOTnH7TIUutDL6x48iqpVJKdLbiu7ABBJRzh1BlznWnxo5pklkKpLesaR/LLKLKnAkHy
c+Q0xm0MlPRIePBT2Op0CNIq/fp4RdbVQtaBP8hhUItYybmbuRpqZka1MFDMtyJPDklYewCR0ndp
EQJ7Q3fz8njEjbMNOghTWZ5Nm26Idv8JgqBLJK2qnKvjhwDAHbk7hqki/yyV8fXoBiq7BJU8Z+gb
84LcDyXKEb4X/dtrZGWqp0m1OED5anc+3+aEYJrM/U5Et5aBRxJpBKmUYK7A9IIjsP6MDAOq4cep
10g2Xr96BjR3/m/oFBKW308JASpV9wdS6MAEVAj2ND+gh2O4purv5YDztls8PYCxubB492hgLsvV
cgFr3ZaEc80MQ0SXtoNC5voDJhku9lND4clmBBJd7ezgo1wn0t5h3bi5GJ8wi5yAvy0BPtQ+bEIs
7hHZlqaDDTHgOGltdSisLvUgre0pfc9Lt5wvXxGpQhq20FkWMR38U1UZ52ReNEb/lmRIR18/2ut5
bs2KYgskLQJyHrjFezN2En0AEpNrgK9rdDMCpfiYRRrXsFxavjiiNPR6rDu3sE0zF0mCDWRFn7R2
owZkcVav/VLlpn4qs8l/SyUu3aN2bp0FlGZlRmNuq7MwSplwevbodSjlHqFXlI9rapKejMzxTnV2
Yyi6g+h3AzKYFUIXn0ueQMBoo6ldQwsU/XHq6XxQMjOk32XYJNnx8bnbejkozUKzmi8upDUWwyWV
MvUTskVXkJ3V7z7TUAIDdywnbpySI5/HqSiGF63uJ3T3gxp1mM6BPX1IErWmCtvAZj0OcimnO+/7
xq7FB5Y8loPCMVnecaifVEkWQOFPdan+MsnBl8HIpZfHs98YxJnTOtI3lKlWnTI59DWl9NH6U0o1
8BQqhVdpBN3/eJT10ZgLWkA1ZrNZ/lq+g36lCH0GLgq7KD9IpnBG3LsiEwjOFH+PxkDfuUzXNxwD
zmqqFFIMtC8WZzFB5tJqFMT24PH5H1pTz05D5JQfC3Aj7jSG3Ve4RrnnxEazU/TfnOr84FPDA5q9
vMYbxW+1WO4sQO7DeAY1VtJM0kxPhXBLJ1J7vSoCOu7YrSLzxEtIm/r+2RgTx6TDXwHL9bvhXAy+
cqm73nr10w6kai5GqUgTEwMu31sVlU1qRNYV8jI8L1kLnvJ6+uGoXfH69UOylELRvOvpuC+eQd0S
XaL2IDLRz1bfqcIBFt02KNDWknKa5MjYqVKuwyQ6jRBpEM2jY4z27v361VYXhybMKyAEyKDHZlQf
B5QmvE7yh5sU66OHak+3cx7WNxxpGHm/yWvEM7zs+AHMcNSpKemp1o55iAqMQthQ5XHWgv/8+Oit
DzioReALc4fNIU9ZVGEB+wjGH/zLYEbhh67p66tdKv2ewdbGjBiGJxa5NRZxyQoetRaBS7h9l8LW
pdKTFKU4QEkcxEFWk70WwOZg1L2A0M4nfKmWjFgyrtJZ5l9G2UzPjShxZjIr/xIq1R7S+0/f8y52
QLOStj4xCcVyY0VfU7A9szOzDm/SaIPLDJHnsI6ySBBCqke9/XfMyn44FGiwm65cp2gRCaPNv+eT
E+fHwDJytPyHofqSG0X2q88pOp3EJMaCSkNa/AgZF65Y1Ve+pxvCSr14qsA7D5otWc9awDdT3SDA
udZNp1i3EDqKROoVeYG8bqYijXaYRBL4Bx7T8YtW+dWvfkxiUI0AuwTyUQA6uNlHRI1nRqunocbF
v5zyPj/mwmo7r+z96tmQJkpc2RTgE99MWvaF/wCFrKnOu99THNQXcEWGcghzRxFg7EQK4UOekpdh
sqHBvHLDzgs+2+nQmaXSuMyZYCBmuY8X0s0fmuBAqye/5ioAh8ejrLYQIFtOIGeQjAsk4eKakUMJ
iYJ2kK4NmLDPulxqh3RSxLvQ501/PNTqBP4Z6o9aBCOt4Mp2iAyEYYDOsOomOmpdrb6Z8mwPRLA5
Cu8A9STK+is04pQKYaLvQTGtT50zEpLSMYe/tjOX1euGXAvyJbPIJ0SLVdW7nJw67mzDv9JcVI++
1aaeIqnRV98R8U2vh2jP5WDjO1HlRjR3Br7xoC8eHlphjTnhVnzrklmvtpGtsw8Wzw3Dbi8rWr0E
XCQkysSCcEm0VT2l08s+Hcw6u9GHDuKDoYrm0Ckt3vR2BA3qYOgJjL92sj4+3h+rWIVxHTjvyDlr
1AKXnQTZKLSyTGFtTai5HyGiIcepyemz1tFRyJW4OXWVkJ/zNOt3wOCrxaXJSO2RFJAre13rHrJM
os1lpLe85Q4zgpC6cDeloAbCdufFW1cfGYuDTQOIyjook8WHbExK0AWyEHDT4Ly5VkQ5uVSV4RTn
phm4VMmrkzAL66aiF4iA5lAJ803laOLLq1cbY6AZL0oW46xywVIyoiBVpeTm+KJ+G0pJ45kJnHYz
8X8latR8ks1wBEEM8/HxwKsDygIgy0h5hHLCuvKJLow2lqadsL2w08QZWX/blrhcPR5l65NCg6Jx
CGkXGaN5k/9VBsspJMUyzoQ3NRmaT4os+pMajP6Tbgx7ghybE/prqEVQb0hlZw2+ltzaoTQPjgKP
HcV/f+fG2Tgds1DczOgmI0TE5n5C6J6EZdPm6S3p++w74TQyj2Ztn0twxFd9ZuEChzLgQlamyD8/
XszVbccn+3vs+d//tZiqNnY17KfkpidZftRyB90AGinE8rLiRqztzhZZS73MAxIVct2hFM5+uR+w
qLBrgXWQ3OxRYD6lqkF6jelnfsEtLCkoVGK+4jZtWB/k0QeD15IZPxlBMb2FeJHtARK29hL7EKIZ
EErkfBa/JtYnvj6shls9ilJ1rcGO3nJL16Wra7349Pq1xoxq5kXhDc4rcz/1FEcXzRmmBJJ2+S3X
ouAUxn4Pcr+ODqkyFKfHw23ODa+NP2JBJIOLzeuEVhVP0pjcFNLCW6jrjYftknQIA9PY0V3b2sHI
9oDYVMCarapdalj5fah1yU2rtdJxA6qjH3qpmC5yKADe91aAOVQdmf5wQD8hef0enkNkJPq4Ftag
BWqN42CUUXKTo8k8Ub38hSRpcIQiKT7EVrxXtNhYV1gZs9zYnC+u2iFKr9ljqtfprau79r1jCP13
FfTV/8qOSvjOcdkcC5kxLlSqX6smqm1MSSjMMr215NpPuW8aVwXI31UY46tNnyEHzpZ9eNIiR7rq
Cuc+iiKUN7i8ceN5N0n9dDKDDMS0VKnnxztz41qdi9qzwiE33rp0kfemDIU/uaWDEb8fjMi+BCM4
scejbKwd5VdWjhoskmnLGpsCrN9EJiO+NaIK/zc2beW1KWagnWi0nQmpGwcA5AfPLc4sAFyXR1uK
Kuhy5EO3nrKvhLZBadXHoucqOQ1Z2oGpQggYCzKBPLpLI9D84ZMnYTFTa/K3dhJ9ckDUdEyOFLPR
D4bzE3lh25t4I0ld47h1GvDPrYHBmpv1MMcxrLTjIyHqSGVOBR3mOaEDPUIbQzZ8UGTaryqs+/gE
SqRBBq21/WLn2dpaX1J7bA+AqCmgF+6vs64O4aFkeXxD+LlCJiEdj04+2c9h079//CW3VhcWFpwe
FE+gji5uMskGXon1CAXnBqcxi+zgbA9mcm4zo/Dg72eehv+KKze6f3w88jyHu9QYGuuMVCNHBZq9
qtOSPtZ+phYE/l2MMgDtUfQ3kv4cw492s1zudma6cTKA3EBJ1HmR1t20IPTHUCqk8CZM2jFF4U9f
J2twdsLxrS9HPE5Pl6LQGhmVUXKeEM+Nbv7USde4U/sXqa/FWaOK/x+GMtkcf8DnNAqXn043JCMI
5OjWg6s9VFFQn2IkgkAHd3slkznuW36rOc8g4MfXa8UulUZBB1T1o1uqx1J/NlsNY2OJHqTnFH50
QiYz+9AZNUofj/fI1mrOMmpQyQngVk34qlesKYhtxg3j7IDi2vC/zB/eCd+qXv7DSLw6c+MRRdpV
7ARoLqoNI7pZEsBdmKa6B3dX90al2Auytzb+vAVnwwuA+8vD3fbCBgo4RrdwHJGOR9rle4oWrmc4
wfhkVSifPJ6aqm18PaqvBEaQBNgui9skb5F8yVMnuVkoaX7Vxlz9UllJ8kEujeyLUWYhXIUKOeoI
YdUOxx5f/V1I8fTRnsJc9mQcOkaPeCctD1ZX5dfBKQQF+CZMb33QZgA9Yqv73lHpKg+tUw2mmwwG
Muy1WhiYgeV6u7MrVn1xbg6YgdDTOdC6/oft9ldgzVtBy9Ef4lsu7O7GMch+luS9PworrrFomHQb
36Eajz9Ys/ZnrUfzfOdR2rpL0O1FKZTuwPy439/PjWEP8Oms+DZNRvFFMwPFK5Jgz4J369QBtwFp
+ceTbFnMVv2k7UAmxDepHnNXjSM4oFH2GWmK6uJgS+nBplUvjzfL1okDHQ0kEfYT0dEikJ5oSTTI
syS3zpJ+xE6lvC2TOLyoaSt2NKa3jgGVemq+NHPnhvL9Gk4BBQoCruQmITH0zZaQ9aAtjvNknE/F
Uw8bcGdq8324vMRALVOuIGCfa1D3A4ZOByFmlrK2wrp85kiMnhNJ7QG5RJ0ma9/+ozXSeExT9u7j
RV1/yNmXl/L5DNYjQ1mM3GgNSKKCm7p1emAbStm7hWYPR7vya28QYnY5NsKdGuV6ugxKHj+XQtH+
XDYAp4oIBkkFdo/f5hdV0n+glqZ76RSonhSmxnPjF8ZBdbpipy60Bvr8AVvOMHEi0Fk18H6h7dHQ
6giBp1meKfkqdXpquMgtTxOcES060kgJzkFcJxGUE0fquXcM5x+/aYp3VT72KvwSuVC9BlLJ3tW7
7tbOPw2BSBYGMNuqvxZUtMBICslnkEP9x6qGPHCNJo18Oihd/ksx88JwE02Kn5uxzX/QQCUg0ltV
+1+iQ5B3oUCB4ni8O+bluN+X/CYbgBXVHaKh5UFQkCeSUkEwLWcCLaku1k9mHbxaRoGZE2XN2jtb
iGMrj4UEjzymcpUZt05KEFYusTVTXaE7mFQ/ntPW5iOFm5tHM0RxidtGgCmyhcQVnYSR9CZLZ1Ey
OR2OJJPyOZO18QRNRn+j22GxE1auLzDmSTJF3Rfb8rXGMqa2osED9Nb3unxBCN0/1BXPmKTkxX+Y
JHVAEmNwIZSYFzdYpTUQr7I51gvC7BrWhRGBVnMk/QAGPx/ccfTtfyo0n97EkwYB6fESr+9PGo+E
KzNpZs4eF6MHYC8RKUujW6WNjYdDXfLBCqzQnYo+PiPfEu68eX/kt5f7VEc1YT7SG7JFqBKNESoR
4a3ptPhtpLZ94XVFmbdun0NnOrQ8TjUft84bbyrssnRT3wq+W4nT2EfLFkNxjZNmrF/kIBfaE+Bh
RDvDPurf4RjS2l+6qJfaIzWzOHs7WWrBrSj8DEuJOjOkS20mg39u0c/D6Mofldmwgx79aaicRjtm
HZpaN0334WNRqhCaO7Vd9bY3uxhi3IT6lsur57/Jkq4IvcKezC8mPwtwTYj2O6pdhf4W3+0QPTF9
ggQbRG3xklpRbB76QdKKo1NUWXSsp3RyXCutqZkFvIudOyAtaJxRb0JbsAOFLjHpqCi8smxqyIdi
xOkXy77uhyFRsjv0xmCNZ6nuUg55hA2Jl6PKVHiq0cJN4/3J+8MEcjlxo6FLTJRRjU6FheCb9kkV
Eci7tJSzgfMb6iUN5mwQJ9FOdXUhjtM+Z3kpY42eyH55qIZOfi/XPY6dwje78DC1vaLthM0bm5C0
AHzsXAZAymp++f4KxYZyVn4teVOTsnLcTG4zb6x6/V3M7/6JEEr36fGm33hJUXUCTsOtAiJkyQrK
lGJqpSqKsUQRquTpzhOC/2GK9lKg/exwP37JOrvceUm3rhTMxyDBza1pgPf3kxSt7fA8V+FtjAP8
H5GNxSKmEOeqfz1mkFvaAIaK0D985nVuAC2lisw0vAX4F5+4pWsvSAz/TVPIOyu58eUwRyAJAW0y
vwyLR9qYRguvvy66yU5paK6ozfiFTMs8t4Pd/jAqWdq5r7aeOerhNOHwmFq3cLA/wpKnqqLbmGFz
7kp+UKVHrIlwx368R7ZmNit5gNkDC8IE7z+XbAqTXoke3fBbqr3e16uDUKrWpewIhrsb9/CIW9uD
/hvQForcxBaL7TH4uhoONpg9TZ7KM47BQBGTrnkR9W4evjkUEh6kjtbcDF4IPGBREXVyHsY3Uxbd
GwzwoptSas1xHM1Xu46xE8kCSHIAHdI4mX/KXyc7HxUsq+OBVcxz/Sg1ie4iBFwfQz3ZCxa2ZjVX
umAxYGtMl+Z+qNY0B1yVk3lnDKbtSf0QX9C69H2SzEzb2R0bNwgMBo3MDUrrLBdwP1ikK2OaAe2+
JRryqNrk2MLNEM9E+tIuz+0o0nfUMfYIoeuUlZ7h/4PmoosLYfp+1DItMsoJxEPZoEc/aEtVx0RX
KuDlxjBlR7oXyGzCTULWcq7Ffw7A1+4Gv/M6Lh5woJewUTH2mS9s7f5HWHLNu8P7eQPxbVGSyivp
neT0GKRhkZI+WS3SaC8BWL/aHTsAozTns/JzJssZ8UVU9HveBBsHVQUYQ2oyF3hpYt//nkHByMiM
iuhmDxgwU/2Y3DouVNcI6+Rotv50enwxbDTIZtMtPHzZZNRe5MUCIJkE9MEiZArVGNlh+CN4dk+4
vaFFekiMKrmYVlGe9GAKjhi1xRSbhX+b7GnPvXjjLgRaT/ETNUZCuOUPUTpDjjKbZzNOU3GxfCP6
4GS6/1/mO0sH4K/ExQuc8H6Ba9qdjeGkyS222+4k25lz0qtQ90p7Mt6gqppfLXiVXkse5NVGRe2n
UdRZs7g+P175jRMO5eOP2x90AlLh+x+S+npRWL0R34ZxCA4WmFIXRtbkIVazV+3a/MgmCDjkVKDV
rG6TrIl8ZLu16IZjvda5ctHYxqGX1fonMWL53BV2/LnAC+JihONT76sdqV6uAtJvmuvjWW9cNVxo
FtPmrrb53/tZQ5knOJlKZo2+4YUQLO3e0N0S700RiTPJeP0PVYdh7+beGBZioDHXyMCDUIe+HzZo
0RIvqKhelXwwfbfAqhaVFywQTzVciNxDCyrHX660ESR49YRBXdMtnGtja15FaeFO27WJc9WN1jqp
MJuuTm8NZ0mPijdx42unEongnUE3zhKSLxDCZk7AuhqoTVFrhTmDRkoRnMDIpEezo8bxeGobO9hG
5BOsM+HZuhLtJ7VNnxBiZ6xYiLBVcXCode3U9LK/E21uzAdpAsrQM0dKX1Wi8UgIzQyE3rUEdeEO
Wq2+b4N4D8G2gaiBfMxsyEmo9K0y9AaiU9uqAcpjYzv0Xt9W0kuMsRURUx9EkjuJ0tTfymVcRydA
3lWJ+HFTBE8VhZ34+OrF5dNxQwFFnikCi6KjNJq+hSUKoD2SxVORFebnPkGSM7SmfqfquDFvuLPE
Gty+FDhXluJEvWme4x92NXNresodfxp55xTlR6NmU+XFilO1x7Kc/I8Rep2Jl8dN9+y0tfbz8Zy3
fwjR4iylsNHXRGc6RKmknHV7Cv+AIkTk1TXQBZdCmY9cUKOcMDEbPRVlkEMGCcVVkZD/9fhXrLc1
q4H4KtVewuVVKX2sCqMsu1JCYKuER8bvcQeuFa8y4LQ+Hmpzwmw0bghe4DX/D2SmHnZYAV8T6jfc
SEEF2z0qNB8FdtATl9Bo8d0qQgTnsfXoUMHDYbe+VbWtloed37IOhWahT0IZ7md6/8uQk+GcpDWM
gN5ZA2oV4S3zYxxK6bssKLt/Y+CdF1pP+suY1uMVUYVsOiYSxHg0zsOg21mZdXB4/2PU+wu7VGSS
52kMbmou5y8hQOLE7ZXReqrisvcQB7ePaO2krmMH78smH3cunM0PQzV0lkDUoNUu48KqKTXRjWF4
i0nRDtQPk9bL6177MfgjoV+alM67sSv8UwAf+QW/e+fGWkivFpWYFbyAacqzkK2+is5inc0YmCK4
JYbVXjLDROJ1SnG72blt1mHnzOxFjBzcIq2V5bcvWssJpR6IcKMPuDZbMbhMoxAnRNvxcaBe+eHx
Zts6Y5CWeZFpePMqL2L/EEG2SXcGbreslA7NUOLaPnWIiyboKr1+qJk7Anhmti5dRhy53QW53XOn
xIYUuQFNvUNgT8W3JpcRQ/oPY4HJBCmocYHo2v2utWIjz/I8CW4tbG8cJgBFGg3KTPJo7LXbtlYQ
jW0SKDJSmijzk/l3LpoAIBhCU7p2qRx+CDE5+JyZffcOnwLn6+NZrV9fOqRImf3B66BxugiZG18C
3g6v/VbpXX/USx9vpSTNdiJze2sYymVUlbDcnfUa72ekZYFR+P2IgkMkhuhkRbrcvh3DUQnet4Yi
vkR1kipeZk10n7uyar9HAY2BcxdgR+KFhVMYHg/EiAaD48SfsnFo4lPQUSt2q3aUfw41Tycu4Tgg
eYWFo7VnArbWzzWRxXRAEY7KZYNe9G88KQDk8RaheRNq0RB7RZ3igdI2EhJfk2VEoYfcnv07rzuf
1MAwhveYxw2+S4UoHZ4rv2A7y/aQt16PvBw5Y1xb1iWw5Ur3ujA0c55UXDiFTgZ8xBbBrA8g5wfn
SM6fdK49zBKhsjrZn2NcOLKnsXHaK43/tjqOemxkhyZR9Etq5XhrVlYZxpcpMbVvZqrDMfXRKfOP
ydBl09lKe6k5Km0hyudSLlP7iXB/vATBkCeupAO80qQCTPSIvOw/tQ057xpqdf2T9NYJj5JcJm/V
qq16NMiyekS4Pm7FsZUlDB98PxKoA2dBVbiN3AQfSZgy5L+CSK1drGr6yM1zBTVouampm0WSXnyn
9o9/8+PNuXEOQAPNTVMZihiI7/td40e0g9UQTYJY79M3vOuzSloA5GOi2hzunO91C4dcGLiMxVON
W7Uz/5i/Dp1f14UW5HV0c9AVP9JPGFws1Cd4HnJ7NEG051kaHRQr3Bt4nb+AnKECMdfSoIwtLxZ8
AIVWWzbuLnKS/BN3tfSlV/rY9kiy2uuQJbzFbYlHyOPF3XiFYVcYFGkQIpP1pfOTrYW+qBKdKm9Y
NM82i3LB4+a5h22Ms5D+L21N6YxSJ4X4QlQ7F/dGz5RyHuXlGdrA5b28dxxjUvSsFdGtNODJuHnR
lecxpAzkClS9Lk2tw5XTGh/P7Uqdsm/gjMR7oTkkk2aHZN6g1NjTh6K/PF6VjS1HpWJuNEGroeC4
2AVWBpEuqmVQU4UZHnk6yR9jgf4eTbGd3b313SFPc+mSBfCsLIaKpkJXpxiuFAL95i2OJ+GlTvYL
tmDhxtDQjvSM9zrzW9PjCkYOABgCtcdFih7GY5b2ts/b7JTqiQtEufq1Jj3FkiJ27vytoZBOIYmc
ZXvIj+/PU9ICPyPAYlsrtFsNej+Hrla605Dk4/nxR9uIcMiH6SQzHnn4ciX93rEBp+g8YvGIRU+R
OsFTL4qupe0et+cozyJ55/RsDEk7cu5HogpGT2HxbgaISubCtINbmJThMabl/4n+U3BywqqmtDZI
OwdmY7PMTV6aFwZEwFVpq4i1ngqGFNwiR+WJFsNHzJ6Lb+CyTW/imnSNHs+qnUluDgrhkgRmxh0t
A+UUOLhlzpKjZlQJr+5U81kac5JnDOC9MbBbbyjLeof7shEqkKZQq0YYAOX1pS6GWTuEdSYx3WAU
MfZmlCQtz+dAWDuz2/qEczRCjEpOCgzufoMqqBaZrTlzwJopc2lohJ4WF/ZBGurxXESpdHy8Szcn
5kDpmZHEM0Hyfjw/8bPYmkl0dYL/mGXnGOAlxt5G2Th2hPkA1emmURVbHjsp6iaMyGzpmja5eu5H
kXvFlNteg9fR648dHUL4OSabkpR+ccLHYXRE6jCUrgbF216C8JFpzld82exj4QA1frx+W9/rr+GW
IpMxGGaT/jC5e+igvR4aynnU8vZghKl6BJ22V67fWknAaDyOBsV/NK/uv1eL8dho+YNzHfWpd1VF
FLcwGHRPdFK7g9XdGgpQsoFiNDgOsuP7ocYSGodS6861GZN5LkV50cuBVRRhd3y8in8aWfddkfko
zwA0+rtrfHlTc7ZwfYTsn6v5xRz6RgAqiHso3aP2dpB94ro+qZ3kmDpG/LPWRd27PaVngEpi5ETq
2mhPlzbXZiMzkmfzoxw5U/vJaga9PepxALZTpf1THbJiko33yFOoZztPjC+xjvejZ4DNeROmufkR
Z0TjSxvbxO4mxp7aO4pyln/imS9+lqmWdZ7f2e1bn1wo+IF2BzoI8D5KbM4GgGUeOiVhdLDAsMtu
L/m245Y6EHnXAVdh/2imDo2uEMzwt0jU7eimRi/rV7vO5d7zI7n7mmDTJM7IsBv/UI/jkSJDSeOD
FoZkQpISYEFuNRjtSaMV/84ondM5evwxNmJOyhD8Oeevs7zk/XefTBMKfYnkcagm5psU7d/DqAzy
cW4QkXyQNEuARH6h/FbsnN2NHUfRFeYQmkCIESyviUYhgJIrhcvIN4pTz39xSMOGes9oDC+PJ7lV
b5lhBIS4s1A5meb9LNtSasGZadJVmizzMpLbQhGTkpH4mh0opaPk8nj1Xh2a+rOea98FumCvLkqg
fgs+nfaEDi1l2STItCgTRg4kMWtLByedrPX82po+aW0y7TzV63se1PgcGtAMIdVdLm2W6TmOfrSq
expDF6Jb6ZImlfj9eFW3RkEFEDfmuTO+qrIYExieElfO21DaylMx9jjWI++6h/lS1rcuDmJwsgGf
4IsIuX/x8QZMTAU4K9B6tvigAHH5nnTDZHpGPqSdB8SaEjrSwO0z2Wz7OQ2DCR0PaLHRpJjfIa9G
/8Z97QBWlsNPYzPIl1nI8PPjxfiD3ri/1Ciz0nJCRYTgdlXfpFyTQn3vw1s3Bc2toFYzurIIs9+d
ZAcX0gqEBVSogU8jivDkvRly4VPSH8tYsg5Gh2dkZwnzuQvN/+PsvJqcRtYw/ItUpRxuJdkee5hh
mAEOcKMCllXOoSX9+vOIKyyrrGL3agu2tt2tDl94w3y+/9NuD9rSrTF16ElLj8NYPZJRP8cjMqfh
hV7DcMr0vHkwsGD2ClP5a5lMAJWwBoD8quTLSPVffypbsmmDZV10Qedb9uWsT09JUQeHTEv39O/1
je0HHB3iPM8IWM51g78gLAARRzwaQvr+PlBCRWidMmN6CrRefMd9sqs8HIfAN9dG0L8H/jIMLmif
7rtJWaN7hwfNdBr1dtCBhFHt8cfZUX/gHZkb7yMbsgwahNM8HjF+7SjtSWWduvWgtR/DLI//h2Gq
iFyNNu/DpI5J5idhoCyll3L85hiAcX3Z6PuXasFi+xqceOo/klLnXp6PGAMooVEZkKdk7XtHD4by
b4aHKxbbtvPvKEpcdbvaDE0aElNSe+ow2gHV6DJ+qyM4/TuPwMYOWSCVZNhUo2kJLX//R+FBouOV
omYaXXI7Hjx1nNF3BLb9YdTKPejOstlWx2RpwqNHSMcBT4zVZuydzNACh/RvLpJvSq9Fp1kyOs/O
tcZXkdd/cWBD+DnMPjcuusm/fxRu0wn4gBQcaPdh+0ED83qiCogDu88oDDdaKvt543Q+NOTaCx0n
eFLhhQBrrJOd23hryji4o1pDWs/tvzoUobDyVNIz0gk5sQ8N/ZdzZ6Ln6qHjHbwWQTABSgny4BRV
JXWFum+ACN+f9633FToQBF2gPhbsKn3q64mXyqTWkUweNUdB/QkRPq3zF93Rd0pHhuyiAzkMfpz1
mcAVegZ3Qq2yuxRGHb4majK+qsUov42G1kVukI3USMpSZTJonBQ/FFT+91TCbw738nuhVVIBoQx9
Y0GnzGYydmA7zxacvA9y08ff8KGWd5i+v6Obq93IMEuTwOAQLtAk9XpZCLCkrDYdPGhtKcavIAqF
g3yRhhrb1GAr/MBDY8+gX2MpJN0MBukhxN+ge1CVzv6ex44WfdCKUBp8mI3GF4PyZ4MnU+toD2mR
UtPkE3fWQcjozDwOKSffMyKjiT4owZgaHrIiJiCkUu2MkxTHUuth0Jh+L0Z9mEDjG1g7TV1WIAaT
pkBuDauv62OkGUEJcx/UvYsly/wv3NQam+AgUPda8FtfAVUuWqbwIuUbXJ9kJIoR1tTMkbKJzrSk
p4sW1Hhv39+dN9cPX2HxwaMGZfCA/I7e/rh+hlYVRtEXwbmmxfWzN7ToqVKyUXfNmDT8PwzGvbOo
EMlELWs0mjIEhYSScXDOkiHFoXkG/aRm+TtMh/YSnZvYmnnR34OVQXy9UA2ud9ccWH2gBQg5TzFJ
mzDL8pCnmX2Y5Hl419LhOUlFWgMbNveazDdXDiPDfYEvzxm+xU4MUT7mki2cc+3g5uRWU2o8xHS0
QeVEtSfZ5HSqSbtDy435gIBBeb7/Rbc2DsYSIGqB1XLlrK4bocxgdvvWORtFEF0EMY2XpujN3h9l
a30xewBgt6jAEHldr29rxNSdAgnwi9VYoRuUI+ENufjXBLPMB0kS38Fitx50sr/GT7K+BLyLcg9P
GTJa1yNLJT43iU0/wxCzdqrgPZ9GDGEwYquKv02TFlYrSurUqeH3gPy+HqrVB1kUy34NING8K1S5
eCzq3jo2FXHL/fXc+GpsVV5HmkrUTNcA5WlRM9ViHipb1O3nWoMRA7dj2MGDbHw1ShmULmmaUvNf
r51ZYr856lZ40QY7/TdUB3EqBszID1UjnG+zkmvca0YRnfK02sPnbc1w8TRFMx3xHqiM14tppZJt
dwiGX6qyN06y1mvCl3XMaf37K3mTsvDRFjkAtAwpmNJluB7H6ea0QGGZKAcj5AP9toc5Hw5O3I0P
pPB72IqNFV1iC7i0S/Hm5p6ZtCkGEB0CstSqGjad5RyrfjIPOW5+n7Rarc+qnTdfOrw2dzbnTTy1
+HlCYef4cc3dVI3GtHTsSKZjlYFCoyOyEDOyLP2Iubj2mM3Nv3mjBnvV2Y3FpTxrkGTQBb9VBJpy
E0cmK8suuDhWwQEZXsl2C7sMW9cSkF4OXVvmybGLk1J7CEalHS45bBkcfoYo/B96OwlEIdKHn63d
qIY76HFRHYiO59dMdXrDzdqy7VxtYJu6gC7CkyKNpuY2TmPYXGOG/H4EYZBdmsHsqksbNUHnllZn
q14s5+o/dj5huyg58Xmo+kZ1q9KJn7EhC7+YcyC+BKEs/o1DOShBC2CL40ado/7EmiL7WuRhHB7M
tpejZ8OY2m9dauivaNnPzxYbNgSnJJvAk7K5/nh/v25+R849hBgw9TdSuLVTKL3IVPK2KEEiPJ+V
TnGRPRKG24LPManixnbsjUndaDuX+MZTRQmXgQHgAQ9Zl0XmVoodekJAYaw+607ZkIZYPrWhbryW
ads8seHFDwlrufcoiPXqu3oMkAC/P/1bkiL7+PeeWqTLuJxW71WsaFkvtBg8fJJ26YclR4mwfsLc
AM9NriW3H6159qRACX+0uTIi80GvxYc405LK1dbwNsPQ2uNv3Jat+Fkos0BQAV+CisLquqIyGoRt
x1VZFm07HBiorbyhrjABHdFrV1wnV2LjpChD1XntVBsZ1EpTRwCNXv0OZmnrO5E1Ue2h44KJ7urJ
03u8JSpB6qRim+wvivCHpJqC5yzDjibITcN1pKLw4xHj3hR9/Z/3P9Ey1VWkzh1DXQX8OgoW6wQm
AA1FDScPL4Xe1K4tTca7gKB65xxsRKKLLAey08SHRLyre3uyEcvDk5ZRQkT5cIhp3ZlRjqKe967O
7aHIRsGis6zr4IXmU2sFDmCeOVWdQ9eP+gctUYSfAqI+3F+77aGWbutihMSLdP0aVWFPFJOEYJRy
0flxLOs+oJTZ7Yd+T0B/c8siBLMgd2kq3xznRmQRnfSO5k+x1JPDvjhIgWZ81KSifR7jsjvHcpFR
rpvlYzcqmOJqQfb5/nw3jzN5NpkE0KVbiZU6GHKIewQyPZi+ryjCx8TANRT0Vs6Q50Mgus9PI8gD
7O9SrrenSRHl7JehJr5SwJIcVzULLdm5ZbYuWXawBvjURrx5jUCS03y2uEXCC2/b8COqhhHXvyyU
P1lB1z5moH/PQhViD2XxW8p1dXQo75OJLEg/nsxV/UEJlAEkqgRptqsh2te20/0osfD7Xo6T/LVQ
+/p1mKyseFWToUzcoJZ72cUYOZme56whKXW6znodDVD881TWmQtISvpuaVxBXjH3ykdUsmj8xkUN
n0HWhKR7Eoes922U+agqSFVzHEAaPFW6w8Nai6qleYaExVsSW5lx0bBJbnFDagCcRHPUfkPpucge
c1PL/gHiP5D5Z1Z10EtMPXH1m2kEZ04U8e/0Sl6Tqa7/kRLIMl6JZSJegmEQGZ6SR4l2SIsyaLkZ
p/J7ayslInDOVFuulWj5C6mhVH6BqlA+4qXVam/hPKaHXG/n9rFux+RnDWX/VxxG4p/723PjOF59
j+Wq+yPdrcLJBojI7hRG+l0dYuswNVbtFXo6P/z1SIt+2eI3RRPgJkHqJxInQRx0mXT8gYwhFA+F
GCy/iEdjp3+4/OjVJvut8MAFAxoS1aLrSRVtbVul1MWXAajcYzcHo2eWTen/9YTAupELIQKiWzc6
B2CUUxN+L2y8Ouj/pwdp/AyePD4WQuxJoN+yWhaACscUXS+68yQs1zNCyNaOagM1B9rK9XdoB/O3
iV7jZ9Bo6ltfdeK9aKr8u1IPcfUQy5Ggeiu0vjqAXwq+3Z/3xtXBu8vKktY7/JzV6kYGpKGhJj7B
Jqh5tpGXcdU0to+I41sHQArqF8fIzJ1PuhFnL7X1hTAFZYE+9PUCNA6U+rpUoksdFsUB30Z8MPWo
fw77pvMkrFI//YdJLprlC5WI12o1Sbk0eiRKoKsmcUyNSdhF8hYqBQR7gVzEV4wSxtnVqULtERSX
//F670KgIfCDo7DQjq8nyl3oSBXy9sgDAYRytcKevXyO7Nf787tFnLGjyFdIXHQ6nzdOmFPiKJ2l
TtGliYJQc/FSGj7KNNEe0i7QY9eqwuxFom79sy6C8dwOVRa5Zgsa5SBygd5bJyfKsZ6HeudDb1xI
7CowFCwBz8M6Ww1VXCWbHjR6pyrps5AscRL0Id6lc7onO76x1OAZKJxwemhRrjdyFg30YSuI3Wo0
yN+sRtWO3Yxh9P2V3jgusFr4lDqXBd3l1QdN5Bh0v7OgsVQenFGb/Rid00lOJi9IcaftrTL27w+5
sYY4X/DMUvKjxL4O58RYCLxoHSJHI8t83Qzlk6ngXWCqebRzq2+cS2zIEFBclD6Xvv31dlWRa5Bk
WKWXCu3RxyGx++c5TlCMyoj6u2MhlWrv3p/dEiGuTghJIT1ewik27vqEVJifKaHCCZG1rHmqibzf
WsueHhH+kC8RIMhHw2xtCTH0RNojD2ytLB8SqMhydKCyX093UGfTgj5MGbHS8pNuxV+HWipf1Lr+
dX+SW3sTni42ngsK9oafD+5FbofleJammrzHWeW7jDPDThq1NQhBP83shRN8szWD0hbaTCHiorRJ
8Ti2QRsdIk1v9hyzt44Aj8HiFbLwfNebRDKUIo4AQF76bnirKUOfkPm3jnqXxQ14a7ny4gYb+p19
svWtyFVhlYOxuLWsM4vIEaYxL/1fPXhpKpF7tjImR7Oc9kB6v7OW9Z5E/oJSHmp1XKyrrAZzS60N
FzVR/M7HAK2Otk7eN8hz/NvoRvyWTWIUrjV2oe5r1Bstlx5G91KFefsmm3P0NUmGQEfXOqi+t7iq
/JTDsH8rsq4d0EI0qtoVTmXtBeO3n5/O5SL+iFw5YdJaO5wjpLdTPmWXSrNbt+wD5VDbwZ5QzdYo
S98MWZ7Fenm9NLbTE+xaIRUyUcR+gojnYarT6nD/vNx+bLYx7E7KqRg7U4e/Pphot4xR19XZRZ7N
DMainJ2aRqnOaYMx5f2htiZEjZ8KADEQ19DqW0NIS9RWCITEJGwHq6ytDg3shh0ZrdszQxecChDH
RaHYvu4G5lPX52GXIAvVRSp4u66eweigqfI+6BCxd9UKyNJhwJ1jz7Xidw52vZmXrji8OPpEvxvj
12tpkkxFVhjnF1WoEKlxrVBtb1D7ZvSrcWEaJAqMJoS7irBsT9RjTdOV5FH+jqx2/6nIgBf4Iulx
n+Y1NWk2DW3+s847RXelOgxrF6rJEL5zyjjCJwxHvV+UIcf3Bsw/08M/EtSTE8WvtQIuCbi70wBH
RXYVQb9OyVB37zrbPFghNAFfRKE6nWiuoeYWZ/OYvxhg5DKvGVu98RoFrLVnN3jcUEjN9dgrK1n/
PGslzvIDoHvVTcqJBFDPGvvRLgz++P5e2dqWwEHBJBGz3qrc4SCI9ZSm8jwWXQLcZa4OKqposHJS
Z+cy39owVMKoEy2KvOY6Qq7QNxWShmLHuMhZpKzRDz1tsESzhuatqWvFs8f2r23LeATpx3LHUoVD
Qnb1/A+wE7Q6JUzGZEN5aCe8QeXSUdxmVCUf56t65+zdFv6QsyOhQ+QbpuINub1pm64oDJRxFbs0
Mj9OI/1n0piBsvgmpykATPoN1uQU4oBci/VTDWtnj695G39Qfwd1zusPyf0muqqTCC5osEjnVEkR
eEMwhR+pRWeP7STyd2Yn12ddbYAcoVa+1xXb2k+km7Q5WPZb870Gz5pJFYxdZJnjLVZRrhMI3TXm
bK/gu3XNgSCjPkQNesG8Xd8CqVST4uTsp0CesTWyi+qhRClu596+jR/RxCaYUgl1UHBfb6BsgsCf
zSaiJFLulVmenyCdRq5cj5MH7GInFv/NV1ldbfgaLEkrU5LVtZdYmGSpBNkzuYRqr+oUlkLzIQEl
+dGOijY4LLfB4mXRYtFuD1Rz3KZOpXdDjgFLE8eZV0h9XT6YQhKmF0Sx85jIYb4D0fntQLT+kVz6
hH4o9vFwrg7VGHLjSWPPWxZms32agb+AhKEjoPhhJ+z4HYy6UD7UfdW/DwNQxh60k6E8xH2VfVxw
bv86+AXNj6Ycl2f4E90IP7PRv4FRS6yDiRtx4stDbOPVnMlVec6of0kXB//EwbMRdq28wJ7T8ZAH
Zos+J7HJnlLExt5CJwJBexSGKIyu7yqTSkY89XwGpXCyj3quO66W6NXeE7qAMdcLSXsVwSmgmphL
rRZy1uJqwepJZ8duxukSl1msuPDtrc61U6loHmnLIlrcx7WhfDCqUpc8LaV94bbG4vqr4mCUu5U0
iQB9f7l4C9CDFG7bKqRtYy93lHRbvfeFPdilq5YINxydHh8nL0FwF+mucbKfyEdwe5rMSp69Xk7j
n2mn97QiZ/NH3s/aqwFWVXMViBCxK7dRnBxSdbRNyPiS0fpthvvtQelrE/G4gfYuVRZr/Fw2Wg6/
UkzhQ1kaAsHsWJG/1VUc/MqrwHxWzCknnISV/DEWmfYDgoltnrvCqZzHoJixoqoofAbHKZ2Hr80c
5ZLLJV4OfhZKiTiADTacd1ZIddAthZAa3ykn5xMRlpQeZ12JzlOayf/YQWEJuJVN9yOvB8SMS2yu
QgxghiHDk0WOlSdY3eNnpYHVebSDeFFiSSZtL93dqI6RxQDRYhYU2W+0ZCczsufKbpxz06KTUFIr
9RO9Cb0Qrbz3C3Di2WmTko5ZVzzlUtf7HT0Uz7J6dec2+51Zr3ccaKcloVrEidf3C9U4LU/FZJ/z
ONf0gxMOEVJ8SVs3zzO6vZwsNYrDx9RxUGnMO6IDjyw1jR/aZGwMF0FU4ZyAaQXTUdNE8qXNrRp9
grBDMs2gNG+/o20y9b9kpYk7aAUmZe+c7fJJ7tExfWjRbBaHNkToyRulQS5fKzSSq2PZpeJHnlkZ
0grk5eWTbc/OkzkvumHAzJsXCOPJF7uSDIK7DMMS/rOx5Zd3+TR5UmvhHCKpWvs1hsKQHnNL7nDW
m8Dqu3Ok5+IVNTEOzBRMTXEZJqghoo373OPEQQnPnEl5L2tza7uWwz7bQYpsBD4kFwu0h2NOYLA8
MX+UsAdg+8k8ls5ZlWvnVMO1cNyOHMsXCnsAj57aj4h0d0bd2nQMCy8SPh8NpnV7LigXb7NGss+R
pE5uYoLeEGle+nHV083qywwcaRt4XUs4KquVeLQU0Zy0dtrTctmIR3ieSUf4LQulYPVQW9GUo5nc
80Nw4fVFnc7P+KF0B3pRxnPXy4CGrdw6GsZeIXgjGEFBAbkGaGMLjnWVc1ngBhytWja77BTHoE1k
L6kd/SgP4Z4NxEa5koeKniGVED71TaliRIWu0TMBODIduw869QTgzTZ2dW6rwfDyTXjBH5IYsWHX
qmU6mbE29vHHXkjzN01tKq12tQBjWKQ9A7n4a4QZFolEMYuZNJn0upCIqJWgIRw5Z1tqskMa52iR
jiLfGWVrny+dM+43IO03OC/+Is8nRK/OSZJINLcAzn7EwbNZXo/euYx9aqFlZqBgsbfVN6LuxQSS
Xjs4ZfkGQWe0trC6OpLOYZC140FrwpboNncQKJr4K91tpg4AeWAM0w88R8Zf3EXdK/uG5mqRTorl
NpHWOQdTCQykSjU1Vf3Aqob/TQDNaOZZiXS0x4b+fUJO+no/BVM2f/2SzRJuQy1eAxcoJwsFRp50
rmZuKnCk9LSNJGsBCSi5/m7SQu09PtnhEcSz/DgGIax+8mLDwzpXfxaJk3mtNEjvHW2UjrPdy2/h
1IoHsCjSF01vx1OE+MXOt94IiyEs8KKROwNDXWf/vTNbrRMBOeYewcVpzqOTqPT8V4K32Mc4l5Sd
Rdo4yuhAofe+VE9uy41RWmO/2TEeTrPZzwwzztorh755CXn090waNwejIA7HG7mnG5H5LojI4xc9
j2nsE58SVOQjpYCygzEbx/sffyPQRF2Jq3FBaIG0XdVqylQ4pVQxLxrJo6fMau+X6JP790fZ+loL
xpkdzXT4btcvEDMknIoKcoQM6ElVQ/fRKRGd4HhkuM/s6hdtLSCvHVVw7IQ26qm4djZVAgxzzM3e
N4isDtKgIlvcIp94f2qbQ6GNvAAX4D2vwUh6EFhjFi5Ti6fuHSbe8ptI7fTsYL2zs+c3hwKoS/mO
bBP44PUqKh3yjFafwp+thvipl5wRITmr/ZYr0R7XeW+o1QcbwaBEY5hwvNQiPOLWQWkN2/VPYRAr
h79fQJ4FFPgXLCvYhutZLcLXAlnO4JzochC5kEobD0NI8TBaXCL3x9p4IRYZNUxaWD/6Z8tN+Eck
JDWdmoApcc45HLVDq8/Jc5QPiW8Z87e6j37prSJO94fcWMk/h7RXMYAoZiMFBoHaIMxN+JKmOr6V
A7kkwWm7ByHYmh/lAjArv9HO65CrXiA28lQG58o2i2fJDrLHtG71x8JE/8YQoeARnK2dutrWDHHS
QnaIVtMtcJ4/nLu2D+yzVGLhZWLNRKo3q8fQEHvswo17BGoeMFKH5tatdOPUd7HSdoSUJZxqf670
0BdaF3jY/MYeqbq5sze3xsPBixIe+PHFNux6v2CkHvRDUTvntB+SY9yJ+R/RGl/1rlMvsTk4O/n4
xkqSnVHpWYjdvMTLz/lje8ZKXEgZfltg8KPsHY9D6eVxV5zQFil3TsLmUICPf7+fPGirbTmWmK7m
sA0uXL7inVYY0zNVH/Olt+Ea3T8BGwAvw+aZppFscsS5J6+nZZhZqM1mwBsDZvA4TrnkVWOh+yO4
jJOkWBOJCIz5Bi/f50arus+5SAtPVSrpMQypeN//OVszp+27SKCyl27aLVrN+CWiGOfZslGGxiv4
gZhOOoRUanfAzxvHEbUIds7y7PH8rcormPQFwhpG6dxl5fSuQh7yQYkl+djMYXZoWuNllMpkB3yy
3MyrBHvR7VtkeoCfaGtNW7nNM7w7JzSQ2iI8OFORfqAX0eyU4DYX8Y9RVjOrZDQoB7tHccxMYvJx
lUYFbjixW8cD4KX7X2wrkwSfj004X4sYbL2B+iCbdZwNpDM0D+v7rFXGGal+3R8CGAKEoo72UqP2
9NihvvBZQaTI8uJZA0pWB8nx/m/ZXF4KF3QrSDNucmmtIXlPNEKzapKxRjSt7OKETr9zZDaX14L1
iJgE2i3rjFWSEytMcjRNWs0YL3YGiMaGIfvsOPl/aNaxplACCJMW/f7V4RQgCpO6BkRrjxEQTNUp
HrIhf7u/apsHwV7uUC5SwLqri63TEqexMbu4IB4UupM1NQcDfV9fSqBzDmgYen0afb8/5tYa/r64
ge/wPK0h0ICTlNEymvCiT2FLbRCqO2og4yUN8Ff/D0NR0sJnZFHHWicjJddnht2IdEaOB+bhlOZe
1sr5OZDCdmf/LZ9jfbwBddgw1QBX3wC76aA1pVyTq6F6lZ2wRpLPlujTo8Drw897kXwlATM+deH4
H0rSgBPRY6WGiHb0OtAVI/LCwuFiCaLKOZV6nvpW3E87DYit80WCRbmEcHrpnV2/FWkYKcKwOeoA
j82z0kjyOVXVdOcNULY2JImjTBCIPRmsv+thLAwP8s7Rg7PUGHPoFtjIgqLthklxzToTzUNgzdov
GmQ0UptZGSu/abErPuXZbCx1q3FAFdBuO8dH6hk47bI3IoSk5vwfuZib9kB5U91rBW3taMpoS5ln
cdheZ1GqOkcjBFnpXAzyhOx6k/10ClU7mNao/IcDawHdp4tng5JaV66USW4EGoEUNMrc9hcYlRub
cn+qumI4pil2azleSTtcs62PgoiTsrgpUKW3V1cRyEYnQmQkwpFLDF4Jc8PVo2I4IHr0wbQn6ApQ
sv7D0UXill7Lb+GedWXKUeHRqAlip5YS6m9p2cSerhXNT3SQv96/JDZOLkqgFL3lJUK/2dl5MitV
u4iOSYUahrQT9OYRI2blWQFDikSNEeZvZqdX8wlo6V7is3GsyE254KlEUulZ31BWgnBjisbpxRgB
37pouYDZTPJpT+ZscxxqYFTCFpzJGlinl4EZ1S26wUOT4uI2GMI6IpIT/Pj7tWSf8AjT/ENgdXVL
RHmlTrM+UMTMjBqx3aA/0BWNXfq9waVRks5zQmiCcYax9v2RtyZIaZF4FtPppR50fXGoNLvMNqDM
2vT58EpDq4Zu0uw9ylsRD/kwErWIWVqcwdUEgyKpraleJDijxITWEtet7UNWGHNXqqbFkkEUlXXI
EycPXKgpYqR6GwmaJbPWW1j+Flq1E8xuzXwh0oJhAK15U8wu7TE0khL2fa7L03NL9QFGwLgXnW/O
nARvkXPjEmD+1wtsZGKSK8gqZ9gRysNIZfpiF2PphyYUDw0jc/CgefgM+mZ0nagfzjKemn4v7Hqn
2rL5S5beO0JlQAxvaHbCwBCOQ2ufM5zMeVxR6svghRtx7RfmhDJRE1b9N1mS68lF6ykxD5VSGM1R
A2pgu6lkimTvJy2f/er1580iqqdKstRp2SDXi9M0nZicQA3ORQ/b0FWdLD+jDx44/06DUyo/HRRI
e5dXzD53kPjiBwleJFr1+CtIh6bQ1ReRJvZndS6Mf3VK8rk/WgMPF7H1nqXFUkpZ/1RQc5wUREMB
o65+qsP1NoRWw3YxZ7v2QC0F+L5VMeJgFe+y6XZxrFqe4cxj81CZYSR/UuJWt//2vLJiHB+6Igvj
lqN0vWJFLPN6pA3lOc2ZPAGP/kUvumrn5dr6LmwT7nY6AEASlpf7j8S9S1Orjc2Ygm0Vy8I3JCd6
HUOoZF45lQ2lkC6pPt6/iDaGJD+gNoHiw2JYuKz/H0OGGeJjadsFZy017cZvJHifbT5MzsHKYufN
xvXh0/0Rb8KPBTxlUc4B+4ZjylrZqVUCPAnbcLn6+pcatbVDpyEkOWZp/nB/pN+Qx9XmAbxMwmeg
Sbhga64nZ6Q1ZJEJXpoYTelJj5wMQKiVzrIXV+P4gw03K26LSQ3WdFWRT+c0UeIfAlHPwpeKqvmu
BRoNrU6rnV+BqU6lq0um8mSkwngpNFpPbqvUieLNijxWrpRLcntsBqkwLpNaIadqtUgr/1JaubQ8
NRQj4lBBFToPlTE2r72I+9hVpzHADylVq09GDLTV5fGNcvp7aAwehqEeQEAEffcDHW6hHdRR0j8O
ygyGoamc4kVKJO1Md6VDyQ70rfO6CG08FmhVKb4+6Gb5hK4PfTxATtjv2X2Sz36gZBgCDno9fwCB
XEueXThwrJq8kJqHOC2qgj+plciX1EYnmi3C9OTgU559QBMOpxe1nObMb2wHQKSsVVbnxb0q914h
gMnUcgeKsCgtVPWjTP7UYzL6BuoFY0ApkoanOKsrKM20tNAPHQE9lbljv2kaSns4+g3Ws4ZJ0Gdb
aUsbR5XRCvy4tGqdzqqqYYA4J+Psw2IcazdvBlreTlqGjdexLoM7hxMi29AoItu3I9PmPsqDrPe1
bkh6H5tMOXMLZXZwHh3LDGqUGkqya6He8BULzShF+Ukkn+9vwZtYlECbbgiUGly3brUHhqYzbETh
jbOMyvChk9T4S9bQ2ZfzIVj8m8fjFGt7gly/q27X+37BzbHrIQqQAa3Fhxb4yGQYjXmGC4ZgTKPX
uuLXOh0Z6OdDI1PraMJfGUl0O5Nt2HwSNWqm7BEn27TdWYLb8379Y5aA4I8bhnSejwOC96ykeegX
YCsOpVmrh1G2A/+vV5vSMXEceQ3eA2uEgmXmHCyh6mfYnJGH76N86Y0yyt0knZ3jzEF56jSxp0e6
MUH6Dgg+cMksueByxf4xQSybOzAYg3YeuDZPgSnX/pxGmHaK8Mv9+W2MBKiflij/MMt1kSXuiBri
ZFDOPaZ+gEaM5LWTI/mx7o1oZ6ibd4HeEIsIJBrgNZ295af8OSmBNNKghs65UqVX6h3NRRHtR6eN
HcJILdx7FLaGg0HAZli4LTd+AEqhl6TziXNGUM08zFGnewQTiuckgebp+byHvb5ZSaaHGgn1B7JE
hl09e8TakQHeknZKYOWfgqELMN6RSuVLVcxSs1MmuIlhlsGQP4EizWtEQnO9lnqPHUuGZM/ZSOM4
eCgwmKHpXaj5oVYRfvDmqR5Dd8idOuSWjLL3bT8XO2H31gIT7wGZQq6eh3f1G2aVlFGJLets42fw
FE66lZ0GbMjqg2pkxWPFFboTWdxiQJk2QRMVJrioSCys1ljn9s5xfHHOUWqb7UOttNnsa4irAzAH
fIx8VhzZ2HTHBsG40xear3RD8E9bCPXcWT2u9pGdhp+qOBIYX1Rt2rqpyLo9MdTl/rm6LPmZwG/B
VsOGQ8p7dXwle+b5kQC11fhbfVTLMftlDdpfF12WUUw05+laE5CsA0hHxcYYgCLQuaIev1X5ZGK+
M2H+EIqo+nT/mtia0eIfDOAOXcqbw1RqjgjQYnLO3RCNB2Li/jGuYnXnst06QrSykFDjnlhowNe7
muguz1GxY1cnIvXSfs5PCO9WbuDAyr4/oa0DtNSWcSWh4EEucD2UKdrZzijrn1ulkEPXMgbtS8W7
/aHv8+B/8MSjyKMs3BC6As2KXRM97T2GwdYBwsGJghktZiT9VomIkgk96xJAWBPGUSFoQrO2cAlu
hwSFX9TFzmoZ7s1740PSX+bULhhHruLVmFNW0KYMVAqYMXl7UeT1AxTy6Hx/dX+XXFcngAyLOIXL
iQtxrbeuN4otga+2zyHOu1Xrl3MrmgPxRfJGdROfrgSFQ8p3bd0iIFiYUXWYFZE1LxTfFp242Chr
r+1zyfjWRK3+0gcpSAIaZ2HoycrcTc/wBMzoObCi8ktXGp30OPdJl3qTY4X/DLqeE2NLxXwM58hp
PdlAskgPJEuhnF+kiVu0SLWcK1EGn7vCSv6x+zR9k8dBs/1ANib7QdX7zPBEUw/fZGvCfGTUhfgp
OtQDdvLAjU1PAwlhR9occN5uNr0YbCsVYCAtu2lOikxhvhg0aQF+Fsf7n+UmdARGA8WEVx4S1NL0
uN70RTZFjSmp6IATa3u4hDgIE0WJj1vofDLUnJRJnoLD/UF/FypXe8GgAw8mns7xItV1PSravmll
KB2XdiekI3l5QTpA0/6tpN56iQklQ69A7P1pHGrj/dym+ZOE0uX7zkyTM61szEU7yqTfnKab9ziw
G8fBYNUXtauF5bjepzxcxpxU1AJUySx/BpIxf5jCsf4v6740sVBuXoDzq8sm0Vqri2vbAYegzvgQ
qkrpBVmkN+8snC77cyK15c86SZV2Z29t3HK/WZSo/6CSRtB1vfSNmjVVAz/xjGMdGuAOXYF5dKAw
mwlk8KSUL92YoRqjhONrVkR7dJut4SlyEFyywfWb/Ta34ZQC1XEILo3+XHVO7ElJlj9kzf85O68d
SZEsDD8REt7cQprKLNNV7btvUJsZPAQuCHj6/eirrsxUoVntzUg7U5FAxIljfjOKc6mM8gEpnnHf
M6U9iNIxN0bBt5bHqQn0GDznlYn7+ulnw81Lo83IAH2/+8wU3HrnWI3Oq/dQ8DD6etcaZR9SQE6R
8vRN27wb8R0qPNcZJLYbRsw87wzOHqyXvdq6h57q6+fcL3NjN4yL+QxtVqupELv2n3yZUjZe4X1r
ndS+x+pjMo6atVjqbkDh/nsc2yQptZ0lz0qhxbixTW6FIFr5EFf+8HguxXTnrgApJkld66xrvysz
96Dt5TN1+GQlWx3kG0cOupmhI1aEpsjVzeslSmldQhlgYncWOd7g/Osqffz2dtS58e6pn2B6IV5J
s+ay2KiR7dE1reECKhb3ju608Smdh+Ggx7amR0P7n32BGR6vrWGmRKh0XmX/hTV04g+OGIBIfOyN
HjaIV41ddXz7ua4hKyyEtoRlommLNqd5sakXEwxknJO41MaA9ltpzC6qdSggf9f8QWs+BEhc/exN
GyYWF8HwwywzW6MfayNK7NWZQB9NZFtyDDc20KsfZb4+aVmSeaZqWhrSYzcfmAnELyYCkPtWj5eN
xO26E7G+AGC13GQ+ZpSXnebWqr0OLqh/UnY8HqcUQ5wM1/bQawJxVxFtIhw4rZAjk0VDqmhSjXW5
pU9184E95vf62hXhYnv9wCJvl0ITwPVarttHFICgx3RNfC6X0t+4PG4t5TIHBFgJ+e0qza/HpZud
CoR6Yw/Jv/0gmSj1avjsuc3Ht/fWjZPJxgULCzt6jdhrPP2rQDccOmkZpkqn3ultKGRJ8x4Cm7cB
JbtxMlmDkjxAb/W6Pbz4KNo7HVnvktbLZz0d8rspSKbnjFedREUwuj/ffqwb18DqTQuRnZnNCgd8
/VhDXiF9p9dA83r860JvarPvpfJy9TUFCO+FNiqsP5auHN+rcuSKkkFJT/Lt33Br166jI4QULNLi
Ky8gI++9vq0n7zSl1vQd0fb42HXC6UNfWjViWZQAKdKQVr0wkOi6e8wjlvPsa9MWDfVq2EuhsbaW
uI9X+fLLwmdeYtOzR905gVGnVARVFxrOVOxzI8WsVpTDyzwuWuT0cbNxHV+PrViaRG0dE60It8um
hSeW0puS1j35nvCWvQ3R+9BaSFmEpoQF+dDEtuhCS2sz6KpW/DEdvPhjHnjL09wX8dYRvpEMB5Tm
lM8EEdBZF7s9psRKyzJ2TmbV9WEa833CCUfMnZu5wcEQndijdrr8eHsj3DhjyOKioQagiUGtf5GR
EdCVlbaVe6pG93u7tPU9JpXpRmfmRshYkX1sejpR104NlJWlDoHJOQ1ZN54rXQEhqedx/rkYsfuf
VQHXrwpQi+kLpIfgMh7HeYIvcz7Tj86r5lSjgAZjvl12QT/ZG9OXWy9vlVaAnEcc5Ku9PsmdXrlx
6SrnRBcH245KDIdZdzYhOOsVelGwBCSt8KO4Flcxp9fLKL2ypnjOndNiq7bY+zpIzBC7ufx93K4T
/HYx8ocxa/Iign+dPo0Cz5uwVlMJZ0avINy9vWdufU4Y82gqre3TK6+DwGv6vkR6+2RCVL2XNJaa
cMKQudjp0ofE+vZqt14yaij4buCEdN1apFdpq8Xv3ZPGeC8amCVFEnWp/36rUeAz6QXqTh5yefps
ZfiyblgFxCgsScuZosJu5wO2LFuiQ7deHxhX7rPVMAfU0OvPiUCgcETNUj6+pWEZTOoU5CrYxUln
bHypW++OrUkEBRIEUHr9KX/doGnWaYsA2nzSPa06S9bDAkuJjXd34zIBh7Y2/5gPrBLUF+cgoFXi
B8iNnfSsCn4ParbjKF6GYQoXd567yMCz7Dc5krsPIJOXoZs2dbGzbMDbG9nY9WXOL1ldnwBQcqlf
9iD7hIm5nxnOycNd51EWBeizaXATGYraqx7MeTC36odbS9JUWpHhxAJGsa/fsdvPHrLHLqcBC+M7
DG1zjO/x4j0kjarOyhq3urnX+4f2APxsPiq6MZTxrxekiS4ry8+8E86ScpdXXXKgn+Ts6w6rqbfP
3s2laEhYoFFpHl9Oly2FLtZUOC7ADgjpTaWXaErq3JIQNDe4Eetreh3keCpmPmTT6BRAPn39VGRg
DJrL2D1ZovP2eqzkYR7kDwOLgX0ByDf0Uj+OKqy9z/qcb7sxrXCkq/Wp/xCMWxH4l3mInltaii+M
d1JO0IGBSLoPCBsY9+Ck+qPRwnZZrK5BDSWuzVVLL52elrrewirceuHEuhUdy2zqqkyUeCjnjp14
J703qoOJ6yYgu7m8M0zm9W9/2xt9sNV1iq+7wqbJwC6Cw9JMvpcpWq+48SH80DP+/1Xm6UzR4msf
y1WQR3Oq4EPXKfekVI3gwYgu08NS6tN951vtccxk/h6elfr37Z9me+b112B7exyndYJF3fx6N9i5
z6NjBnaKiySQP0i/hP0yOaWBrIJmee3BXlzIhF7McPoBu9cBC71Zm4EXId8EcyIdO0+E+Lzo/fus
wCbKfRECqV7x4BS2UzyT8ffZHtgYLhKyg+MRSq9o/8XkyG/+mWt3SA4tiv3Zw6DXOeLcAdPdj05G
RRCOAAP9s9nIBLjQrDfLt7QM+jpyewT3Q80J5hwTCivJfwD6aaedtObROmqeVRl3g28MVhSgq2BH
aTeN8b8e7MUKxIHKlIyYZCf5Yy+nLgnzWDoK3L7rcB3ZzfijdNEwP2DViLlPipyrESVw7Oeo9sdq
2JHfMpPovS6d36W5iZhLqQV9GfZd3p7HOZviMMOsUgFOjes+dJVlPqMHwQSl69slP4NUNaoIjaae
3FO0mg/SSMmfndNIN8rMdEx3ejvyX3ZZnD57ZtOO5yJrjRjjmFY39/BSMPTrk2DqPxejVZnuzqM5
Dgdh6ozkUNtA7/bCwvEP/ZdsTvIQc7Wl/AI8wxcPKs+M+n7Knbk5dCUlwc+pqZQe9cp2ZVQr00aS
pB4LOwR2OnUveik05IiWZf7etQ4EGSxAyw/DDA73p2FVzVPSFJa+GxuvdqYTyrcGShwj4oX2Yzm3
ox61tqUeVtNc0BRycH6i3+DEz4bb0+2uatF+cdxWFjuzcQCPGchmuWElNFMPCyc21c4UtS5RWo7N
z41w038MawzIuEylHqoWefmjK9g+CHLE1Q9GHF4b0q0v0lDqqfF1jk2tf4eLr0LcyKgH64E5j/Xk
SHeZImux89+j4ybic5qU5Xyk3zw9DL5oqueFKyHdZ4lj5iEmL3MfDo6rzhUePfFhWhr52eO2D3az
qU3v4Uc797peaJ+Dmf9F9jLP3MEwvaNxTuNvDWWdE+pdDPpzGuZFy+Ew1x6S8JmXLhH+ow1GQFmc
RLYtrOeOJoe8x6FgSEJ95hlDqxqtORJWCyo8Jb588qZ6+DH0/mjugipncqGD1xnvi7irrGOhZdZ4
l8mx/gdiuph29VAXP6tgLNqwCByY54Jy9LAMbvYjc4bhe+UZmhO6eukXbPQp+JT1qQ7mnK70GCZy
VC+a0MgF81xkfRigsVqFaJtkxsHG8Ss4aMxjdoFGGb5TccyMNZWeQY2XVfVpyOkE3xUWAif8SDt7
zLs5/j1MvtHuDEOoTyMy0ekuYEbyDBurquXO7ZTlvSgjRizFyuLROTBdx8eys0U6UJ2Nhv7F6tuM
qxLKc3PfBfhmalHnDpC2LOmuwL7UAWlVixWP2Nke9fXUp0GMPMvkkPmNlqW992xReff024ZP1cCc
7weSyihtzLAG00ejyw33s8rn4o5kFTmyrEl7LNzaUk3DvSrgXb/zzCzrHnNHeE2UZEOAgCVWWPtE
C+ZHEejqJ0BNemC+7eUSU7fWfhFpMejPi4egC6EwQT+9n0v7FzqLsogwMg/UGU0/Wx4ZRPYPikaA
G5Z6DaCmgTJXhJn09OE5yxVIyli27S5Avws7LcuQIM+6vP4yZQjCHCZ7XKajTOjNPY+iL5+0JgYq
IGNRyP1IRylh01Wzs0/tDLGRpjYwpJt5Yy3S2B/6tmimz0YKw2mfEF7eLeOAVkPVaPp3V/jtO0vL
Bzu0+l43Tu3UDNid05aaQ6fwFy/0kfp+9pSd2RjBQg1+MMSSJi9YOw9fl07jfFiJ3z12Lnv7kHIf
ABbtCj/SXQxco8CULRpSVqncXe1wkL6gUVLMh2RVarxvFiNDsCNBBf5LqvWDcbSNvPuQjnPtHfi2
fvDEZT+PkZu68p2Im0RhUCSn6VHMHlC03qy8YWdl3VKECYfDD8ts7qvQbvW0jLymlO2hLEwXVQHQ
tOsVZ4zl3jLz6oWExGgOTmV2eZQlEvSXLEzn12irwQhxlShX6V/bCGnksXnnCgiaN5fNewXy5aeh
jdk/ntdZz2XlGzo+13X+O+u76bdeeG6+EzLpvRCHjEXfTeNsf6BTnoNMxQQJ91T23xcu5L7aBWMz
fwuMNv4gXdXfN6qe/0VHRjE1Lufxk6TuJk7UahhC5FzbL5O5YHKildrSHcrKqD95Vi++idjIPtBL
RkE0K0qxb6fByHgr0v/uFPSMQ/5uVuzqpmr+dX3mAoiJpbI5GWPdpJCWUv1d42tFe6rnKXtCwwRZ
rQKrwTgcZOCmEULJ6aeSjqJHUcKujnLdq8RpAP6Z75h7u/PD0LjOlxRIUIxS5ujpYdoJ9S8qWUCs
CxulXT/3hscO6gIqaZ2jw3FBfurBLmtRhNidps0Xax66XSx74plT4AUQZsPQ88mAB75UzFuYckI4
wnGjzrNfi4gXe09RkSUHe7D77zJpDPFFKb/6zGxx0vCobVAhqp2USLtMOGqexlmkJz9JsUpDtTD4
PslZ/LKd0bb3hKJK/zZL1TqHuIuN7kAyp9v7oRX1k+lV3TcUWisu+ckc4MR35lf6CcMSOVY/AoqX
1C9hY/L3jqKZM3eHWDywl3BAhNE/e/kyWpgG97ILkQLMMu6eoLRD/HPrl2lJlEPruyrHKO51PJ2g
En11KfYKNAOn+COS1wzz/Lntu2dSSJP7pcwEhhpBHjS7WdOWX7UndQflUGdMdh0QBWpHD030sxpM
H9q5n87GXmml0o+mdLq7HslpZwcpVKYPpekt7zvZtPbRxAsSxyx9UZ+7EjxlNA6mN0apHxR4iBQt
BXfRAc0FiuQU+ZF8QTypdlzmO2fwuH6LJF6ghKU8ZQCu9n3VZJOB09YU58jyW5WWRlBVF/d3PSDE
9OXttPe6FQrWZO2PwWT0aMteJL0oPFSGnRbGqfIq+1RA+Zt2g150emgBq/dCRHKS+97q84d89Ix2
owC7UXqslGM4NDTDvau5vwOUsORGM9BjCNYkLcmeUWBHtMzNtwzObiwFeJFer2fRNKO39Tq7JyBX
pTYQi+OeTCAhj4q8OO7vkH6p92+/0+sOCGWUzeFGLpvu8mUF21h60qRT65xqCKL72KCMTaYqeXl7
lRs9AHrXaAmh4QgL5XKy2wzVqI/N5JzAEGtLqDuj+KyISR+seOoObqwnv95e8NYbXCVw10k2RKXL
alXayMROZQAgk7xyb8jBfJhqb/VQKqyNlsqNXQmXGJAO2tzMuS7hEkriIG3CNyD0NEa7X9zM38c4
5NR3Q6z1Rwyy/BJLrqnmbhRGOmwsf/1q1/HEuiPpDFg0sV7vlaroV23YBkAoisfoa2TxvVmCrbUD
jIqgVs0bPV3K3xu1J9xNuoHGOnS67M9VpPmLhFyIZEiq/RDKjeNQF/yK0F06C0HYDvG9CHqflJFb
+foSFn3fPyBGrYPLwrKh2s8JfuwnFQRpwe/O/R8mgtgdvO/UykM70WW763TuVK4Kq0Fyr9WDH6h5
LFkE+qRxdqVXQHzrbHP4YidSU1+muoXaKeza+Sr1wiZQaVkBsHkR7n3fxCRteoVGx8HWKqxWl25A
Tq2VcZxRDIhMQwgwGOIzfyVe7oW9Rnoye6PbpYLJDN4i/eS/i8GdzO/71vNXDZhK+EfVlulzJ/TZ
/t4ZlsIrrDQd7Y6E0kgiNA5x/MTma+iTXSkCrQp1nIvjo5t0E8VRbPTvMQNqCtQL8XQqn/LKGNUd
UAsTobmsVoxZ2kpzI10f4nFnZxYCwX6ua8aRNrIqdlJLHPeQBcqodyRB9fg5ly6Sma3ySLkT08zF
k3SNzD3DZmjzT55DiQ/7uy2yewztW7H3hI2KbKqB1kLCDPrHJ5sS/t2iwNhHuTtYYyTGHAOsxCoA
/bo9+AZ6PrP+rCpflo/AuZ0PixMg+JcG2JnvMVozqr0RJI3YKVfmgMoZDth3QjbLD6UW43M8VR1X
cSVE8oBgQ19DeGKiEtpVU/Vw/qusO4Lja5/HYIVuZQvsAPIkU63/orK6velpM+bfNLtTRPC0xWcK
mAhtP8hVps+z5USvYnTyPqpF0L9oll9xM3CPDQdtaHkHUdHM1sdauCXOalXgIuk4FGPZPlVx1nb/
5ktXf0HO06V8cOzZv88MP3lwKzdFmTIXxRiB3InPLazEbB/Umm8dcBdq+odqMnvnbtbQGIcjYlSf
gxqPWWgcpsM5AATwRU6jexZCmcGxn438viTQzuehdDoI5RlqysepQu95N7h++XXMsIPG+U3aaViq
wvowOiL4RpmTf1BBa94nDCK1aEydqnwQPijZsGtqLbgrKfUeS3tGFHcqFi+/K5cAbby+YFBwGMqc
xKECjNzsDLxXRchR1adwaE3/qUhzDk5Z12kf9nh/iMiVVfPDtheN/6Ytg192UqUT5wa5lD3Jls48
MkmgpwxWaizIbLS5s8MIXr4fdVxtHvQSsixWR3P8xa6qpYoA6mVfyRG9MnJLZ/kY0Bb/Vy6tvuzb
pFQfi0WJER0PpQ/7WLPWv5mrrDgUnXTfJ8uwMjZ0b6ARhDDxk5Bl2zD4dKzflACL9jhPwfhhqseV
uFYHmr5H0bMtoPHMnneM/TGj3VNhXXBowGr8o5WumGG4ABQMpVVZqxCjM793Z62to5Qeoxla2TJW
p0DU3THrqyCIBiNdmkifg0SPSOErlPwzgGrRFKD/GlJy4Ui/BKPVhKlmxfsMJ8sg1DW3LQ5UdBbV
nQ/8YcH6+mBN6ch0A0Pg+9GUYx4xeICTaQ6CkbbXDNNHmXX+qkZv9h/zrvHMHbACtBUNh+qLyVM5
hosq268JnnnmEcdmtYtzKeywZYqTRgPCcUiyIzC+r9BOHKNiBt10UmbiZSFuuPkzNbeLx9KYdhtX
xHVOgVYhPph0qoFycUu8vpJKY9J1SYvvBLEcI8Ei7nemTIKt/uz6Z153pFkGwBaXHr13JlOvlzG8
mqKkze0TyNgxDyen798FdV7jc1BM9T9M1et3c187xyLVDDzz3Fy4q7m4Cc3Xyr+9nXBcZwGAZ5E6
1hE2IDW9fGZEfKvcowdyChiTPQQx9almmuOZvp/3Qosvj5YyGEMfsYPj2yvfSgCAzP1BnNyYzA1l
25te31unvjP9FzUqgxpjrg726NdPkxFrGzOzm09qQv4GpgWF9zK1slN/QoKttU5rqhc2wdDs/NbK
DmXcfI+Dyv1KiVTRq+zk4e0Hvc7pEO8ioVuB5lBtLqdoWi4hJSLCcEIFCKOe3Bl3yix8ulr6vLHU
dYrDUrSvkLmFt4E44OutRWujyHMnsU7AHZZdWfXJ40Awe5egjXEoLEae0vW2CMs3jg1I0jVbpa8P
ZH998X8NI6U798245PppsNv2FIzxL2fWk418/8ZugYbC61utSNAwvZjGCZk2yEGX+kkZg4vh5jhV
P1HIGh6HeAnafe9nzgaj9cZnY7esShygaaFHXbzLzB17J0C2CSFjIqiOaOZZOXV2GDV/S877ekZm
WvCVICyRB9PsvVgqRylD4iZlnLSgWfZL55o/gUfFRzht9rlDwymivuv2pYVeronF60ZEuvFuIdq7
PqkxkG2sPl5/wCwtkP1lXHPC1njcdxIIb+HmMWnpkkfjZP8fBwJcypqGsyQz3fXN/7VhKlxik2rQ
l5PEGygSS9EcGe7Kk+PIcgMEdi0KC3iAzblCb3jBhPXXa3UOliLO6OqnKm442brm9T96CUs0NHDw
+xWUiqdNcqsWYZ4HWh5R8qkBpmhnPI1DW0B19HTZhJ0K6v9cXPLTqCpRellH7JevwW6H3h3JvU7I
/zjvO8uafxpS5cVu8oX9Sxg0TjZqrvVDXtw8RHpwUQ5Bf0UKv34ZbQnLz/UKSBmgLU5SR8h+XhC8
9R0xnu3F9qMR2up/jH6A8SnQoTaCTWa4fREdIG9X4AqL+FTMWXno8NV4sHJlHFa7nw040lUgWpda
vVCoZlHeuORQVksTy2DKoGd7erp3AN/uNYA1Gw90dVpYxVs54AgAERcuNWjUXMcMBFqN3iGeJymk
4DupGwWmHV28E0v+67+/P7xqeHUgUYHJrA/912EJkL9rysZD1dhVdqQzeLgTNcwdUxblRsS72h7r
k8FUWr8VadBlIEdRkBQsSbSTNmdgi2lIaaHtduJB9ovDIGdJDYtBWbp8fvsRb64boGMC9Gilol5s
EViu8QB1A3EzUDzHjhbm2ffm5D7OfYP5rUWzsN9ktf3Bi706DDwtVzJSHrCUEEi7WDUVGNIb2JCf
YwbI9j4TjW9HWRqQks1+jYAavMDxPPoJ9XFuEStGyCy/fK/F1gbz5BhpHip2bec2Hc2KAXPFIhxB
8jVR23XzuPfTcnqZl0DDLaIr1BQagEdy6IIi/2E5lkILn9oiO8Aq6r/GAh9pWpBu900f8Ip87gMp
TzSuY+MO3ojvRRLRkWQjHqyPePkKYA3QQWNOQC66Tuv/2lueloqsFYLsWksbRsjKKx7aWQQHCm9T
hFXaN6cUhv1P5Yjs+PZHv3VYgcv65EVkY1yzr9cuHWzfa4YLJ2RHsv3YWsOxyuhrvL3KrcO6cp6A
59NU4755vUpToYivT4jVaG1e3jl6p+MsBf0pFs4Ypo1VbDRbryFT7Kq/F7zYVZ1IyxGrwPjUe42L
Im5fRVazJO8ShaUP/xSE9qylO6pVxEtio0FBDG3j/+OhPU6ysfZiQd68fmiReqKdcZIlZIj2ndKC
7pAtiRlprQWLPmi2tM2vMiUMoYHxgXGFTAnn4uKO1UANydRy4pNeS8ah0oZqh4/gHhDlFmbyOlS8
Wsq8eLQmxxIkyFEtE75X/1wqWvvBPPoRatvWU98GZEr4bG1s1av0jOcDBgaeDlQxQfjimzKh7NAj
55uq3OR9xhS6OrYRez+LSxmWbt+8FAl6nQH0qh2zo2Xje956v0R/y1jLRXCM61H665gWveMvinr3
bFlV+i5VS/3gj62A4YUdVbyxg28uhuIZWElSp6tLoGesZ2pLnZ7pVJZPVtwPADRj9Vw2Q75xX99a
CkkAIFFrFUz8f/1cyobLnTNzOis3EDvaqQIadWDu+8IuNyLdraVsJjDOH0ELvH1eL6V3tdCTAS/r
bM60+9nQyt+9JYedN1tb5PHrkIMqjWOg3gdLB/e39f//62uVkElnrh1M0XR6Qj23hWNNyaGIpwLk
gb/s3z7sfyr010Gc9ZAEtVBEpEK6VALr+nzOksnNzhS+/kfZ1XGolhj/MFrGezmOKLf0rnUY82Te
JXSXH4QYsf4oDGtDuPD6NqGHgFcgFRPSBFcdfbcEKywkPyQG3v4cNA7Ddxc1OYuWW2QrFDyylmZy
W0tnI5M2rmBlnNC/l774vFpdlI4c5+LcLrqOMMjYi8HZA9kuHhdkl9pQ0IOXIYMrLL8ro7POI4wx
cR7LWD/0XMwDb68F+bbxba7Ah/wuJLygfzuEkCutSjUiOy2BNp3Nek5hQffucdCW7JBLhUBbVYp7
S/b5bpDS56N16TFvpq2k/9bW5y5ATIVZz7WeZG8bvamxR87F4HhRXHf6N2McB0YcubXxHW5tfQYo
EE+4As0rEwipJzTCkYE8F2L5ElRJrUe+mSBI1AvvQ43230YAuXHboogIOBeCD/uNjtrrs2altmxJ
HNNznI/lwUwNNCmzubLCEQLCrrFixvAdcasBufLOaVFZlWnQbTSWbj01mQzoVoTSDMgWr39EX3h+
3Sf429JH9r/r3eC+kzOcathA/b1NBrdFo7y5IO8XQgmOHkjhv17QM/I8Lhm043DH1nJA776ftby6
9yYtfSlhs21s41uXLoWOi94vBdaVd1JDw9cSfp6dq7FBCn+aVCRrxTyqHvMZMToZ77rctt6/fXhu
PiVEcs41g2v20+unTBMy/1wm2bkLpPqmgGOFtZbmT5NDb9pMsi1d2Vu3PANRQhcuxRAFLmKI2XaA
4Go/PXutu4Qlch1Ho5LfZhd+SxBXDOVolEQz+nYho4Hfbz/srZ1Mc8vwEIkgVFz5wziyATocNGs1
oldDuM6j1MEAf88dMrjLoZLGeDY70zskspge4a5Y72u5pN7p7R+yPuXFbUJfgPkGk2Gulcvby20d
lZZqTM4lA/6w9N30g5i0LVD4zVWoMhmpoy7jXxa1NPBRxUC76TxnrfUb9MKntlb2l7cf5U9edvks
dLOIen/a7JcSktbkOkBb0aTTa20B7hmsBtfZkoGS0YXAi2ql5+p+6n3l5ELdVLMCQVJL/KDCEqwr
qN80XrpwDtiMoVGLEfEMVzX1rkhbZ9iNtcSuQTVFoW1d6taNz2CB4iaImiQFl6lRSZ4dZJVBKe7a
YJq0KV0ecpX2/hHlNVu/y+nDQsp1zeFrUunSAUij9HsjLsSPZBjjBxdprGpHLtCojUzqxrFElRg6
NcRgKKmX6cYE566sHQ0bGC2ZDqodrEOK+91vs2z0F1Uvw0Z0vbVVyFygfKyTe0wdXocBtoqnyYyD
YeIkf2aEadfhiOv189ub5Q/e4HKzcEfSCkDrl9vkItz4GmUZupXJGf5V6YeTaaU/UvDcn/rFbNkJ
6LEZEWaiyQ8TkI561EAN3dlj3cloASLQP1lzU3h7k4HhFGHIrL6lHsBf4NAmoGvPKf0u9DU5f+2s
yvvZyXzQj4bixO9cP2+rMF6q6kPjx0C6QbbN/nA3MUwP9s3Y9JgzYhzth4uOHfdhUgzowdT4CFbM
dtPc48cTJOEkjeJDPUMLetTTfBQIp45JdzRNMX1Hkqgv/h1SHOXDHgE1b98LUqS9OZpt8mHjTd7Y
uuS/pk1GShfuMtX2TPq5yzzgqa0D89LbwH2a+r6+e3uVG3cSxDECJtGK5thlnJJB1pi+j1KyQF3i
Hk58e+/WWQ8xuqie8Av+FDSx8fXtNW9kUpRF1CrwSHR0xS624iAFkM6GrT/ngYhUZVenFtV2CF5L
thEAbp0y9joiJX+IeJehi0s/LxkNI9nTNr9E4Eu+aTF/yOwleBcnQT3+91MNRZqewXoBothyUeLO
sZ9APqwQ9Y+tGcvjDpH/Q1siLhgmmtWpCINkPf/09vu88ZBcatgCr/xUensX79NASLydR1RDhkwz
9stk/gShDlwDKOSxgsS7EUlufD7Ep9GCgHFJYL3U1W29rMdSFEXhsYMiE6pkjd7828zBm8zKN77g
jbiF/RKdW+7JP7nh67iV2JZI9HZ1bGjaAb2blYFEUNmo1m+8QhQKcK4CCUdn4ioBtrFNFy6C6J2O
7PGhNelOfHCnIMW0LOiWZi+6JnF3b3+3Gy/yj6cHtSbtWuBbrx9tzqXTaybS6O1ktztfLtqhEGBm
Cordjbd4Yyno7JDpGWdiQn+pwl72cw60ysBiopXNwaN8fZTCQmW0LTcDl3njk61pLsULgpck1xeH
AB1NRIsWqzx7VRYgYYrcaBC5i+7IkNFUxxCeMvJXN3rZ9ww8Bkhu5jUFxqql/Q+D1/aRiCvQiet0
u96Lwiz57knqH0DjGJ/1kcQauNFK5AiaEVdPbRp6Jj6m/tvyEwD3eZNPH3wAudnGxr/1XCRZKESA
t4OxcVEv2AqeUKK04iyyoNu5nK9d7DdiIyLfWsVnzoNEHM0PisDXu8LmJnIUQjxnx17KOzH5gIGt
easXdmsVaOAMuElQST/We+Gv7sqcGEnmW7KEHSOGhwwn1ahvBrWx7bZWudgJY8sywKLKc+Yg/m8p
Nz2YbqtvrHJrc6/hCM1PnK2Bs75+Fgz1kL/FDvIMvltDAod+EYrZzcHWl2EjTqw/+HV2s84ZibIY
WDAbu/w4+Dyovl/y4mzESdZFVBPdPgbk+F6CnE12KIt6h9rU7yyv+M8iAbTeuTaZllBToQd3sfsC
8kJXV3ZxXmq7PjsJQCLLlvMZ+N68UbzcekqQHQywkNuj23fx2dK2rWqq7vKM9MFQHdM+78dD54F5
Bh6G5f0v05OGDWbPihGkmrHMfjsw3lwfZXhY2WSSsIhef9CsKybDNXnLg3Dqe3uZkif6pzowTCe9
q1KVP2E8qx/wgN0S4LreSrzkADAtSRHD3curdDAR/sLZjZUXZOuY3Ov+TweP5iT0TbG1b69PBxUy
xw9uKUte5UGoJZdjX2I+jpQKhsTxnD7gpTse336Z1xkeGBYkaYlbKJdDVHn9MhnJT8x5ayzOMzyc
oilVTrXTYZw3oYxbYmubDvGjS+Nla2h0o6XK0kiZIRxD244P+nrpTk/qsbeK6tzY9fwJ4IB6LMvc
1fdVYtS/0sGRL0NfeztVOPDgLC1BRLIuGwjw/lRsFUC3Pi1tu1XObe0uuRdxNcEDLc/SuKS3KT62
aeWdUic1d/iEpx//+xsHgLf6Oq154GXHxWpncxjdtDrjJVeeJLSyl1lTYxigFfmxQ+b04OFbtDF0
vtH5QFoAlZ51ELDq515851629G6rpDrXshGH2U20XWM46nmi07wbPfP3/0g7j924la5dXxEB5jBl
R1GWLWd7Twjb+3Mx53z1/1M+E4tNNKF9Jp4IcDXJqlUrvAFip3dJm64/ZFlboLDr7Cmcbm1ovjQ7
jb6JrFtefu9YGcM4W5w0aGiQX/raNQ4oX3k74X7zSUElYP6EdsPtxFkxXaGpoZUGk9dk7w2Q5oAs
9cmDUKVVkt08j/ObEpbKybXjvIRSaI+fFz0EoX7/Q99mjSRt6IfxxqGK30SLUB87s9fSLIAsDdq8
MpzxZ5XCxfbrcRLo2qb/5TAzPSMoA96SY6yXb7jpQYr35AUBpt8mgjdcro9jy9D/kI5Ixfh9KlmJ
jT401s6zbn3bv1eWf/8rYaD9rdVWm2SBWyrLW3Os7QAueLPT+d5chWqXFgVzOoj3L1cB51yJHMl+
kAqeVQQg8yAWhbHo99Cjm58O0AlyyKqKJdzqtETqSLXhccWFpl6fgRCbVvxT7z39gCJOtVMVboRg
ogFxkB6sLA1Xoafv1Ek4qQGLfASV/4k5SfpVjwdbf5faTnixoqx8UFXA/6/enlK+Ch0toFvgJVef
rDNnkym1FQdZ2yMIMSxUB4cwoQUW62n7qBf98Hx/xdverwPwia4vUZ/0f40cwohpwJeDXjM0D7rr
/liPev3GVTqlPeUuwPBF1QfjXBdxFiGNxu1zzkfRmZ/u/4yNj4tYGX0LuqKSYLD6uEOb6ylLQ5fA
wuwJE+ryWOnNgLFNKd5ETr8nJb4xN+O5kSfWaJLacOhWgW8gIDIaGVhQyplkUVgdh3g23zTu0l0a
x66PMOuaQzPrLTRZ1MX7In1MFaF9J60bdj771m6T9y7oKgneWt+6sZf0pkljJyijlI5m1kN6OVut
N3+pGzc+Dr3ZgmnXxJ5uj3zIVW4M7InGHxrXAK3WvQ8xTmOYwpMIhAjzo7kU0iLiDB/EsuPhzdB5
z0biFDvX3kbAIElFZ0n2BiiaVnscoBAIhsFjVKaGzsmuOuett5R77q0buYNUPULRDxKbVGh9GZYi
T889CqU4SCwlPmCn2JwXbQ6Pc44c2/29u7UU2FG5i6Sb2LqlXwBoKZ2lSAIPQqt9qLtmGfy088IM
3oa5xzTcOiloZsFao8EvPehePlit4AveRkoiRcd6iPugWzoABFfsf35CvdmrOjeXAxCBci+JCrf3
y+VEghRJ3OhJoLd5/cCYG0nr0WgfKBFRtAutdif33XqZNOFkO5qK/QYRBwcbtQWF9QakBIIITXS0
cwvvWCIldnr9dyO7Bg1KnKc7sHqTmTbNSjxpSaDkJCXVUuindGq1r50R1sf7S93ueeSxQDqzO4hv
SNC9fIstKiJeUk1pEMLafZCV50nvMDC+v8pGmsUyiP1IUMRGzwjTPJuNr7NM42UHKPTpRZYzp8oT
7iXKDPe59ob64ixx4sPZMWEbNq/2TTDkb5CKdVT22k0lOiXd1KszGaVl9WwYovh1QiPlDeR0/TBW
GND4xPPSjxUhTtMMCfj+S7iNaaxvkYswHKcOXbfH1U7YiJu45CM6Ug2+bTePqds2J8F8D5AvHKGh
Wub3nZPG5/srb35kDiYtNDiW7MeXH7nT2r5J3Jy3n0fdaUni8tIWpvHqXfunMc60VAJN8Gd8uQoS
0AUUqZbni5TwIA040FDXnKNom1fzRviUmop+FK1OkA3rXcs2xpKlq1gq7Mrr6DjdubPwTHLw4MDp
dFLPoCjHs9W11p6r6i16Xa5Nna1TlaEvvK7I2trsNIU2RlAPBUIPpZn8ygcL9K+cRAwXWpOxdcki
JX5i8lbVV69z4hMXQX9EsSH+1C4RWJO2eX1Lh58l2ezS5PAW5yGMYSgUwyIvFHY9g9xKwg+Qw6b2
qDQNoOHX7yh8AIGP46Hg2OsdNYkK2mxKMMSyAWjHOAv3U+127Z6K+NaZYQZsAojFCufmSo5R5u4W
1Bap+nuoAklZpZ/dQV+Ghx7rv0fI4NT22InD5sMSJdypIP4IKr9MQ3ipHFWSELYvQ4qXWxoGaFZ1
COwEmDTU6QcdnZiOYZ1YxFHToSZ/zadqsCI0mOORt5CMOgI0INkMX9dmasjYRbLmoKC4XqIvATLw
OFmt28KjXNpv3aRXuN/01XBt5zm0z9h4TPEVvpsRonZlRnvs8tsbjKE1kFuXcoi9u+5tWk4c5ogB
JkGj6nmQp9N07Fwru3aLsbc/NgM+2HGOCbw9WmDyw/5V4ukhIiXtMCRBBJjqXTmYRgYFssxOcwVD
E5Ga6clFEQa3zzj/n9tBBbW05vW2mDywnNhxhWLJsn7gBCMlYVkjgALRdW+nZVAOTp47O3FvK7qS
oxoYOpP53DRLkiyKig4NNd5oDWHGaZQr9GF3r0Gw9fVYA/VvPh4ysqs3Ck1+KDV7ZrraaPYxglV8
aDs8lr1MODtqvbepFQ0IkHEmdCBLVj8vPx5Be8RKciTLWaruSet07SEzaVlOgzYcF8Od/0t6AFaS
qRl9Lro4q3OGqh1i00ZMdbkY6k9TMWds/JxiMB8zqJnasaEZXiPfibmw7xVp6TzHfeG+U9MO09H7
kW3rNSN9KtucJEQ3lQc9W6G4kHKDCFvPo2s2YRChQ3xO8tcrPnKToIQM4UqekxtAiQmKBPtmYL0l
WMHhiGp9qz2N1eweQm1g7nv/wbY+KnUlrVM+6C1IJMojEh0lpaTqrOIwAWl6FAnYAy8OzV+AMPfg
vZshAHyIFOuQfdJ1p0KvSjRMDd6kHY565lcCRzijQ+HsOrcAEg5jSfcgdCrxaS6ipD5VYSOu6VQZ
e/2ZjU8KgEw2/1ENMcm/Xm7nlrcyGolFXTcu0yHXFvwJgVsl16EY650rY3Mtgiv1AaNYxiwv19Kz
nk8twigA3qxfbS9pTp6DA26qQUK5/0E34g6jXvpNrMIIff1+xdiYEcbfbJ9yQR8pb6tziGrNzipb
d+AfKqlLN4ar8M9n/iuSG0jnoSgB0t0WbW/6aKRNv7REaP8AbHLfouBbIq42hnrx2JdDxWVoMPH+
gXJB4p2yyKg+Y4Wh9iezVspriSITWgIVFk+aj05X5p40cxzaQ0LljdhR7OLaCdnYOZnoC3qvP9pA
YCiGqb0R6F1nbmaJnJpZMnNVbCM9WLWr+Vku0muKgMBORNs4bCxF6OTaAYO67pvkQ4zG0xhnGFLO
RFCl79xDAx3pe4xx5Nkww1nbOd5bGw9ODaQhUmLCitwtf32mqFv0Zc7JvmHrzk99a7qXWhHdAyM9
b6ec2EjKNEb/NB9JNqmmVjdRNZfLAK2PKZAULlIKL3lYmtQuL7x88wnKnBMw16zPVQ/PcOcbbm16
ihhpvcCZvimiJpEA3chZO0az6zQDxjx1VtztPOHWy4QOi8cDX5CO0OpllsaghZ2cpnl1XtsodblW
oI9K8ttGMnKnr7C1VSTkBvgeTbYbJICmJEmit10WJLmdnJD/rB4nRXyooB8fC8cdd9i3W8sBo5Cp
u5RvXl+1Y9xBuQdOF6DuZh5bbpsvApkYXzGH9JIb1t4Aa+tV0jImB0M5icH6arNYceo0WHJlwZJ3
GooeY3hkSxbHwlBePzJyCe+MP2WufouBoV5BVguUVqBiPv2oVUN9SkS+N1DefCCowQxNAElBJXh5
0IBX973p0ubqZuEcJnqzb3ElNP1FMZvP9yP8bfeVB4KKAxOcnvtNqzAdStBRVZYGLhJ1Z4W4yAws
ct8Bnc0v6CClD1kdqq/ugrIoghbky8RJPtnL5ytA8NW1SAkkNamyJbSBu6z69/6Tbe1CSCn0Jcm0
GHvJJ/8rWk15NTc6lNnAAMWLaXyD+AMK8GJGrUlBpvD/b7XVHjTrouVa6GndlbH1psryH0mdps8d
R+9QtXN6ur/c1g4BzEauTpsHV6XVcp4+w6vA5ziYB3gGPZCDgxLBPhUlJ+D+UpvvEVAyUD0ETG5S
SM8FnJdMbEZTUbxzbOjZVW8FckNJrJ6aCGHv++vJzb0qiOW+R4sQlPEt7c7QF88pXBovXqplZ1L5
KgiVNL7eX2XrBZI74TgsdfRvMpvKbFFq6ss0sN3BO1nQcE8zncqr6PXmP3wrJgxUqIxbSBJX38ql
ZZyNeIUFItHjMyqpkXFUMLk+jaAg853Ftr4W2ni8PFoJBPxVXVWKxWkQVEWQM1IhKWrReIidpgjU
hXmddHrYuSy34oc0uUS+ArGFm8sS1AnMk4JrbPby4nOTdy3+oGV8jqtW/axifH3SY9R87n+8jUVJ
ErlhqIT5eussi32YN6nsk/MC2qDMojn3kfzsMJ7rxMFWcns+9E377T+sSoz05FTltmWOhBccUwdx
7bYYnGNMBX3JGBGdsyZyHp1eK87LUmqv36eAe6BKAqmWvfrV96wGbxmqpGFRTGre9sUSfcDxPT3m
CEHtgMU2jgR1P90o+EXUFuvmse5EiPCFIgkQZNPcc2hn9TuRgpx8KG1Km51vuLFRiScS+wErkstg
VcUg7FRnRhRSjyND8k8d1eFl6Ov2YsWjghJ2nY07l87WpmEIQYkmudo3sGNe4oLG38QwR0mUQxx7
w0E3I3E1In04IyfZoNeOxNr9PSPP9iqYyXJAjnX/JESrz6fXbj/YYRkHdaFVz442vaWMRQXPceqD
E9XxZRbFhLhe+x9yIrkm5QGanLd9Ka1okFd3+ZiNIlrkTTQTff18hMU02Hb4H76lBK3T9idu37Sn
Zp2UoczUODDsEsXIOoFmcKiMKqIZVkKpekZ4Jd8zs9i4J7gAuddtviVswFVYDbs6lxkvdDg5a7GR
r3tyxS7CbmsV1CMpsMj4iOGrD5jYqHH32JYHdW5Vx3SW7cZq2JM13YCecd4Y+eGSIElY64dJRDZW
liOBfBpJxGGg7vvm1ZXy3HAMk0OKakXht0WNXo0GE+goBGqWxyUGaKIih7TTYdj+ORKcKoG9tKZX
h5PBCPKGaNUGswHWQwxlfiiKIX+jLYX9tdLK6hv2gL2f4Ox6RUU7OqL73j2JqRQ74W/7l9BZVSlb
NihjkTdlnFyNgjpLreYwo/n9xkqUmC1tZ17QhqJ722iNeZ5La343VpH6FDVz7PrW0r2e5wpIQ/XY
DsyfpZDby4zSiyJ7KUp6vU0a/crQnKFqS1q/qD39gppzvRM7trYeWReRn7B/ixMWWQsExbJJKbVk
+WA5dfouAqqwc3Y3oj4GymhxGKg43KI6Ed+wZzEbIgB8Np5aw/01t+hxkipXO/fLRiyE8U+Q4BhJ
3rZ83r8ScpxX3MnBDRtP3rL6gax/Mj3kLsrxmOzgOdpGCPPT2YnGU+9OtnJ5dSSGLkHvF1Y2oWo9
8BaLi6Qh7YpAoffKABi4TVK35Vlrpuia1qZ9aewcOR8C2c533HrDtCGZ6ROIuVtXgaoXQpvnLKfV
rabzKXEU9xg5YXqhU1XuZH+3gCYJHgAeARWfkLjeoSi5EIXbUQTp0nYBSqwoa0uNcBThpk+OgxVW
UZrzxYlGA4lZW3s9S5ACXF4C3DgE5nX2GbbJOA3yE89DeoKhspyXboFn07Vov9fRzovduNGJmPxM
qAe0eddlpOMspYg03JWLxEONSbGGN66DhUqjNvMxZW57ikZVfLq/jzYYg5IB6UAYIQekfb+KAi2Z
dykybgS8YpLptAiHqbC92Hl+WuqyLvwBtNiIU1RaavCGR/tDYnURFHzLDgeMgCvtq6aJ+gTZcvyt
jlFWH/U0a+FaIZ+Ld0goMnjWeh3jJkJ77DIsk3gfa1OHcRJym49hmSJEjyyHSM5d05bfEI/W5gu1
FLq0DOG7H4yL6ujMsKv5MhlLbPLR3Sk6zpkXu9fCsuf4mGuifC6gB/bHvu287BftcYo7tBwQout6
U1wx3BLaV13v5k85Q+49pMRGMMC6C2oK411e5nqSn5a5BsExjgIrC+tLPoXiPPR4l6B8m/wvqRjI
IEkdQcaJ1Z0rZWPXQEeQtnBM93XSspdhKAq1uilGhlx6FZVBo1WwNzEYek/XA32MQTSHrE33sPMb
B5P8HR49EtSgnde5dZ2pxtJ7sCPzXlQnD8+lYxp3xddaNzJUerLqMoliOLQO+LNhKvfsijeuEroF
HiwBYEwSPPHymUtnSFJooSRoaOE+tLETn9VsaXaUQLZWodMCiI88hqnTKsBX+TS73pzKEdtQYk3h
zgNKz8W0017cXoZxhGxHwDhdp2TtwvUQgV60xqXI/XwW+Y8iKtOd6LJRoKBtRMAmoP3JMF++MyF1
atj5cVBFnvWEJ4mHqq6BMRWCCcdyXPbm2ZuPRTKLfgykHTbJy/WMcexCryCJLjoFG2W3yz7imr03
a9lexWMOijsp+3H1jewYBSzBVU+/T7Pjo5hV6yAw5NBfn1ZY3PQAv0HpQWddfSQHcUsNJBLiRSO+
wv6AZ+BwKJ0W2vKoAHLfCcq8m1WZhZwZ4zcgpKQW6yo5KjFUy2swc1mRK35TgciOml2hwa2YBcsG
FjBpGaiU1TPZXd9XNQikwBSG8pbj5BwTxN3eLG6KBLUzOUciSnHQtGnPNHMjhWBuzUUHqssCkLiK
WYviwRVLgY1qCwPMuVSzQ7Io/XtYg9/uv8ntlSQqGE4Go8zVLhwj15iaPI8DYVfD99JCMbOFQftp
Aii989G2DhisS/rA5CoeM6OXGz7xBmwPu4WHckvmEI0XdDoWpza2zV3Ufb3/XJuL8c3oB8ttv84V
INy7ipGaUTD2onvyrDjyMXlwz9Wc6qeJd7EzK9s4Z/KxcMiVprWwpl4+XLyYejYaJRI1eTKfSSTm
hwUu6fH+U218LVYhnyV3gwm23hdxl43TrE1R0Ovx8m5CW/xoMw1807fjHopzY/PbYGzILDlht8mW
jZM2ijfMaBm0eGaQqBhZHe2lb6749HhYvdDivDRs0i9evdg7IX/rOYGOQtpgpkRdutoqhVFqkaNl
UYAJbpMeUeXXPobJmFRHNdL31JS3ak7wBCBTmHLS1FyfASUTYWHXdhFkaBietNkIj6k6ZT5S8Mp5
cPTwGmveJwpFE39APIBq2qxHt093juLGloW4ya+QDQ5GhaujiDxsHTaoSAeZXoqHAiWcwwRWHX8o
jyRtSPZylI0vLEmEMsBJjNH6sXW1VMw6dopgNCa1QVokjr6pk6K3R0cLZzKX2H7XppH0oICedX8j
bxwXQH5AR8CqMF5bXxe1O3KZh2YetDkQPz5waD0LtPP3NJQ2kj/AaeR9AP8dKX/+8ljq+dJZCizN
IBsHTBnHAWos9/GpaAH51RG6xG3T5tf/8HB0HMH8IHR6U/iKpEIPDWvAwAzV9jE3m/yhGfFxvL/K
1qNRk8CCpQ0H3kd+3r/Ka3CoZpUqcxEwGbJ+tcOiX0PNSb97VYnA/yCQcjr2Y7qHWd/6cnKkTGPE
Any8pqACUwG+GEYFXfG0P6WNEyO6qY87cLGNAMCkB5oBEyEkHNb9sZDGN9SjDLNYoypVHxiP8b1J
2nLANE/Q2bz/KjdOAg1pTh69ac2+lYzoyNAGJeQkhLbXX11nbJ+YtgzfWk+LiqNjAJ089InSa+Av
56m0LvfX3wIA8wMgQjG6pGBY1yhmqKXsGpcpzjJBTll6M1V9cGLNDywGE2zAa6targNhI/Lxlsn/
xcs2/7JE7fSz7jDYorfcCc1X4FqHO+9m40twY3OEpP/SBuSqBV6OACk/TaClqgp3PjtGZl6pfNSd
17ARAElBmID/iUo3hDAFCL9NDwzXu6aujhaOmG+6HlcC0S7ViVRwLwhtvnYiLUEI6IdkLb48QoqV
CdjFID96L+zetoltPZP71+4ZofTZPceTqiyHVplS9dgi+WwHRmY3H1FbxbXd6RW08Jc8Na5g8JGz
vL8ltl471Y5sB0JLM9a1lVJFY6lN7IgysfJfCparh0xB4iMcLXNHXm9rKanobzLakZnF6rJVdDeb
yDfQJzDi31Zoem/cph/OBs2Hz69/KGZb0FBoQRKRV9F4gjEUxrqVBemc4hunYkPX2gjM5frs7NQj
f0rcVYnApFyCTSnCb1PoRBmsOYrrHAObMPlnLJrlfTfiTeuPqZc+aKNnXmw6MLZvJjnaO25pncaO
9s2rj49HYGHE5kpY5g1WJdEwvUlKIw9qQxvNA8zCPj2CdZOgtllv9mRCb78lhiYqGYQs9yTZ7+WO
LtN+cNUIdLkjw2aZztmX2bZ/IPRqvPqSk9YpUhuGGTcjp9WuGbjVixBfu0DHPMG31HB5qMtsD39z
e8mxCjpMqFp6JCvrwEibfDQGN2Ywgf7uZ/aJeiWJS38Z4O0cX43s/jSoaMzvfLXbSAQcDG82Ah+4
vpueUcqdjSXVhCjhYmcfUQLWYTSX7Vt7NmtxGYxY08/3j8bttcqKFLP05OEF3MCVnbKhQLPMOBgx
CD7SG8iPSuVoOxF263WyK2BZSBzETdqFWdmQtYzrg7bOxLXBl+005737Nu7xiaIU6D5KOc/XH0XG
9gjl/in8+GeVqUQxhYq2UM3GSaHjwM7Rw4UoOtAonD82KNv+HpmWPmh9k50RIRR+BWe82PmkWy+Y
KAcQSU5zSApfnozKNUfeCcMcOun5JcS595HkZa8Nctv3Y2gIL5JOFQ4rN2EbfMeseRGwoEpR5v4y
x6Z3Vbi8PwkdLb+z3g2qCv89yj4AwI17DKS85vn1OwmEIZ1WnZ1E3Hn5oMj2iS7XI7gD4SAecCXW
jiNiuTu9v60TwtEEs0n/Cj+B1fHveck9njN0VV3cbuZ86p/TRkcPXYifSQbY5f5DbcU16WBIDwub
jxuEXIGKiwbtAgy0RnBTcNHwYyvCshjZsZ2NsnVG8A3UJEJOlmOrjTLkusH2c4B2R1l17D0LiDla
pDBMHDuSKsuduC7F3H+5/4QbJG26IpB3JUeZa39d8/azUo1qScEtrHrCrBagzWGaQvWNAPL628rb
pjvAmdculkhnz6dWNMNTvSzuuxqxOsY7hXB/3f9NW2dGflzJwCUrXlekOQqIbjMPUdCOsfEzFW7x
bA6Rs/PCN74t1zT9LiCWQKjXtaDiKjA1GkYDroXJoTMiw+Jh0vRkN+qeZP6fW+llVsCHRQKPAMi4
ilnSy8NBLYzklEdgT9I4a/CLzes3dT7ms78YdQtGIxWWOAgHWa9zwhX6ScX4T/xscCGFPaK3Xwe7
6t+pXZc3+ODVg3FxHbY8Lbpusf0lKk3NR8LRYAYzgYo9u51nnYqkrtqL0qvVqWpdM6OdUMffOsMb
54PRDswBtGkBveVpcekcFvC6hj9pSjvsRP+Nzyklu+iXokSl38zPEJ0m11NAUEyl9wkTahsjvqTZ
KUu3viYzSYQr6GwzYJY/4q+yVBiZ3qUdXpCQi7qjZejMBPSlfrSGUT3f354bMQhwLpgQ+SlvqyY9
Squ5lpgXc1Q1NOWX8d3Y6dGTsyz6j0Kdhp2NurmenHWyTzeEvAanQDLf4Y5WMkQS49j+hg5ndh3o
Xr5DwdfduTe3Phe6HNSF1FK3LAml8nCLiiN06hq1Zz6nTScY6nsGrVvfi+dBi5hO222TuxaL1pYw
L4NpzpJHrberY6no2gFqWLVT1MvIuTp8UjKcBEBKh3NDvdwaJXqMuJAAcIgaa/6VojV56JnfX6ce
4+lKcZM3jhFGz13SjMf7O2XjIVFNpJ6SU3na+frLlbVOY7hoIE7m0Qayzuh6pm/jPGm+Z4nS/XN/
rY1dAkiJPgKML17pWmXIbowZaWVJJ1DnGDP6pcTG2mRmXKSt0vhNYeo7BdzGRtG5h3mtdEwYwqye
LjWMpcASPg+WSCkP9lAYF+k5c7r/XFvvEDoB7QnZeb5xKLIVC07iEudB05p0uEUUBzF6GgdAaXtS
HVtLkUMB4ya/oFe+2ijoXvX4YyZ5gA7X8mNQZ4FLGRLB32I4ev/ef6yN6x5BGEA3FtNSLvzVWgPB
2UwslUJbH7GMnca5OYR5q3+MQz0u/EnXStRSy2wnFm8vSxMNg14srtdhspfs5Aqnu6Bxp6L3e8JK
5Q9RZp2iyVSsQ4NqWTCrozde7z/v1ruVavr0JmlY3+BiZk7J/6MRjVNvH2OsgD8VhoHV7KTqH16/
lGy60leXbMR1JqWklj6lucNV0BUWijMIzPtOZWI3PRrAHe4vthVcuG9A4YK9uVWdGDvNmHMbPw51
tOyvbTZp6NsarYMdY2M9JEtlXDXYQ09JkZh7pOCtd0qLGXoWL9V01lafJsjZ2ezIKiwX2gtG9stJ
reP6HMeu2DnrW9Hl76VkLPjres36ETvhSWNq7ObJuUjc9jxye/xejBjPoToKXz9qBQFtAKCSzT9J
rni5oKG0NebZuBD02vg7NofwTdbGe2At7hn+m9XdIC86tgutIXpxqxiGEErMmAHQVFhFlvkJJ1l3
KX3Y8gq83F5Xz9kSt44fhnraHRDTsfpDhII/5TLEEqxXiiI/OFqvzBe7du3qMAtLfY/LjfHVaXPh
+DBrkgY/gXyyjqqZtfbzvKTN7xSKUuK7buN9EqlVFFfPRm7iYri1Jk5tVJStryDQHWSapnRHL09D
9RAV0/jbVgsXB5bSVb9pduHpRwFK8v0wjOGHdLCX9jTmelEdbX1CwN1LxPBGmby2O9deYnxzC2Ua
jmbaixr/YWPJjxljGu/YWvXQ+6VaK0qg4Ar+dtKNyn6oxh6s+6gAuT940Fx/WS2F5YeQThsxI7RT
7aJXTQv9cV7o0w5Izh3muEyzAxbvzuTPVsdIfgG2ONmUakX7FsJRhkVL5mYV2UU5/cwRHEThmt4S
yJRCTF8mMaWfiVLO8q71HOZSPlj/zPoXsckJKYhWi763SR2PD3llepd8gDPyoOhjK05k89jJGqmK
r3yoZql9UnNh4iJhCt0grsX4QpdGEr9dwAtkR7ye2v8RPSYbY3jsik9CURpwUWNSDJ+TmSLnuGBL
WzwvZd1+rJLafkJeT+T+Yo9T8zzbVVT5WWMv31wr9X6N9jKfvQkPK7+PEfq5KprdOJdCrXMUDsdh
eNunhZ4+je04jD78U+EeqStH0vvcSsVxyQe4o6k3mstVxRtP+ELl1jsh0+9kR23uzeZQjTbOhhW9
qfaaqoOWY+Bd1eax6bz4sZjHtvdhg3rf0CAb3UM3Fdbn2rPwEncA67hPujKOgVVpI7biHF3toHLR
4FwelXON7IObmzH2Jm2u+Z0HcwqiTzV2R2yqi/pBSyNsUSsui9p3B9H9W5vI/PlhhokzdnVMnA9t
PefqY9Ut1pdeCSMAYFZSHLK+QFTRTplR+zMoN/E8UEy2fu7atfKlmBrdPgjo1YFStctHI0Hk/rlQ
q2zxydmSgU3pzcPDhAX552Furc43q874WtX6op0RWrXL370y6PiWYqax10DauCupC+n/Mckj71hX
xlU6CRh/EDGsPjeeAeKGn7zac3/l1OYf61b7t5mqeec6uQnpkoCBBBQXJMnOjVJ6m7qjU8MgwE5n
jg+txNpVsZKcZsX6ef/iumkZ0eFHrZmSFG1M1lolIBNtfdUanTywWz377k5e/l4YnQ3myEu6bxX6
nJc+bUtO3jx9Aa+bVKf7P+DmURk5UUfRfiRdZZS4ivBTMrVLNtboRtde+X6KphmHxnCkbGvS839Z
Cu0MoN1cKWuURDIUhfBUiIDhCF8zL8QCPaGyzroS7tlUyV+9vlDI5hgdomBzy1GIcUJvsZhm3luP
9b/SreuX1jMpe/0DSW1cbkipGbTuKooYbTfA/FRPxsCxbZYp8Q6um1g/pHzssrMpty5JCl6MT4Hc
SXDxy7vY7Cpj9goKqBSm/hsvNsbLwIB4utjGRNpae/H0YA6FdipVbdo7hVvbxKSJy5yNadBNx6+o
Ad/RIuIUtlhH5p3ZqL7Oug+F0nWvV8MFRAMuAF1eoGs3cJrCjtUuWuij6hqc/1QnRLnddGkxI9l5
p3+Qpy82ioQuclXyRvGtvalrdFuxSyRZGWgnWTIeZcP0cW689udiFu7/7MjkvlJzN9V9jOqLp9Ru
IvdpNitDOXaR4mbncMri72pYqIxsRwrb+zvs5pvLn4fdGkwEZqM3OwzLztnErjQPorApDoVucI+0
y2gcs8r7MQjHOLnulB3CsNgjUN2kmqxMpQC6XEJIkel8udtKLY5GUfc5ZUg4nRSjyE9ZVQ0XK3WW
N3pszXv9lZsdJhek4pP0XaqGdSREergO64gFCwV9+XJWJ45V9QFKSrbTpPoTaNYfHRYthQmDSFqC
8q3/lUbjejOD0HWYROpLOPj6KEBsT/poiaNpdA33Yli7pU/GIlmVdVEjaTsnzT96mpTvVUycPulW
bM7HZYYRfx16xLL9Irba6Gp4tfM5b1t7xAiiSv8BLpB9z/QQ7NI88XinQS+15TTWxvKrmBTEPqsh
BNyA4KqWYZ3XNPoX9nzf+Um7TMP7JqJTd3JaSKVM2WDY+6Q9Nk01UHrfayGsyacccOIDDqOJ53MV
Dp0vStxf3hK20o8NMlChr83u+PX+xrwJsHwteIP0rFHAgx+pv3yFRRHZU1Qgax/zrCd7CbvPVqyk
r8XVyVXogjHOhIFzEwhUJ8H9Ss3yQM06nTgXK09NXu+pWt5CwFiG+RTxiyLkdjoUJ0lmZ2BKg8UJ
40uWheOJfEc9TnHS8/218BBluvkuirsYlzlr+SdqHOPdyNz6eP+t3uQ68ocwBiTzg0QIC+rlW7XH
UKWTxdw/Ts35hBkRwV5pmU2rxnRMXYU9SXDcOQ5bMYblOAom/qM31DpOmrdI4Ak9EFH8T1j58JAo
wnV86kvnHJql+Q/8sOQpRJR7j1C8dejR85HIbvAHZMAvH5itVXHIqiKw+3l8bNRsAG8WYo02eMPO
ZGxzKUSOaamy2g0HPFEqyj0JXUKM2qXBqQiYKogFTOni7iQ6G5/RVRmwospKU+4GWUIVIYwZvZ5g
br3yMptpFVSpY580Rg2Hqo7KR9UJi51FN56PhhLqMOAmmSCtk5HGqG0y8yUPkNru/jFwpLzETd/1
fqwvzh6yTtu4HuiXIRVEO3zD9JLGGRXEwKZpKBv9ZrC0B7tpcr9sM8QJ41n1gesnpybt3d8jo8Jj
FYO5S221vSaQaC5KsVgPdME6qVa5+GGt7qkZbWTWjHvpBiHUpII1XF1gUjlImybuk9hygE8h8JgT
LBGpO2PtUH7CDKj9toAfPk8pGlGobWTz9f5p3nxHckzKkZUTp1WMrF3gLg2ldrDoqf2o9tYzBhUo
c445TCkcTnZyma3lmOvQDGZseSttWNl1sTBxyoPK1ZTPbtkiPGDlKI9WQ3ZanLmbdha8RdnQhoTe
gtkkGKXboWU7VIWX5R2Y1dCu3oIjEqe8qyJ0l6w0+Y430XjO6q5yDkbhzZ/CLhke4DqVOznS1san
5Y4kH1XUrT+oPilZk5uAbHK7jR9z2E/o9g613yl5vBOfN18xzlnUaeRigMdehqs8U5faTcc8cDO7
Ozki9i7opWRXrxLOY7c0zvf7O2jr0ejtmwDjQKTwjC/X06OpGke7hw8rovYfVrKWA8rL5mdrGBpz
53NuPRzbh0PHxAm91dWB6TGbFlhYpWgt4a6dauly0Wq9vpQIkxx6Z4r+w8NRZeOISUuTXSsf/q8s
LNOK1AkXnBIqTsplCYsPgzdNpxhL1C+vf41/rySf/K+VQJVoYiEdCjqGzEdgYSl9L/pu+MfuNUy3
vhj1BNZIkhBprc+83uIC42mUhHNblX4Jju8paztcpWC/ff4PTyUxo3RD4betk4UZ3itmvKCjErXo
gtjhsB9Ll/g2YsOm7JS6cqetUmYJ2TaYGvzRO1u9wpRWmUqXKAn66P84O68duZlzXd+K8Z/Tizls
LPuAZPdMT1aW5oRQZM7FePX7oey9tppsDNfYBgwIsqaGZNVXX3hD2HmDrU23UWXPO6nIpbe3CGuS
mhsXCr+hNWNdAIdFp3rWPiRzlB5GYczHam73WjyXHogCh3KDymqZDZ7viT5z6CfVDOraMEOViHby
DeCdPQTbhdyKjUDyyjXAtHs9BMGA20zGGrcxCJvoospt5Or21J6M3owOkU17Nq779oqEcC9UXXqV
ZOhQOMABbvnkuZmBKuBSQ5YrieFryNM1XajUy8a0PL68ES++Sm44UCIMbDfUhdYcMZmKzOyG9Bq2
8yTQ1OytPXDjxduGbArGFzUx88HVdYq+djS21lJyBE53SNpkplEqR+8mbU6OJJdZ4qKPJA5aOtOp
G7oWw2Kr3OGmbFHD3HkLKwX6AhffJmMNOvQ8KX4yvMSFGh4SNTBHeumJfuwTpAgAldg5rGAJor1b
Fk7TXZVljqJxmuLYSrWd5y5Qgu5Ezr3X9Lq02Yg5/Gb0TLZg7aYPkyJQGQIUwKVvB7NmiGFa0lMe
l9+GYJS/Ooi1PfeMHHZujksbgNBA8UCdtqX3qoFtSppTZTej3Jv3lhjiT0iV7ElTXcqqueUB78BX
w8hj9f0xo1CLtMrzGyu2wu95N4afHUlMrjJCcgdCNLrOmO65u186RjzSosmzAELXQVboWOjYAjkn
Izfk+1yZ8soNHEvoLpAs9dvLB+nSB1wU4HAGsel3r/FJZtPas5yzGL8MlFotHqor9CIC8uMm0q/Q
BIoexloefLrT7U6pvQTwVYBfsMrUl5Dc6fgo5/EwqrIQUU7iIQMl/W2tSD/SMXN+YcUVUQN3fbMz
yrywZ87WW33NJgrU3llG4CJT+swtVDF9c2Y18V9+pReXgQsNj4SUZpODE/6hN0ZaCn+/lO6lGr4y
Q9ydTOZSaEKAAaEhyktFB6x8/vL4mjJzS2zM+kjt+2uEhmglYddu+macmYovmWasuEbRmaobNaIp
XFx24szP8Rt79TgawSrkWwH4Un5yUFY3tWylDcGPnLEu82fNSHERtjvTA3Vavv62xtoECwRiMq4g
69GBHOiNlgiEJrsuLz+K0qZrVZSwA7PJ/A8yg+UjImi5DCo2AN6e4b7WZTTibHQm3lVWajxGSRX4
1thb1y9vmUvtoKUpSKihKcHJX6UG2IAUktmiqma0egf3ZFK7X3lald8aua7uxkQJjkrW1pD48VA7
QKHsT6pWdIqLl522s38vxB92FG69IM9QoXCc8501tU1lSwpJsmpG4aeumRTPGMrmJsvC6fDyc7+8
FECp86VKbI772QEmFU1B7JVdV/uIVuUPkkbh/PJSF0I5vAGUDOnDOAv+5nypVsMMuF0S8ihVwCxZ
8BPGKIlPzijSqxpl9Osp2sNObCMByCXgguxXCjhu8PM1RzWuRVI0tNLHAAe2IDTeUzfKe5rA2zjK
MmxGGkBLXr4u2bQotIzZoZfY9/Z0iMNYu28HqfADqTDv4rbdExK4tJ6KtCGUYDYtHdnzx1LTutRm
hbZPHFWK21ZKcK8OUfqgar0JfgnjnJc/3aXXCOMToAZD2aUHfL5eYY6OaGt4qm3QW+86SUkfhKzU
O6ts9yImURhPMJLUyGjWZVSsU8ubiCLcDKT+39HMDY5pF433mpzuCMVt71xWogBd2NtUN+s6INWZ
Z00R8DkoJdX32cE1ybOEbFzZwchQAN3Sk2Ewe41tDCN3jsGld8maC/WDigdjiPN3CY4DtrEGqK7E
VunUjqNyF4/VHpL00g75YxV19cX0IIrySS3YkYaQn0J1So9VNE1HU+m+SACfr17eIJeWw19xMS8g
I9wgIJOOxByWPFLHUyW8YpCsxMXAIryNza69avk3O/pll74gc1EyXgW42WaCbbaaEgywEm8apR5d
M7KA2KChgNTfGLyTwG7TlOyTLxi7O3tx7Lfl33nWRM8JXBT7Zyn6N/UdeP6Ogiq/GZJJgA2xyKBc
gRu44vXMR95XdaoQRWWQKFrQ3aRjJ92B2sfICjPIT+Rz5lckVtPGtcc8yRGqCvqd/b1lFkDKZZjK
iSWlXCwIzjeZrabGwLABgh9YkLdhWqbHoemD92gY9Xd4Rs/XQLwwsc6wFKlzW3bRbNa8sG/t+6y0
op2D/XtPr98YgB5+I4piovHq1zFk0FCx6GHbQugv3M7Mg8ZLUk2/GfLBbtwuMorYx/wwn47SUFal
b48ogLqxomW2B6xJz107aEzbA8yL83SoiCh+SpKmtTzRJ/iRWfkM9iqObDr8o2hUeecRllO5fgLu
ZHIQQgKw0eUA/NFNimo7KmPHzG8car+DThPp2KEwBCfUbu7VAHUfJ0MobqqGAg3WZk/L9sL5Qv1k
0edfALKbigQTXge/dLW4sftGehzkXhwVIzOumnJyPHpCe3KPF5JbDrOG+iKFCZ30dYTkcElFGGLw
UieOfJrw6fNqQ/ukj05Ze8Y0z9gkVSUIBMja/UNdG/lHeFDja986CF1O2SLSgwLG5l4tCxOfeKaZ
J5xkP9eNnj9BfzeXsatx3VRN/qjNDSgwec4WPJZxejmobRIW5lMLRRhK7qIRvx6u8GAmViGjeXIk
uCAluLFHZkf9PaOH8ZirWJzSPN0jX/+OHmc7DcHsBUDLBWVBRTRWNdloO7OdyIlzcnRkB+801YSk
0g6pnt7qxuh8RG7aRuQp62LXbOz6qe8q2XRxrU8iP0XW65FenixdB87E5HAO0vBdweZ9kE10UWe9
nW/JHtS9+mOzP/mlESVAbJnOLqJbq1qIRvU4ZqVkn/o6+pRgMHelW2F6bKH6e6LV652s9cJy5MUm
hFPA71tOD6aAbbAYpp5QaxzfBlbbekyI8f+eQumbXTfvX7sRIKMCTqCptgh3rjeCbYVyr+P/eiq1
QmOglQbdndarn6Us0J9yRCuvQYKKnSt1kw3hyIHvLJ6vdG51epbnEQdx87qnNnJOgI2mk63XtqdP
qAsOA+KGLz/fJiVhKdp0sOwYJgI0WgW3vivHMGhHtpyJjp9voy4XXutgQH68vM72s0FVgCa0kEF4
oWtFuN7gNNGrsk71kNl+omfSyeqA9wRzHB9FVSs722QTtNGn4rMhqMRMmXbqalcKdbDrXG3tk9GF
zRsnLcV1DaDiOjSq8kYZnd6VrLJ8sEe0zict32ufb+MHMh0UO2jR0dfegFtqPXPkWSjWKdfk4BFp
h+wLY8uOVY3CeEbYkEvZserQf/ktbzcOyyLHxWVBgrRJ1rtGoBoPx+IUWdJ8lYIv9pAXdY5oiSc7
G+fCB4WgSRJG84jRx3rjhHmI6qDWSxx7+QMAbfU0xLJ1xI678PtqzD6+/GQXllvMP5DrAS7OyV+l
EagV5uWii35KzGbIXehe7ZfBTuOHscwR4h+mV+OhQEfAnOMjMtZfJrrnZ3BqIdDRCXBO9lDY76S6
kt0EzcfPwM6Z7ijNr5ef78KGWQQnl9KfsMa+OV+uw++PWlVxTsFS0Q1wbR+mtFMeNcmq3cZRutMs
a93x5UU3mfTyjAgVMOlZ2NrrVBEaCvCUuXFOIted8CrE6axynXyBfcygjNITIo7Ss5EVytcyb8Se
U/E29rA88IxF1W0JQ6tvihZrN5gmobzhoY+TraXXAQ+507W6tAo/HXlW7nEO47Kz/kjf7ETTukDY
zqluav1TjYboTRmHr+47GmwWBj4GoBa4/et2ah62Y+hIkGetuKANL7XqoavSvWz6wvk+W2X1xuxG
10P6/IiqTU57qJ0K3HCgyS5dh71r/cJrAyfMnuRO4OusA3ZYsu31EEVdS8y1r3STetI6O9gJWBdX
4dMA9Vbpf6+5X2NUOYNERs98Np9PypiClQ/nV/sW8nGYVlnMcSBWcCGcbwElVJS8bhB71JLi4yyC
7CpvlNirLXPYyVpp/vKzznM48vQFk4H2HXFxDRlQ83pQxxjL5HawrUerrMPPPfoVj8osR4nbaSkS
Q3ER66M7lDkia+BC1Oxj0RtQ6oO+M0FCRhG4Xn2IrxH0wHFBpyn5GElZ8itVQzggHGngvguTLL2P
TdTD/Cjp5O9yGZmdC1VDfWsJC5BoQVsPZ8mk1+8jO88mN9fpP7spKS0mzhL+Hhao29hzRNyrx0wR
tfqepDyXXQMNnv6A/LhFopnlcuKXNS6BHsavzLomqzSfzDktZGoeycoO0qBzszmdYv/Q7VSuYC+E
3DdpM+pP9tRRG7Xh7MxuNNTz9ECSa9wabYNiZD/a8tdydJJfUaRZb6D4hoE/SOjNuybOJz/1Jive
ZhmSc1cF0f8RjaSg9AfTAn8pd1KqeT2uL58SqSif277LHW8wjNz2s74KBhwwreh9asOs8QX0u4MW
2EN3HXSjeY8jfNG/MWdbe1cZzkgh3gba50RAxKBfry3AnSiVDkOnjaFrIsYoHVMlru/ycWhjb0il
9DlGtSq+LtD+Gl2rVRrniDl2VHi2I9WASGMUHyDBjGiOdapRP2JyptR+MAq18vQsr/XT3KLshKhT
8qlEHL7GhjGC5yLFc1e7Rits0zXTqJd8aGVW5yUl/3FtyageUS6WUr8OYAz7JrmbzJcyJdoQglv4
YWoAQjEwmrRbK7fG5l5S86l904aa/LMoZ0Xz0hrpBbev67l+UoM0vUrMEouNkMaV5AJ4ab5XfOze
G+Y0SLy6LSCO6PZYvpmtcbBcI3Hq5lpS1foXcgRZdGpYku+hwqhxjdhOnCczqVT5se9N+jNUJ+0d
ARcdBeBwFZAsK7O+4pASpTCl+jx5G0AuLXcEK7ancBn1L0xEwvJWFiOwAUbpKCmfuN2NL30YiI9c
Lb3/8v25WQXyIcgrDJbIn7dwnSqaJSbhWKZhD5Q+JKhIPVux4eykshdXIYCRzjHnAeF/Hr3yPpUC
SzLTm574C1ym6W6A9GTXr3wWYiT9BQbuoIEYfa7yHTOuFRlOXnwziXC4VbQ2OBhm0ezU1ZcuMJvb
mFKR/HRD7pm4vEbMXRCH6YbYhxQ1M77vEr8Jhj2noUtL0TagX7MovTElP39tOBsiPxpnSMLPEiZK
FGxgS+L0iuKx3aG6X1iKzBQOOA2uC+MNWW3LwUhq6RQkQvOSusmPVW2Gd5ronT3A0fK1V/cLZCUs
A7iSMTxd3y/CMDGTAwmOMYbeHcxJTg9GaWRfpTzM7gbMEJudRH+z/UiZaFnzrViRwdQqM83gC6tl
XwSn2WpHP8emwq8JTHtty4vLLKOhRcZ/q+AlgFhneMaSppGA+lndOZ7TYOFuoxDimoOqfzf6Jr02
p1zzczMsb/t6+sbhzPxwNovroVI7TzRlv3MsLuTlNK+RqaPkAImwzh4ZLOFjM4f2qTUr/AtCJwLe
X8sHYdnlsz6ZxhVp7B7A5sJ+YlGA4Yt37pYeGxDC5ww09qmj1ewHCIgc+zkEG9BJ1k6g3G4nOtnL
NIRe+qJgvnyWP7LjabbRFjQq9aSEYda5UTgG8cdGhj89FFEbfy2HYE8YYvt0bCdG8wwMmLnS4Dtf
Miwg5I5tr5zicbD9BvHMQ6ACek+Kei9Ag2pfHxcWoaLiv8tDbkAkFZrOk10zWEr03q4P2EabR1UO
A9MTEcoN7jRW1q+0wJH9mGYisV1Zzy37qJVBlXhI+lsfVGZ6oU8HMA78cQghlgIYGrlnS6t0U01t
az/q8DLHjrZUH2M49iPmyiVpHhrBenqU2sF4chpch6+yYhLPGbjtn0qS5h8NZwrVK4cWvXOSQywF
7jRClu7lTKS5UJ1R/WGKxmiP2GgMny0UAqfrCmkg6xDQDvxS4AAUQ17O2vkotCw7zsrQMxJsSsM6
LdTx6qg4yWT7Zo8iyK3UtaQqIYo7um/oWex4sjR0qFVgBRMconIEL6yQIj7nMIdLrDLyOnFVGASG
H9uSUN1Gd5p3bQvrmVTDBtOAwp+leGXQ0WFAG16zkADvm8iVRlEGruSYk+rqWZgqX8a8NEuQ8G0G
WyXVkm9G3MSBRxaQfg8ZienHInacz1JlQ2RxwiK7bRUnaK4aMp3Sy3SzjY4dpPtvaa4E2bEzRvFW
SasuwfwgLke3gJmWuaXWaXfDPA/zrVY5UXjvpJLdewGgrs/GEJsks5GFBnXupPNtJE9D5ttougiv
lxsMzPUuKH8ITGnx9CvRCfSVOEglyNpadWc7Wdp7qMxMupuMofZzzvL8ORVCu8VgpRwOahaOrWtZ
SVhfJ2krX+O8KQu3c3KAIEMh/VBN9A9tpTGep8GRrtNezb51TVt/bgosGiBAvEVAp+yCWL/OAs15
N6XalBzasOziwxINoS+beVK40Zz0P/no9X2idbPyhNK/aR5ste+yN1hg4WTaQ4Fs/FqVpvd9PEI5
yrO+v5KSKdYOepALxBmq2HlE60mqIaEPMYMUcxaH3FaT6FR0WlB6pDzVc5bBjHb1uDHEsXVmOb22
zED/WY6VU/uUjhLQtojMx8+6GRrrmBrBsZbDqvBUoXexX7RdyBaQpbGZ3EEZ27cBXP7FALzU6js5
pHpwRdEalj/IgZa6eA7CPB9nSVybfTY718wnUG8ccYF9rKVI5zSYw9u5DJz7ttTld1PEgPO6CkUW
u3lvZh8YxGUTX1MPm0MtbDu8ai2tfYbbArurgtPYfw3VeVD83KkVyo90MuqrKIYdkMdtk7qzqMvI
ixS7Gny76vPrMVaqxicIq2+FEhnzgyON7ZemNJ1vFqYE0i2W8LK4jaKQGkMK4/J2iMzIPoQiGcD8
jFqmuDAixGOTahmERrjk0tUkIasFyThwPuC8Ng7v0JTiVaoJO5zzSZB/LEkhxDsUQeP2zawWbeh1
GQXuDV9FBVc/i08BcmXGlV7M1fuqbOrZfzkb3Fx7ZLYLpIh5HRicTTZo58h1QzNj6l/H3gjnEUXW
Tj9kcQNBf27NQ1++mkSzLEk0AW68aHWtGWZWyYAQIANY+3wYjiLGK6Nqm8inSdGcrNmK/V5Ppp16
fZN1LIsCMVxUO5nurZPEoip/K1PDDBzb4GOnpvobirs9IbLNjfd7lcWjF7wGPb7VjdcrWoy/cQhv
Yqxzj4mo4sHDr992ermn+rVktWfp4e+l6LIuwl/IPK3uc8odmuFoKd9wrfSxO3QVjidNCn4RpYXA
FZgDAXAqs2OqxeHn/2DT/J5bMRynBbJau4zp5bUdOCoctCyvrYRFk10fD5klUFYY41TyuAjk55dX
vfByATAypmRmQtNljd7K8wjRjWGRwqhi+y7DKdutLSl5RgV1r6t/aSkGJXxAPIn4mKv2G/xfUYzL
y51nPfX6CbltRcsLv8OX4rVdS3rBSKEigkDOuZ07aXbQ6mOG04VaKI8xme9tg/rCTtK9Sf5IjsD0
LIfOQe9zW/MBTC4W9TZE12BrhXLSH2yDgUxcF7rrUMrv1BLbF0iXWV70Dxin05Jd1RKDHGE3L6Dp
hwk7Qkiydov66uyF0J13XuCFZ1tqZV4eqe1WUtnqAwlaLCZ3eVjn13VapIcmE+KqLuXKQ6Fkd3ir
bU4ez0bgooKm2ASzfJ7WArEwTBEP6Y0u4mzyawQeJeyqtexNLiVz81NVUnKjSFMHZrNpND0VI9ZP
fTQpijtNCfo3BpvrurMWq+aXj8g2yhHCYWxxNhd15HVQCPQo7yMdP2Eps1vcrJTgTRt03dv/ZBVg
8nxgpm9rUR9Ha2iHpDadz06tfAmx7Qcylv7Hy6tstxAHYwFvLXphzJ9WQcYQsN24PVB6aKMA68Qg
dBH2jt6Lbmx2sP+XlsIkkUBKXx/trtVSQYppQQp/4iYQanI/jZnxJsjnYXRFOg7xztHYfqPFK5Ue
D2NmUKhrlAlUWM0JB+ROVTOVvUGL4qOmNHv8lAuPxP2zSJ9xEyE+vGqKTGY6l7TyE2x1pee0LXJ/
lHL1hBDpsLMbtithT7rAIpnBIrew7uz3XW10VYFsnG6U811QTz8ya8K1PdZe7Za97Dhovsv9zQxr
PaLXk2Fu0SlN0WuHSdwXdGghtEmuGlV72JjNVHlZioehGQcseQNKEQC7ZDShuV1LRBrDrrG+ONBO
jxlSm5/K0jQ/8Mj9qYpDGLgSWLSdan3LRll+AVCL9OqYauPjex5k+t4yyrLiBpqEVY9XeRGbjqvV
slMdrCooAldjWGe9abBc/GmLSkl94TBywN8zQKcgS22EbURkWm6oSMaryd38cgxYAO0QALZOGChe
OVpr0KjUw0S5qWZTv6IrL12VuHzuRLRL+SntEZXJLEpsbOjz94C800Rax4fAfheCb65kD2Zhpu4w
gANxo4BRQNnOe7iMS58f1Cjwk2VouqEYCywD0FxHOx+zdOOA1gKRfKjNK416/EowmvuA8PXspUN0
pUR73k3bC42UDpsRWmRgjTdB3NIGjP8q8pxaMsoPGKdJboiepRvkWpq6WOjIO13NS+8YSDMELzAo
9P+Wt/FHawjzQjmQBCSH0TCCj30USh62OYGbiiG/76pkXvoe1U5Cvg0bPOX/LEpCd74oDH1CZBKT
YqFXfmUgEn471AudvN6VR78QccE9gJFcAi9E4tUeAghcdzb03pt+VGmG0Nt9lIN07xJZfso6IV8M
NRbFzkVMc/msf7xFLeogSwc8EFMy9S1ut/mx7Y3CQ0BLV9xyzM2rJBo+S0q7Nze4sFsRKwJswy0J
TnZTUNXAKetpCm/qVO2/hchfzazXKAz3VUC7LsJhTv2mKizruzYVcnOLjmmyhw6+8JJV6Cn0xhcH
2o3ChdJrNfzpIsQI3JwAb0bhUZfKPfLjhVXgoyzoIgKQsskrxVyOZLr0+hNkCm6dYYwMz0oqe293
XlyHNiLiQc5iGLDaMsAyRmEicAdlOlbw1M3Cxwxa4M4ZuLBlQD3iTESP31xmMudbRrFTUx1ySTqp
XV54DGodvL2VmZ5RrT7YVaJ6EcLyTyHwsddnPFSH5m/aDXiM9aWtGpHcxygc38RhgF6dIQUH5Nlt
vwvnaCe6XHiVtGQ57CiQYO+6xp6EWj+oBG98c1EveGoGS/kKQy7ZWeVCDKOLwa/IUr8Z2uevco7r
uJO6ILwpbUwlD0odqj+N1HSQ/Bmzxj7CWqnGUxlS6+zUVhcC2b8oWcy5wEmtAWhZ0TelrQLVEAPd
MidKGz+e5sofCyk6vTolJg+2CS6IywIiWoWYQWnjDDAbWvJVjOcp9UMBUDGMj5gcqf/BY3EhLEM1
sF+bfnrap+idB1aIpGHYYa+SReb1BBGVsXJcDHtWTZdeIkMXyimAyDDfl030R/AcGsNppLiNb9Ka
y91CpMkf6sDw7VjaG/Rc2o9LUQpgzyJjXfdobFURdqbO1MJFEN7TXpyuJG349fKX2mKrsYEHzUzG
ArKG4dHqgUqnMQaTrO2G6qg6JFravEE2Cv/1ZtAOYyJqn1kvVqSJZB6CeDCQ55xejYbhd1jUERB1
Q4OH6Hz+UqPY6hI5IDMf5Lw+ZVqtXGkDkup12E47u+XSS+V0L4J8ChfAZmdKsSMnBYqqaRaJa3tM
pqsxteMdaunFtwoZGQgZsywkXFZPREORCSg0ghu5UlQ/KlXrWM757Fpw4b1O7jJ/QFXMK1GicZup
y9/Ugf5qBtPyVqGEgLhHu22Dh4ynqc9CuYrh05blMaYBAuqyHFyQL9nOW710KqjjiZ2Q4kFfr857
hBV21bUNpu5jiGdYN1luM47N89TuIhwuLgXVG9wctdUme6ktLdINiOY3MO+Tg4o0mq+NMWToWHs1
dhWJFZCWHA6aBxBUVv2TRWFMczIlh2jfNe8AzlgfUSdBMcExI3OnOF3e0CopW+AULMcMHTGN1Q0r
cbotvUDXRcpEf5RluXPnhYetNol0JReV/e3lc3/hNbIey/0Gom2OvSx1SajKCOd01ZxHKBCr4k6j
HHsCsxW8dncslAWaecjSg6xkpHt+vEunGBUDsYGTEZTioAyFCm5cdVynNF/d1wZZQxuGITV7g42/
tMT+CM/LND8OslY7KYURcOcMXQbouDOnQ9oxmd9JizbBZFmNS2eB/S8J5erBwoTSM5FsFatVclj0
Ms37GWDXazMGVlkSEwQ3LYVO1pJR/PFMCU31OqtD+RSpcnzfGFGLoFZu3sEJnH3SLsSmmep8fXl/
XHo0kLCMP8gWSFZWi4LYCpCEl+UTuML8FtIE0Fun27Ne2SRDPBoBalFec+gerD+XnYhU1WdLOdHs
sh/VotHu8lq0T+QK+vu6duTAnSLyUvflh7u0LHRxoMTsEE7bitUiwlzEc9zJJ0Wr5DdSnMjHPjPi
Y2/msu4pKR0TF/Xbvt5Zd3st8LALDH5hli7JynIq//iUbCRV72mHncgerNTF9lTJGYbY8yfEP8Xg
1uQXgd/KoB+reJyvhSLy3E8LLJEPL7+CzflffhN0nVCLh86k6avvKwnJmIGg6idSwPQYIKl5UmUg
D0rd7nVGLiwFSBPOFCstAsOrpQpLiBhNaf2k19VDENviIVWEjPqutGdauN20UA0YUjB0ocxka52/
XqUVmKQBvjsh7GAuiYsRzJ5R5srOiby0Dl1YdKp4LILNKsqoY5TF+WzPJ2NMyrtJiMKfelX2X/5E
m6KLrI+h46KOTOsK7s3509B6LQBX6vIJtW+LGfWIOe9xnJJEPdo4+vSeIbrkG7P+crrqcUPdO5za
BqnCL4ASPh8NDBnyI6tfYFQTvQvNSTkJXemF2xbQY7wxLZrSNRWRVeiBTgOis6akvoW+55iuCu/p
u2SEzmfHrLTvMl3pz8FSKbpNIOUPHWahMJojxuEuLgnKc6oNav9VVbr2rdNkyI/LHe2mk1ZSxmpO
kXxNI9v4UqlxVPtZaEqtZ7VW99wYCYAKLHQlJtrjKPnVZPavppPw9HDfuLAW+hu75vz1Gwn6dSkN
hJMWdhGakOPoyxIdpyYzJg8ZmO765c+9PiYAKRd6H3sXG1Zcr5a//yM2tLmmFrYJ8Kbro+YDac7s
6VJWeVIeVXvl2XotVGcJ7TTbGVug8qkuG/yPtWKwIvakNSNxKCHTaAOlfciQ6lcf5hQRE3Buo7jV
ywnMLRiC6AtXLvw9o3f0R3BR9t04W1ruJtIC9RVab6pegiRE+TnRg8l6qDM59xqAkF8RnHXiH42R
OXfyIFp5dO06Mk0UVwaj9nM0G1PfUDGjfGyjEUvKoam60gM5k8temJlBeF2QU3yZJwd3q6qMM3Ec
M9kWnlrVzehLLZRMT5qQuAKFkqUtYOGmDq+7UR4/GRLobc/KTR5Q5EAvAKUPVfE0DEN7BK7TTw9g
T7AEgdQZOdf6gJ71U60yB3TjsE8tD9qyXp2YQ8bhVdmJ1rzOMGDDYAA1HvvDyx9/OUp/pn98EO4F
YKEELmxDrVUmQVaZSZyL7hTblX1SJLmL6OEGXXbbJ6PdXzd5pX52ymgMp9feSSyNlBF3IekFVcKa
J2IG3BSSZPYnDahT6tlRFS/A+DJ8RonP6r0oVifpxhSKnp8UISkfOa2gZ/JstvZM/S68BRI3jhr0
P2AJ1qqMoAocRCKK/tQi7eCDr0/cREnM746e9J5Z5QDVQabsBPON2AovAHVDkDtMZemkrVUAKb1T
FZZ3dxragNdgZqbzqIBQqn0ZWfrcS/QxoYNPbx35pTFkSFGHtTB9Kana6BArYbKHqN0eT2Q0uF9A
75IU8b/nxzMqwB0NaTCddMRsHsNOSkCNI7k91+1eP2N9laH0xNteNgB6d9uWekagYLI5zKcOWsS1
LsBKVCYSKC9v70urwHcB1QKzBr27VXWTp84cSGqPX3HW5X6E88mV0mT6Tjq+Sa+WhyE8sQ7gd8r7
1SkyrCyGgUfIjlFq8HI4KDdgMduDVXeKr6Z59H7UyOzi+hZKhPmgFMWeu9F2By8gaBq+S8/SwYP9
/MuVuLSCP5vkE2DH4Dpu2/i6tgTwBSuwTqnWTF5pgsx6+e1uZnDLcy/eolQYVPtUkeeran0L5Bfn
kRMgACVy1cACNIbFSw1GsRjlU1+ltX6HiA/JrYqgj9vrcn2LMEAkXDBC8U1khZKFKtwg7fXBf7eG
zyMbvxuTBubV3DWbay0LnQSvLjGfMiVTb8uEZpPL5q+/WQymJrdP+3y8iiqMC0D+6ZPt1oYzFye5
b/TIk8cAO1hJg/H1W80Av2bsdNTrRpBteEBAI5DYUmXC/BfUKV4QDeYnTWsRxGuQdVb8Tq3bJ7M1
u9GT06j8EudNW3kjbGYcp/Q8/zpw+h/HPMKcJ1jSGbcRNYwiOZSHX30Qx/BfhIV8oSFClJqzXoue
9DzMv8idqJLDy99xnfAtn3EhksIKxLwNiejzz6ibVRAjbTOfGkMJHmSjsO7yJBwTT59T50eh5d2v
ugu65oimg/n+5bUvREEAUkzW6Feh2rXJnUExqS3nZz7BkYjLgzWpxi/MKHvN1fHQGl0D3tJjnXS4
wSNM1UMZI4n4lAlUQwDEicbYuZeWs7raN4iWgZJ2loSIWu38ZRhGKKVNLeQTAXuQDnU44QJTo8Fw
wGjLAjcWpW3gKZNu5f6kAx1zB1nSvr78Vi4EYvQEScAJXnBv11cDTmhFGEzNcALRmJyCVp4OspQG
70gEq50QeSFyIFpAPrZo/C1YtfPn1dsgINmfR1i1k/NYizTHGrmuvCGs5JuCyO/naZL96yX/1/fx
/4Q/y6d/vc/2n//Nn7+X1dTEnLTVH//52P9sRNf8/Nv916r9GwHhx1cRl8V/Lz/kf/7R+Y/45338
vSnb8pdY/7/O/hEr/fs38b+Kr2d/OBQiFtOb7mczvf3Zdpn4vQC/8/L//N/+5d9+/v4p76fq5z/+
+l4CDFt+GpjW4q9//9Xpxz/+Ap7wx0dffv6///Lha86/ezt85Yk3/+Dn11b84y9N/juYikWuCw4I
buMa8Xz4ufyNav99QV38nrkTdymk//pbUTYi+sdfkvJ32q3k8L83Dg02nb3dkiEuf6f+fcmzyPFA
gqHutoCy/t+jn32u///5/lZ0+VMZF6L9x1+0PM+OCUL93DNLeAVTpiLftM7kyz4KJuFY70QakZjE
TgZfIAzgrFRD81EF9XxoHTN7iEy7fFPMk30/KMb4Dblew+uTQEMZKE/9sNPah0b04xd1DIZ3Exjc
90apVajKtNPJyLLk4zwp7yU0jD8oWFVQwrXhmwCQ9a2OUNUhmrhsXA01nKNZ8+ciSQXcXN3yrF5k
cAgi+yYXQS+7AKO18JhITSf7lWpgIByJ/nNq1wuKPYoqCyaqZTwbuTJ2fqjPuEJlptY+qoyubpPa
aEws2Fqksrrh/1L3XcuR48q2X8R96c0rTTlSJW+6XxCSupueBAkCNF9/VunsM1PiiMUYvd3oiI6Z
ihmAcIlE5sq1nMJtGxOIzoFS8OeXAOMUnlw4oDLSeyb5YN9Id7AsFFV9hlaPMOE6vS21ykz2ncz5
EzMVmPdGH/Xbss+tLT6FXZUATnhNTZQbnY6AoesKhIhGg+IRnkqGe6rLaN1GHlKUscY+8CzAltXV
FhxaR91M5DDTgeWW6XDTWy+Oxm+6FGntTMI11TR/Gu2nkUj9bQwBLsHstzYfI61iASnDCaLovege
Lbx8jJy3QT9AX15u7+WE/JKIIw5N27/QmpR7ToV63epg4LDyxG2hMehD3PtNlQc7Yl1zwFRd24l+
PzgNDXTBN0nTj8FIEihjZ0bhgzX53VCz1ksMa3iVy+6XabLco6WDsgiD/UgbZ9+r0qHEcwDlN6S4
65Ux2xrNUP+qZPMeNXh/9El5BCr1Hncmkm1KkLfthhE79yoJ/9SoTPd5qukCWH00PZG6hZyxTXdj
SdSglfQ7ePMPYBdookztXw0NoAA3JbtGQNuNcu73Lbi/RYl8ZqjxDJGyOn1gGTgVXJQOxaar9LIa
kL6V/6DOzUNlAaIQVpZDq2xIVFQIa5Xb5EBrSKWfCr5vtC576vE4PQyW6eXghy/EiygKk/+SUn7f
xpYfVz8aBFQMrxNMd1k5grRrtFE039DE9gZJB/CboCRscg2jJbZrSJoCQD0Z+aFyJJW7g9aAzkpp
MvYqyVZ1w0SMKgiNx3voiSo5HBJlzF2osaUoK8D1mbDyCZDExlUFIilJCZBwzI9jauDfLOfGyhrH
7Ue263X2DM89aLXyTutHv4zV+2xCrLAYdR/Fu7c8LlI8aBmqpJ2chVwbNBSoQBJozDbwyLhr1wl8
LtM5sOKDBIBHFUuSHeVppPEcZFbdNHqlbkfI8tsuE32z0St5kzCDHcu8lQ+TltseSr1rH0F+w62F
JKNodsJfCN7CP6DWFswm142SM9UdGhKhLEU/uQmRhMoAtwSPhMekUgSWVDl+AqiUm9XxfZmk9r4a
B/VBKo34FjAuyKzmmErNtCGiZyGV6zod/1Wk8XOZtnup+NONufJQ2FMTlI0JUSZTZ3ulcXYJbZ4p
lG03RWnCPGnKDk6Lz02bb/sB8yFnvRGwjA6eAFuHT0Bz6zIpKb2pk1njshM/6aTpO30g9kapeiQg
mW69KSS2NkAiCq+lk/pjHBzQl1U7IsmVa9BsBynGt7jMb8GyrrugjUaIwc+SurtnAlRYY5kLd5Rt
4EFLkm1Bh+TZLHsHq9/ks9JiPiXGeyJyMFqhYiVJnmLK3vWR52+I+O6yVgfPRg8R9oZDEVZPfX3I
Pcz/darzY6UYd5IEX1aG3qKn6hBohhSk3OI4yk69S3PoOILuiKU9ZFsEYGFQytkBc2ccM6ugNxhO
6w31lB5LQwOVtZKRnaTzPqht7RB3iHKYpN9ZsWKBSjZ9ks3JrztV/eGkKgqudSshD101AXVSKsmm
TJHMGcy0dkVH4seCFM9Zo287OdF8zfyBKDxEg5DjqHaI5GkkgLHVnxPcnzeoHtEeT/KSLrHjNyUF
FZQJt38sRxOqN1nj1pMltnoaf5QM6e8QVfBhemy8cTpD2p+qwl1tSKRQk4XMX4u8K0Nd4d1bPZhA
xQ6qYbxDNLvSfYvoeEArKZDnLp6ICD5NjbVNlVQc67TNoYpY18ojz63GG/RMkralbBwLJ+NH6AkC
JW22RLsBVKlDSWer+LDcziaWxnaPiH0WWgrheLloMYyGw4pjW/XJpq/M0pPyvsDBZLIPRZvUHQTI
aRUA2ndTbiD1DL3BZxrHAZ4iiEZ1u5bHW1ruaug37xQ1q3bg1hLcFTCBJoshXlH3O60w/0hgPgu1
QZb9eChM4bLB5sDI69LO7vpsU8s52VgYC3PEFEKwSLlh0uDFZo8pwBjEYD51Qw/I8JDSu4kZskvY
qwCbwoYIaj1KfCSbwSqZ38kdisBi1u8yuKgBgQryUyzn9aukFdMD6pjSYCCivAKoKnuS0j7Zj3kl
bU8OORgJgQDJVUc6Qh9jRJ7Fpj/S0YwlN4ErgttztMk+10vU5PWdede1UhWVqVw9oWqqeksU0Oyi
YIn4sjkwv9KJDFilTW4QOSl8s5LJninj9P7h/P0rj3jRu/3kEV/T39V91/7+3cFx/v/CD8Z78v/9
n7P5Dz/4JkmLlEJK9zf77Azj//pfZxhxwv+gMAnu8KlYAolI+KL/6wwj5fIf5/RyhJMMpiCEy/9y
hlX5P6cHzYnRByl7/Dd/ucL6f0xkaoBmR4YRcHZkw/6NJ/z57QxBeNTuA2U3fzb1nUQoN8opwoHf
6/3wrhYl6lVPBJIoPg2MsbA3ZJLfzqbmv374ud/9+bH2d29w+s/j5nafxTG4/8eIq90vXat+DOnw
osvVg2Qar5nC12Akp/b+fgT/3Q9m7bwfCLfD71KaIYprfZxwwhzldmit+FhkWXdr9vJ4W5PMDutK
t54qo2pitxFJcsX7rLTdoq7ku0GdWOkWRokC18uD//wo/vuj1M8fFVfa2KdtMkaV3b6iVlz1TV5O
Bw21l97lHj6DIf7uAVvvfNiIajgIbTB4URJ8QauPIIBq+V08/mi02lqJtix1MoPmELDP9jIMyd7q
bE+A3VMpd2AXDyTxvQ7U05PtLLkCShuka40Gist4jPwCrGTYtWomeSB3KW87+E4rs/VBn/vFLlFn
UVUrLlvYX9pHDrWaRx10LIgMoVQ2Hu0U5dNMbKiud17TysoORefyq1kkfINDasD9BAIkkpw0eW5A
RaWCbbXP7noQ38go11bT69EgIHAS9omMuxHN7eUFnkVq/1rhOayghlRvqeHJF4GaJHl1OlP1AduT
H3gxCqBQJFAiuYNtli+jSuE1tEUGvqC00daSe4tzNksxEKWdiAG6oajIKYRSk5tGY+81pEm6sndp
0XioErnp9WdbpVvgdUBKa/spJEANvCJ6o/eQK/UKpt9OcRlIVbZNrZWpWThd6un3s11DUS/SoExd
RGK8keMNdJqztRDTwo6fxwh0AUlmzcSxSmzdy6xrRDvdiXHUQ65ptC7Yq3nYW5URd1Ul9KC3Tzq9
0v4d9d3f22VmcpI2biVgX0QU0ycKCl6Wpl5Gjk67ZgyWPnxmcSagznNdQQdNGWqobeKgH7i81Zda
npkZSAM7NQjf8enK7YlnC8L1lxte2Chz0JHJ+ajYfWKHDeQdAp3nV6w0kMit0pUvX+pgZlZAtiDi
hJtpBK4oFlQCrFogQ28DvRtvLg9h4RpVTr+f7XWjSFHpoFEr5MjVoGg/dhH4/lVL1WEyYvCagPvp
ckcLO/9DQ/CsI7m2ZaCeiR2msYP3CNKJKg8QKvPUNZ20hWX+oOc+64HXcFitTLVDRC12xVChmrN8
u/zxS02ffj9rWm6guzsanR2WMeebLJd/a9C/WpmZpca1z41LtRPLHUXjRFZhxRKbgSPt3xVC/3Vs
PwjBz74ceqUpQAuWFSLnCnhMfme22Q0Zm7vLE7O0QWeHVvSFokgpscI4te5YOm4Aq7gF4n7zveZn
J1eATEM1WsMM637cQWojFNJQuIrO/MvtL0y9PPMPVLnPB4nGZthwDrDZY9v0K1++4AzP06yZ3Kh9
NVVmmFSQfEGY6snW+x9xHh9Zot4DjGu7id1+7xDPk44S4s5QHSZGOEqAHlWxsU1j+t41xV1W0dJn
Yq1meMFazOuVQPznNFqOjiBjFTYyYHq8R2k4Ifu2AXeKQhFivbwyC+ZCnt3BDBFGsNSgJ/AhgDpF
oBti66fQR33oUuvfiS/8dTxO+Ynzg62kVd7bNbrpkI5zVbDquLY2rVjvpd01O9jIZoC4qsHuQsGp
Ds0hp/VGma2xSi7NkPr509s+ZyhgOX26/VoVrzq/iukPMf743vzPDnZRg3UJTJSwG0hWdFe45ja9
NrgcLF+XO1iwHPNaPiRsehUklFZY1XqyI6L+nWcSxwTF5kpd7JcTBNW72eEG7QJwe7GDzaqO1TY+
OS14NtWuXDMZSp1rhVlfrjK6md3RstNrIAHvIflpNrmrxhYCqs3rNyYJbc9uZwBfklinjRUKkBbu
4lpFxhUVIANdk/v8chXQwWnuzq4HtZwSZBehV4pcKiTqSgJqAoTYCuR1Lo9gaXZm5zihjjTZowTF
WxWETIWs+7nZJytGYqnx0+9nXw8JjmxUa2KGilpKJ8QaSJTitVqtpe0zO70i06gCzhIzbBnoQhPp
R90gfGy1CoWg3xqP3tL8zw7xqMUa1WsL05Nqjz1XwUbZAIRZ/Te7/Cm5fB4lWWp/doxHgDxi7thm
mHYRiVtwqyP9wKfd5cVdmqLZ9UyqKq1LEASGLN3X6W3TddelbvmSlGwud7Dw+fb8CHdkAtAOnw+U
+Hultc5LmcftPShc2YqNXuphdnqzHLh0nWMBdORRfaZVxK9R8usn7bCmQb0wS3PwMG+BE2YpBiHI
q8GkTatCwCQDYS5ZQ60snIN/0EMMNB4BWaGRUfLuSYttbeuY+Zoo4AyX8t9LEoymp7k7O2ax1nUS
140imhLw/GZGVyaITRfFTyg9AhzTDdazKMyqCiREyGNXtqUSKj8WEw9JpnX7y1vh4wH7jxDLicT+
81cwAu4dUrE6knqWBUXct2/ArvO9RuKycXmZaalbFDKI1HRdclyqF/AZnFJj2hYMDPqW5h1kanUr
vYX4puEVAE2GIDVrEn9KR3KToibvILdkdEFsTZATJEPrKrElRVQ0q5f2l27hiRz28yAqRwytY9tt
pA1tDCDVZMUd0pGTLcBNkcBCWmOPtF5aQN/UTZlWrgUePh50X03fzNLkgEs6jVEVkQCAvSfiZWhA
Jy3IARjYK+HEfp5kB0m76vBZYC+8GtjgMtDwSoq55akKTmdIiNlGskZtsnTwZpYJgZzUFiDDiWKh
iEOnN8ZeyQzpmDlsTRVkBsr7e+PO7JNmjrmcS7SIFIPa7Oggezi5eVGUcDNac1flQDL5OsLAiW+O
Qt4KVI7KCNQiFMeGRL9KSzpGAHt0vy7v4ZlS1F8fNCfBKq1M1MiBjaHhGhtc5n4a3N3YLjK9e+Ki
5222YtY+aka/WG5jttGQuSQFim7HsIT+7kvxIz9MxLdvrIC9a39AdtjFngJ+8beVgS3sa2O2u5QW
56iO0Z19ZV3Hx8HPGl8glOkK9z07jr66iT1r8LQg2Q0rFF8LRm8O0cuczBICBRdhPOj3Riwexk5/
WBnOwuacCy4oaZ0PKtzTsAnwYvbKgHmDC0SFq3mapwSyD+rZ4HJfC7fDCaB0blwBvgCWqS/HMOv7
645aN3oKxg7TpmBOl6l7uZOF8eizW87Bw41PTo7laeSbTJZu29Q4GLoQK+0vDGKOmU9I3oiupnlE
dUl18eJNfM0gJWSG1CLgNV+L56tLHc0GUnYUOXaUo0SIR+Y/YeyrgywziBzHpuJNkzpxHwma1mVm
Hu9G2JMNoh+xj2d+G9ViLJ8IsDOHahzpH5EPcglMAHAqrk5yBWitUogbFOsr4Du37DgE4Ku/6QZF
DgsV4h5V1ikeajUn7iVON37vlTKv7GFSq4vWtIcw0xLUVfxsOh6UfNo7cb2yw5YW/zSXZ9c302H1
wMA6hF27L0DXXgKCIqn3l3fWaZt+YWf0U6dnjSOxLrFiSMeQC9796HJa4ZCA0PI6xmMjgrkbNg1R
jP2Jj9QFi5WyYnEWBmXNXkZDamoVXPE8KlAhkOdRUt+kVrMS113aZbMZ47bMZKhO5lFfATGQ0rHe
xXau+xXuybCVRrrCrLFgwuY1iDFoSSae1Xkk2k4HP24RUA0AjMsr83WCB9Usp17PlqbjiWP3U1VH
FCgUkvWeliBIPf0xQN3bateOjZiv6SbS0+X+liZtduNwVmfQTynryOw0V05bT1fvqxz1QWtpmaUO
1M/jcThNrMmk6CA7gM+oS6NEhVY0TuvlASzdmfMys6pPh67rlCqiqj29TaC/3gDppfksgTZUTRNl
30Kl8FnrjTGiWQof0oZ0YZ2o7aMZA+HeUZHtKrCzrtxwSwOeuS+KHuu8gpJ0lLX2rhj7a1rL7/lg
RDwFHOvyoGdc2H+5JCckwfkusWnTGAlv6wj1hH6xabaZX230wNooPph+/cEDj8debMW2vaq2kr9W
2P9Bv/CF4TBnlhzZP4J0LNz5zh8DY/OmuHzbeHFQe7+F+xxFR817fbzv3SSQ3dZV3ftfv9bUaxds
xxzP3jZ1pzk1ykWbPtuyQeguHfpbRV0TGVg41nNNBjJQyO4MQxbFFaWvaqpUm67m+orR+DIGi9qK
mcXNGlVL5R7GKZav8vgB1AIeBTHt9A5//vKeWNh35sxwFC1kCGOOHrjUV15lADIrA73MZe3WVus1
+7S0CjN7MTh55SjNyciKMhAp/EMHz1b7eyZ8Trg5SONYQX4zj8Da4pfSL1HFLohhfCqtvEeXJmn2
fpEZOBvY6Y5IBuAiQEBcgfSitq4l5+7yKiztotnpN5D/rOyUVxGKIW9ZVe9BO+h/q+k5C0SfOAJW
C2mVvjW7SDLygEtEWnFoFtZ1zr7H8JTLFDPNIjmhvyfBnlHjvydqtqZBtdT+7OYHF2arVXKRRUOs
XA2p+jsjygE4qd+X5+YD//CFYTJOC352bVqjBYFTBw55509+HhSbNMD+3LOjuC78afdeuPJGKf3u
tXWp1/2uttyFAo9HgsLTVozywtLPa10UFhdSCXKfUAfEKJWNLQjYvrVtwa/1eXQlalpbm1rOoR8e
FdR/1XrqOvSOd38uT9/XD0EQCH1u3zSzBCqYlXNAnaPqWw7XQFCfARupYwNUo1G8Sa3W7ifVxlP8
cpdfbwjgoj93WWRtX+OGtA+xfdTVK71Daboae5cb//qYQ+fzc+P1yFB5NAj7oMjts93SfZwkodpk
j6Xer0DMlr5/tuGMWOE2tG7sAyS+vF7Xw8ygT6xEQeD3hnDq92xDj9BeUqXJtA4Oyy3LpbI5PiOO
0z4kSjrKqKsAD9L3eppdHNAXoA5JWxtxpMxFfYRXWq0LB8a3+ofLPXx9+aHq5/NYMimhg1Fq9mHQ
GaDcvVvKAkjuF8ok1MCvOUVLvaifezEM8PqWlWIfVKV+0+3iijklNLjk/oXn/EqwVa3FpaWfXSLG
YFA+JrEW2jXEFVupDBoDZc62JL9enq+lDmbHHcKwdqJJULQYbfqQF1vSGA+WsWLpF87GHP6iQ7DJ
ojKWGzxQqOJQ3d5+jY1ISPHKzl34+jlNHlecbsgKZh+s2IAIytih8jSD5A15vjw7SwOYHe5JSnIE
LDD9U5nqngNw3ZWBGKGb1DUD6hwg6+/1MzvhVk56p4fJO9jaCxTsPFZPrs4gzyL9vtzB0kSdfj87
4j0C1NDjARNHnwCiDnXqdyc2XrJsDZu1NFGzg00ajirdWHUO+MutE1Q0iz9lC+3raWUAH/fDP29d
EIJ+HoGVmAY0RMYsNItavptMtblJU1F5eqJqOzz06cHsp8GddKg7+aRJc4h2GSnE7QBKV6tJ2raS
Ddlz6IFvwfZsRgWx6RV4U1OolSgAMYkGma8pA+AdnqCyg9pw59XNlAZTKzE/1RuI9gwj35U8dp5x
Q6nC61iirfjsC+szRzOM2cjGqp/SELfj5I12+yNPtTbQRim4vAEWFmiOY6AaVEhaGQUGPCmeiRiu
oQ4QTB3KHFBxsUZUsGAWT9Dy810Gyuo8h4rhFJrOEbViu9wa3Vw+Kvx6TK3t5YF87fr8Q0WhzKBJ
wLiphjQnEIBpi8IdYvXpcuMLj10UfX4eQY2qxZYbtXMAtU2zQ71e7uc6h/4L64xxV465uCNj2j5C
gyqLxtLAlmENvSkIpb/HhsabqSHQV+d6OnoZEFU2immodSpfgrur8HjXo0yHbhrkFN6TzirWdO8X
9s8cxQV2/k5TSW8fWs35Ax0lhFetOhjMNWX7pfZn86IxkJxOggxhrGvNtoQ+ZCALLdtpGmRBLs/9
Uhezm8hszGkAN5V9ELa0STooREE56wUckNy/3MHS7px5nvkIno4K1Q8HKFPw3QimzmPc6o+iyDjK
+WAcqrq0vnetztFdlciQ6JxwMfXTVaK/Qc/LHfW1nP3SQE6/nxlzrQJTa0e6LKSt3bsqqh8d7YYM
TliQnwnqQC9P19JBm91J4lQnIhgubyy57aFeNOwyY41yYmGx5+AeIveZLUo2hUKXPEX8HkooSxQP
l7/86yeGMcf1TCACU/q2ygB86nQw4xTiZ2X30qMmWqPZaCUpKkQFq+Zd1sZ8bVG+NrAo8/68KGXf
wgigsPVA+8YrJrz1YUa2bVEf0zy9uzywr5fEsGdHZDJUGGwZsfRWtRQ3o6J2rbxd8c2/XhKUrX4e
AMxSywjoLg4yR2IuQX5J9CRFuSH5HpboH5qaisnB4ddSUEpBe5aPqNPORwjUWt+6QxHW+jwAAwTf
EqRUqzBGfHmsciTPq8Dg32t9juIqaDeqKp7GB3uc3D75VSgcgKL7ywu7MPdzGFeuwY8VnQxH2RoO
MbFeipzv5WSNcXNhb85BXLIGonirMKyDat3z6jkuGOJpCZQCuxXTurAx5yRIqFcs80ooY6j1XHap
KZ8IBr65beYik73tJJZR4fkOcbT9YNhPvSWjpB9CCpcnf2l2Zl4L1J4n6GVidiSwlsjJrQVm6tz4
U9Qrp3apffXzvjSzqm3aOp5CJY2IiRx3cT+Z15VUrUz+19eBMWfITBkooSWjwSOoArgGFcuRxOzE
QxzsKCjK/svyX3HE/l8mAIKYnwfSQvFSraUa/BDZB/OBtdVAEOsZ0xrWamEbzdFcztA3mYb0WchR
ZlDmSNh9D0yCm+vzp6tq0WZMwzM3RuEjKm2nPVVgIVLV+t7czDFcahKnWQO25kMCQ/FQDkriUWqO
u6Ho/h1H51/TPwdxGVknumw8TT9q/W21e6VZ8dr0fHP5GCxsozmIC1XQU5skmHzIczq7qddqH7LH
qpskbDhQledb2WjfLve1cCTmUC3Ih5ZaDPn40KmulVh21SqyDbBrf6/+EaI+szPd5YyVjjhZPL1G
Prv2oOfolmB2uPz9C/Z6LlZFkqoxodSK+E93kqqDerohe/a0Fl5aaH7OrUc6ISzCBA8ZYnPgsDAq
vDB6y0usXt5eHsHCUZtnllNogsaTrlRhixdvoaNkZe3jl1o+/X7mnY6O2oICy6ZhLBoCvgot8yZp
zVYvNT5b10JAb7Ry5Apw/NiNGxS/v1+ejwWf0ZoZ6Tw1Cg2FKvBN5O7eysfj4IgbK2HCjSHHppFS
9ZSk2l3ubGl9Z74isco4pXnRoChmUBBMclIvZ6XkI1+0EnlbAEOizPvzKiiI8yhGbY5hP3SgFikt
oAVTRlCgqdb3rdMZO2k0s7ACFBTaq4l2qHuz3XDIMvixGTtBRyqx6aHP1blGDJpLEwFhvwAtYeIS
cP94ZZVUL7AMasCruPTgGQEcKwrn4fIMLazzPEPKSeZIoKRpwqyW1E1DtSQo9PJb9X5IY53W5WyL
SoUJZmPNaEJbcA8J7p+ZpL9c/vCFpZ2nRnvHFomcaQBPAQOrq92mmfpfuk397zU/2/8KcEm6zizj
oNVg+YVw1eDWGcgm2doVvGCZ59l+A+QPgyRsAGHFcwtqPrjprug6yBsn3veGMLuKO8usO6YWWTjK
2rtEFXJgqiH5oJhck6tbALYY8/w9tMihcpXpuMpOwNysAhezgTzNpgG7mcdAc+sOUl8ETg9tiVgZ
lUAqU+t73uQ8r0w6qRLNwJGag3QpgVKv/sxq0L6TH5enb2mBZrYDzERdDtXpJkTtG+rh27ZG8RiF
nDZt7I1F8xVvYKmbmf0w5QZa3CAeP+QAX1iFS/LYl/MordfwxgsHZZ5i7iaRch0oubAlzG2rIzzu
LF3LaC2Yj3mK2XCkjhV5Tg4pgunjwFCIvFYRuHBRGLNXpt0bQ113eY31RYGnFQ+pxxWTZhDsM6fd
yHrmOQ4Z7kSXTytQhaXRnNbozFw1EpFTu3WcQwZt3hvZJEmg5L2zYlIW/L55LlkDS6Wksgw4b+DZ
QcTpE+N+ssHuZFOoacsrHtPSGE6/n42BJE0jT+DfO0yNBDZQo49BkqOuvM2XGp9ZRa1lZdbFaJyp
t4D2/54k+9fl07Y0OTO3wFEyTosWytygXpKOiFHu8K6VPbDmWi5ctNvSLFZ8gqUxzM61k5Yp7uuJ
InYuTuLs+15aK5Jdanp2lgvQEetORutQS23bY61KQM2a+5dnaOEcz+HJvIG2elMlFsiDdBOFmI4x
Xpl1xcA6DQ6wy30sGKM5Opk5eFqlNo6zgmeVlkN3fhxcAtKoOH/4Xg+zU23mVVUDOqyEiSl5E/So
ulSFQpvmWtnb5R5OYbR/5q+gcfn5ACQItkzGMFiHpBVgdwIyCEapl71qzDrPKJRtI+R3Z+reSNeu
DGph3efQW2nsTAGysDKUJpI43pC2DLVFfblWofl1+86JVvP8TI9jrrFsAG64sXh9n0nAOnJZXwvX
L7U+O9T5OGmVyq0hlEBqMKAkkE7fiyiBiPnzhw+23QB9bg4h6CRpnbk6PXRk5Rx/vVdBVv65bZYb
KEVWlSG0p6sy/5VrR739QbMVv/5re+Tos6M89XINipfCCRPj16gBEdBnbklyV4CScEqeLm/VhU7m
1Nyx6ETiOOMQTqIISvA12nZkOOVm1Ft3SH5f7mRhnuYyhQWrFKQxUHFgccV1nPecd5Gqv6eWvDKK
pQ5mR1ow2YAuNvaPAkjfMBml11AWtTn9hUDxt/g3wJh16vzsWhuRWNdBBDOEhL5XgkdOMvhTt+aE
fW1bnX8QZoGVEk8IYwgLAXGHQvgJymTW/PCPzPk/LZIzl8cTiahoTPUh1LfkjyPc/qq+Yr4InD/s
AXRV9/UKfOkD7vFVR/OTzDNkEzBPIchcgQEJpsjamB7UnP3BVbbWFbk2DuUve9Nsqm250umC9dBm
R7xRRw1koFh9vRDFhpl67smV8Xh57y5O3eyQQ7awBK00RtS07rTRfLyw9/IedChR645h4dkrb6Wl
UcyOe5kQQyPwOMMUynRUf3EgvHp5CAsBAjDCfd65Yqw1e2D9EEJ2OTvmjDo3SgXIf6FlZD9xCDHj
wtDyTaIK/apozMK3B6LslWSU76ls8K3ddk6UiybdOU6jPzs57felTKqozkTuQUiGgfE70Y4061Mf
daFO59LU6tbybR9kS1/sqjmqD4xucTXhSkWpXLW3b4cXclsezYO9rd3Ea5DAcpNr6yjcyZP9/EeH
/OJGOrAH6vGVKfww6V99wczCTHKidiiZHEJQxfo4nJ7kvhR7QCbd64fgbp+6b8Wmuh7cbfTjdfQV
D5tDdl9vToViJ9Q8dFACqGz6drAGr1uwFx9FUWfWyCx5b/ctG0JZ3ySAWzkCSs/9ynAXsBFgCPy8
Y8qcSzYzMVxpxwIIurjGDvxlruT97lwLlqMLbMDwcx/sADgA8sqNtzjLMy9DrvgoSTrOWu9NGx6g
4DQyTocOf8CU7PXeiD/ZHsyXruMCahEYPlhpsQjMVdwCBZS1R3fdgb87P7Oj+U4c1wC/tJcEa/Lu
X/OUQYZpZt8SPW4HtcYXttgFShSH1ab2LA+80JiTNAJLaGCiRKFDnydhm+DyCV5a7JmF6wapsdKB
YzlwsuqY+ihIM5XHy40vGJ6PPXC2kwTX7ZGcDhdHaNi6LsTb5XaX6vM+5vCs4YxwQE1zNCze4ycL
K3baSJrPj+mObH82burGAUqdPe4Pf7TDaaUOfZS59Iqt+Gcf9uGLUzsHJdqtVeXExhcY6Jts1SDf
IRUaxEG3IxGJLK/x28C5kjco1QmyQPJJYAfavttwr3xeO6na6ab46itO4YWzeeitprJwvWNX345B
v6XX5CCiyVdgRQrsHhGCxu5O3at7uqvcV+pVHrSAr+pregDB+g5JtxvDX1mS0zb96lNmZqxpxJAx
CRNiNf4AAxbfWbjSTqU23Y7uchyrn9JPwt3kqHij6/gslB6a3Vr3HzfyV93PXKhWVHg9VKcd4eve
C5LqbuoTz94mv7KbeGeAlfmohbgBH8nGvmaReNU3pV9vQJyE1VECEaiu5K+ty1KJ15wjbMimwk6T
k68CZNx194DI2vRs3liPMRykiF2DkvVNubk880tuxMdHnG0CyZkcpHnQ2XRt3Vc30lt5hVqdYNwY
BzXCKq/kJpccsI/+z/rBDd4XIHjFZjvQqLppjv223lp3mNB7azuh5NrwZBeUCVtjP24vj23BgMwB
aQ7gPQ7oltFlonh1a3tKvKbouWD4PlgozkYzTk2d5DJmjXLH7djWHpHsBunK5Q9f8is+gspnzctW
C+L80yXabqoakpaeemvsm118LHda2Dw2vvpeGBv9mm2QJXnLr3S3wlVeXSW/tZUQ74eK+RdHYs46
ZlZ4RLLTlSc2kK/b0729hVDatvDzA2pNtrnH/N4fsPn53oaRotu1SoOl7T/HrcnQ+VHp/3B2Jctt
60Dwi1hFAAQIXilKMiXb8u4kF1ZW7gu4k1//Wjk5eKZYpUuq4gMoAIPBYKan26EIbDPX+FI9DHfp
K/WnU+ojwfM1O8TP/Vo8sWT9OilZF/QBr0s2HsU+vulfzLvkWSCGll/kTXkqlBtdZ4o6Jxkq5WHO
Aswp5JOXoFrCUAe7bCx/yQk/26mzjX4wlgFyEZOMMHZ0O+7Enn9Jb9gN9I5vY9/cKb/z+SY9rWVq
Fwxfx/A2dVcQEN6NRyc42fKrYfqBer9yIloMM8pGVtE4I3R8zJ/QERf8yb5ar/SrKt0AwhDQlnDj
AdVc1/DXGuSWpqMFMGirlMzI8UlVA/IcHwMn93h+Vc4cAuL/bgyIyYbBsJDDMETmJsV+XoUWLHg2
HbrYEPQxhxESPHVjbY3oR96OK6Wj893/f2OCmM2/v1mB5D0897we+567HbQnpuinmbxW40+oTbuy
XnkaL1wHUoeyAWoeVdAnPkfU1oFuM/TzJp7xVB3rbXmb+8lNvEvubF8h7llrcPh80SCa+O/UZkjV
hIGCR2vml7R4BaPLygv58ywPsN//DkyiuTFYiN1AcscN0OsTWsOmDZg3TmtKf3+7ST7bF+2Qm2DB
b8XZgdTe/CX+Ht7TQ3xT7MjRuLe3xl3phw/RU31fHIKVN8/iDp2X8YNbAX3YIO0aJz34VqP9LnbJ
C3/PH8vX4CsK9Hg+btVuEvvgSG/Dn90N8y97gYXoXJ4Z4D9+17ZAcCFCzDR1gTsJTuOu9YZt7TPv
HCCnG3D8edF99Sf1c7/67hyKJwqmk3PksOasP3cKUAb/9xdAqbcoRIn9bNrhSy13Q8TvGtp7lyf4
N7f12VZqboFF4WynFSaotmrLXRNP9mY/3DV4Ltbet5cIoXe24z/KfXonveLY4NWOZ7pb/862AEts
8e/Wecju1vo4l2ar5Xdk38/1TDokiylUiihHV5wszE3V27vLE144dzqibh4SBjZD+NgaULp+vI3S
35cHXsgfgQTt343KSi4KO4GJgpt6a5xAYXqsdqPv7JLTeCO8Ck8ocphgHcUdGidO4qaGS7n87YVV
07F2TdOCqmvAJo4tcZvqe8ypq5yVFVsaXHMoKfR1oDoDTzX04TY8U5rPNwbn28s/fSHAgtLCv8sW
DxCtLWf8dnbiX+oX6828y57rY7Br3+Jf9huw/GQlijzfGp+Yuo6xgyCXE6UpvmQ7sWdCjqaNKrcK
3uXwyOI/NsjQZtKv3bZng/3sY7rjyNF8Qk1Ywxe6+QZouvfy7S518cC/+xEfdj9Kdxe7T5GHTBHa
dTbOXiDZa7p/IiTEEvfP8e0x27xdXuEli9ccSD+MadV3uNwyk/3hQm2ZICtDL2TApI7xh6hYBio4
jF1uyz8sgygP5Ifd6bV6tp+cb8V946tdAvIn/jge+i3fiGNyVQwrdeQ/hIkAOVTYTF6VgJ1DMGhY
VSZdMBQd+B8ECTQmZ7jc4HXamNvuLj4kp8APIDmAPGW/NfbmLfUKPA4zUHE8Xd6mhWNma+4DCuhz
YkJP6jiYd5b1kkffJ+fm8tALJGpSbwSoQNJmZBMWq98Zp/6WH+PH/BVC2Af1gP05xCfbUyvfWrA2
HakJOSBlcwtr143dppST29oryYFzZPTJidIBmrkzmCPEjpEbSF5L0BmTiHsthLG4nKF6tBJx/n2O
f/aV87w+BBoZekhqZeMr44mdpkPlOy5YmJB/M0/1Nvh5eUOWDExzDjRvDMsZsdcmCW779p4qpN5M
xw3a6La0wJY28Zs8zlcWbmlLNAcApXnI1ib4Gq9eKvZdsZVxl2ahhQ55b04ToecX0rlgP90nEHuZ
Bu7lzXMWNRvRgyWMrpjV4r6c/eyHfWEDqpdot0NgAAR2XPh1CX2oM3+lhQx3jKwoKV1qvaIr9lap
hy5dU3RdOJY6/G8wIeHdZ/BwXfAQiPukfAvlt8tWcL5APzE1nc+nkAa0vW3sS93Nr1WQeYNtH6Yh
f2yMbGWLFrZex/1NbMqqsWxt30n62Wtp0TxxwtYMa+GxL3VQajpnQT4bue1De7Q9axJD+L3nHYOS
CxG+AbLRnZ0V2X4sodo2QaJtDxwAsGeNI29G+7eiQbthRakqd+L9KLe9lOnKBbzgLXREax10TllX
lu2XxuAm6iuaNT1nfnScyoW610rwsmQcmrMQaVCEfe5Iv+4Hdoog+HliiQA8ICnXfPfSJzRXIRyZ
ti3a+n0Qj9bfhyTu91DTC09QKrdWrtKlT2j+AUplwGNCKgYi18C3BnN4V5r1r3Be00H5e818Zuia
owgksAY9obbPaNgdqRU5bja3iTcLCJuSIZa/IGU37aQ1yr3TJcELLdvhJuslu2FhqWI3rasJGcWk
4T4F6fC2sYLmNEPDctMaVoT/knR3lhLchRNBLjCqmrecmuULicrimY4iws2dZDfxPDuPlKYQMLTs
apuJsPZpSFovbup5ZzdOu4G4JTr8wtl4obOd3IK8CViSsQMBlkvTePR75sSzO88KFSYTCoIj9I3P
TMV+HqfmO6nL8ZegafnDTnOov3YmoM8gOO+Jr6yy8S2TsLexa9lLPg31Fip9vNq1wkRpLkyovckG
ZFAgvwfSMFXHvk3Bao2a02Du0rpX4IhLUoqIQ7Y9JBg7ctcUOXfV2NrVfrZylPDCsHOLSDleOTrQ
+iGg7L2d7LJ9NJypPc35gNz2aNZfLjuwBcPRkW6ZkyUFj2rph6bwMwgLggf6TjGyuzz8whHWQW7Z
LCAwmkrHd0Y2S3es0TrcpyIFHwv4lwow6VheORSRf/lzC75SR65UU9zkaavaY8H7M7F7n2zica39
YGGpdOBKPmS2KDhVR25AL/SeTC+ZWPF0C0ML7WbMuyAQHQS4/cagCgfLum0jm7ljE163zTowGbrh
VQwxStsfjTjfZGUyQr4VdEG1Kkzv8tovzEGHJ9ttaEORPTR8liebEWdmiG8TUm0uj75gSDpCmTnA
JcSslH6XdC8wG7IxAnHjMPvbVEnD46J8ufyhBRPSibAKySHilzqOL4rsAULHYNceV27ypRheRyX3
Bi8sklmOX7Amh2ws6zdZ24LyaChbXAeBMPbgKvIka1ynyAMgyLPyBon4EHq6GcJyaMAMUCmbmjY+
op2hXUEaLwQxOj9zUVLWN6NhY8pkP2V7S9QQXuPgsFyp1S2tqXYBNm2ZdE5mO37aVg+lieb4cloJ
KpeG1i6+3qY8btC05gdcVPsxrNDbF2RiZfSlldFuPWoP3AztDOcS+J9NApExsP0AlGM2pxCcGO51
Jqed/jTMiqCPHdtPG/EUyunGLIe1gtTCDHSi3bYMgTUxysDHvSPvwA0i37hU/X1NK/MJCsprL7uF
068jgVnZxkBASNuvxLyrSeDSEYrA7XVhtg76bRtm9LmdGz6aUFqo8wr10gvGfApZ7a+9aaxlJJZm
cbayDy8UEwQ5IOjEaqF/5r3g8gU0Bwc77v9c3uilzdDOAQvAuCRnU/rmCEDIeDuT0JPqkI4r18jS
+NphqFMrSQCcDXzHggrjwDNrU4fBnUrr+zmvVj6ytEbambCtICohDxr45ST8MoMGuSULKCWqbnvd
KmnHIUmDOaUcrj5Nn5Ow3xSQuM+BWOArbnjhKtGRwJU5kNSpgZ+trUluZK9Qayiau7Ydo0PAcPIy
e1w52Qsb8j88cB/Y8dCM5FjxNwgduwNH1UPlbjKs5DoWNoOd5/jBYMt5tjI61u2RBHJbFojKaRud
0rF/v7wXSxlxHU8bC2doQ1WQoyoT46ZH5/FbVjr5Tdujn9pmdvqc1iTbCWlMfyYrVydKJhD723OM
7M7QRg8BLP7RiSrRbMqgkLdsKDpo+vWNW1XR8FAKZ+o2oXMOGMxwyJxdDxlbv60G0BBdnoP8/I3O
tFNnkMRpZ1lNxzRI+KbLGw8SLqBBqnqX5OoR6khfhnCtA2xBNkTqGF3TcIossBpy7MvOhsxDULzg
/ZcOXmdVrSehtg558Q5tGV4AlW+XZQlaPlpmd5thYGt+zD7P7ZPn2l+E1ge7aLM6tKB3Ph8De0Bb
SWMJBcGFAC9qzwpihBaTZOkPp8wQbg7KLL/xYepvonpsXFA/sT2tQzxSMiQEzJJY7jwW9Uthz70r
wKu3SdtO3g8QXP/epHn2LSNtdspV1ULAO5/cIYyCU6Cm8Xm0LXMreMXqjWpISfEKYwh2ZlUf+TQW
DwDTVA+gd3ZqN4HS7h6yZGhb7IvprZft/GCCutETvGy2pln2jefIjnn1ZHSPyVA7Hq0qug/N0Hqf
ANh1bbMYb7q64Xuk5kBzNRoNTvJAPbPluVco1r5OeZ51Lk+m6daBkNgBctLzbjBMANLCIt0TtFBA
yX4q0BiQWY94urTbiQmGfsfchDwBCh8R3QyjGZdeXjbIX9pp3xzmvhiOUV3lpSsKyolbjH3987Lt
LoQ3OnFpl8ZNH/d9exTjPHkK+FUPQlLyOu+hw6VD1MyDuOzrY52HP6EIcEiEU7gpzGDl6C34Px3O
7PRUViGe3kdFvtbwrCS/K4PvYbHW87LgynWeUgY+zLkSQh2LDI8AgLN2Ai/pjYnG18RmX8Gx/HLV
Pugg5GYOrQYy29J3UpQUIvNbV67RMS7N4ezaPxxV9OC1UdGWBG3ryGq0WemFeeXHVn+aWjxiOyfZ
XTcHLbiJS5b1xjktHo70NWHlax4p7/LQC9eQDhYeh+JMfYXMLtwKckIkI35hQq4tq/la0XfBlHQQ
1xgFLc+cjhwznj/SejDcuDPfelU9Grb8fnkan582pmNVaCcrM08ddcybW7vgbqSszeWRP7+DmI5O
Ea1lRAQ4gENWnOX+xMD8jPIjiZwbY55CJKai12Ieny5/7fO1YjowpZblOJBawPv3HmRWHvtuvM3H
5AhCssfLX/jcaJmOUJkqwhB2j2BeJHzrNKXL7HZTgOUxyqI9WBdW/MfShmhng2e8i6AaOh/rKdva
QLqN4VWZIqbzL6XgsqlywsixnMaN3UL1O5+cr5cXZ+lXawEHGVg2GU4HJgbcTWjCfy/a4tfloT8/
aExHkmRNP8mitciRp9a8aYHbPxQq4Fsx1CvR8dIXtPCeVlGBTnMbZyCJkuPcOuldNCq2BR00X3lV
L62PFuBzaYB6MRiKo1knX9sou0+rNVKwhaF1aAjyWqMYJts4VLzcROpPEVzHAMN0aEhCEzQuMlB8
G6zaFvzYlPmKb1hYcR350fJurOcmdQ5WXnVIqLMaMCVWpL/CKo9WlnzpG2dP8eGSMePO5oQKgJs6
5XIz9cbxm8XWmNIW/I2O/0iSKK9TGgUHaR1zYLvE/KWkbwTtm1dZvY76aKAzwkGU6xzodNeFAprF
f8r2Kul4ynRWpUbZQ9/WdAZLba92bUAML3IqsYJLXFh4vWw/R21O+qJQxwg0v66Im0fp5PcINFdC
uM8LuEyv1UdIE9ZI8QSQBy6Za+QKfJnUy8YBOCLzV59XtWsN6hBZ6YolLUjqMb2GD3VQlEgk64/9
l27e1F+ddw4Abe6KWzYBVlvdmy/jt+fqUYbu/Hx5/xcgfEwX9RkaNc9QDa2PY8mJF4C7x9pUgyx+
0GEOfvOS5zsuog7cz0YOwFbd8ucpTdNdNQXDtq8yFbqqmUy6MWKl/iiIDJzAUxv/zkom3I4Q4BzS
oR72KVRhUOyp0/qdxYmku0xSq3PDHB1o7jxl8S8jJPkax93CsdFLr1l5towwx9u6KtCnOiksZ0Yz
zykZv0+NOVw5PkvfOdvmh8Mfj7Jtg6YmIEEb3D6GFsERpG7e1KzY+ILT1emBWjywBwiUkqMjA5fA
q0C/5zrfKLSrFErJArpqJigMiqjfoYwvtmD1UHvHGtd0axZCGZ3bRmQZEDtWZx07JeI96YItHZ0J
FcjuDjLy+6GOVwCwC65AaDdrlfdGP0dyOFYQD3szpKSbvkWs7JpOdx2rCvubD/iw1WCINUfa1+kR
IpOHfrBuScHeLx/ChV3+H5mYQbPaSsBedZavRBDyUhbk1+WhFwxUl6Aqo6y1ioKSo23+cZwfYfoz
Rv88S68cXos3ZCEjQrvAOtphdqJqeBgL4xdwWoVrVvGXq6agY0wCOQD3byKerOApJMndwprRX/AI
9tYrT7H89xQ3c8N5PI/WsRitrYrnTT98k2EOH7cWiCzUp8AG/u8nojbseR3a1pFA+dYntYp3ETjQ
vtWEOL+4CqMTiLqs26ke2s2Y1nKbmQqVRNOy4uPQ5AJmAeogkJhE1s4cxvGq8hHTq6NC1VaRz6B5
N8gta0eX2mueceFI6mXRCqV/jh/bHxWkkPngKiN12XVlNaYXRKfErFlsIe+Yye+dCAsIVkmGxZFf
2JyO28t2tzQDbcsIB4JrZnAqdZz1265H9iMlfeaKaFy5fBfOvV4QbUQJuQ5uD0fUpolrRSbo9ua1
su7Szz///YO/ApM0QBGxYUDKcgL+s2wh8QZCouQpjbrJXrlElmZw/vuHj6BXBLSxwkqOcRN7vJke
+rZ7urz8S9GQrjgbZ0UvkERL8JYp5xsGDgX0uVa56SJmIXsjG0zPsiR/nG2B6q6SxvzNVGwOXEeU
zabIihBMA2H5Pakr55H1TvJkWfhb6wh6nWfSVV2toI6M9vxUHxxYt8yhaUbUgOqHCtSN1QVrPYZ/
ewn/n3NmuhruwBVaffrzs24MZ4/RLnLtqjlMUwBgtvGliYyHAPGpzZEYlt1aCnAh4c64dq1CGNU0
HQGVgKgV2yBGX0kDxuCQi2SDTHPozZniN2bdJaCG5tFN0jXSDetupRq2EH/r+JmYmcJJZmdCor17
753qVwy6dLfNjPs5IJ5TZY1rjPW9JSAnd9nkFo6MDqlBnzc1kg602nGPd+IoAAr4UgdkZfSlXdQL
xthBrGMEkllphZss4pvQaLa1SV0avLFJbZtyeh6T1qX5yoNi4fLXK8fIjcQ1nnf2waJqS4yvJXge
kuC2S1duj6XxNRdDurQKEnOYj2Z1D0psv+rwMIH6bZNOK8mwpR3R/AshGeooLCmOTnWXTplH+u+O
xVac19LP1yLgIiGpHTk5pLhQx3FmBZglSh9QX5inlS1fCIB14qiEE0juJSkag9rcjeoTtWKfpc8l
0KZDeuUSaYd0ghCaFfU4JnZxEmCrCKxfchU/sTQBPb6rC4vHtg16zyHcOBD76sb7Dtw4AZs3afd2
+dgtfESvGkMVpzGrUJKjZbCbvM5i9C4K0DDLyMVTLXMtcp0OL9OLxjxyTDRNGgUycO8SvTqxE3lV
iKYgukYzs2CwetUYadUitWxQxZZk+GMpSJTPyXAzcDZ5lxdr6QNnY/5w46L2F4IMYhKHLC3GTdSP
5Q2cdPTAZrompQrheQz2yX2j4/GK2RSNmYCkL58icWB9kHhUtabXBVML4jBFapDXiKA8ygkamwM6
aHYB1NoTzwbk92DMlgNhrZJv5RwmID/si5sqt2fIl85h6Xao9d0r26yOLLKrWwI1b1Tvp/qA5jbU
Q+0xuIV6FgB0TWe9DkHenbh0yr3ZV+1L19nB00SbyktVI59YWKFRDOBcT6W0cqHmQD30285ebcQ/
RF8DCCpkeIpbpbaAfA7bpB3iE20B83LH0pxOYyHRXjQmuZvJOt7FYz+9TXYzeJZTJ37Wx/ONkMN4
KLmRHkRgo6+d9T95mQQ7dODFB8Q/4f2UTvl7lznhDxTDE8eNoQ7zJw7SaS+Sttyr2VS3ZTBnGxV1
al8QcIwGVdDcN0FpbeMJjOxjz9RmqJz5PXXmcpcwo94KlUV3ss3SrWipcWZUVZBGEiXE0FQlqRtS
Wt9k0C1574TzRwCRuakScGXCxzjHmbTDvpeEbaa+lsc+dZqNNCP5Qwyi3BVmmb/bdA7fWxZGXiTD
duNM5imCtwUavGDbeR4av2uS30pC3CqLhvyGKwIS0z58a6BU+pqFA5o7OXQrJ1RZNiy2v/e5Gb3k
0AW8k1aW3Sq7KZ5iu+OuGDq5cygE6ap5Td9r4RjovBtTW9hNgHfRgTXNviRZ6HZN/diN6Uryb+Fu
0MEZvW3OaXv2qhaLAreMgQ1M2+TbWFNIkNTj2rtwYRo6gKJvkdPp+6Q+Gsp4hNDlQ9jXb1kcXOks
6L/OQpCQ5aYF0lzOEyBHHoomdPvpOo5WpiMhnK6DUibgJ4c6sR9Kkr7AUfy47OXO9/tnDki7d0Qv
o7jk4K1WOXO5cU/N6wbW6/K8UtGQGE51jEb+JuLpviPWSt1rYS/1inycd2U/TcOE1xxxW7VvBPFE
sPLUWBpce4waUWahXaOHYgo07CSkKJTBXOiwrwQqS8Nrt0o7p6Sby7k8zlbReFHE5QZEjmh3sBNj
xRYXTtT/6MAmbhhFVYhDHwAkk4no3TJaj0Rj6QmASq6yG3q2p4+3owjikQtWHLPqKy1fu/b9unG1
UBFc2bHKczjAnkXNCS3SEG2jcx6tWOVCBKQT+yQxGw1uYXeHDOcUKm+kfcri57IWLqMrOdKFb/wl
j/mwNKEoI/Q68Oo4CgoWUKiQQpidN+2uPUeltpyme2JWdX+lRWlhqQGolm1N4FguKLa8FjsS1i7I
7Vdi96XZaA6C1BUN6tiw8DSN60PWQahLEVyieJxWoPzNnC1NmuT58u4vnA6dAswsTCuLWjYdRweI
T7CLmY9OtaY2vNC7x3RR0jiqujaYMfqcZdZBDfboGwG1Dz0qLJsgsYLdODXFkRrxK03Cbj8BGbbp
y5H5QG6U28tTXHhs/03CfLCOFmoxbZ5F6CxvguR5PHeOBuUQ7EruuE4pbL8enW7HIFR3U1YVWXni
L7j5v51zH75qmsbQszP5fSck7tdTE68hEz/dMmLpiiuTOcc0H6zswHgYuXmTvAbj8HPKst+X1+vT
X47xNfOOJzQbtFGZHfhM91TaD8IKVnoGlobWTVtCrLuLxvCQjzK9C1tj3jtBba1s9MLC6N3btYzD
2OJleDCjcGfNLxFnu5ys0YQu/Ha9TbtuAdtLBrwBxvSbiUQU4Pwr/mRp5LMj+GAqAPlIQ4wYuU57
N48Tl3drNfBPbyZi6YXeKkEGuXFUeLAp8kpA2yRBuLOn6qFIHy5by9Kin//+4ceHfRnPyZiD6AmQ
GE5f+252DcAeL4/+qS/E7z8v2YfRKbEb6LD0yaGrGLjC1WCmA7J0Cb0d4jZ9aqcZyyUjs7+mKInv
aZdhEdQlOrP76DDZY383h+hkVim5SrYKo9N/Z1M1VSnaRIYHZYCkzRbxQw3ap4292jO6ZEna0aVp
IbNYsRiJ8fjWUsVeNMaKP1vaCe3ojujTjKNWxYeB9y46knYcMF9r5l5jky3tVm7yhQnoBTHbpnY8
YQ6Hep7ps5oyoASseDZX4tiF46A3XstYGBDumSF1MpM/YiZ7SP/WLpKv59TvanywNAntPM8ptIAi
e4oPrYghy/su7T+XT8OnNxmx9NJ/SJLyrG8XH/KBIhIwv8oG1cikPPI624BU/3c+2368ln1b2PH/
NVIT21RtPcBZJ+wtgMQDiKTC28gY7mqZSu/Mj7dyype2RTvlButp1PdYMHt8j5r0YLMXOgQQ25Er
H5A4YP97c2HhtGMdmrTvWELjg1l1v+yqux1N6fKec5dFBZr1xvbGcOyrWBnxNe2YJ3aSgjugwilM
ujvegrAsGcUdBP2uSubjA9oxjwgLFRnM6OAEu3iaPIs/Tf2aItSCQ9frph24cuY4rkEUX3ydQK9S
Ow9OvLY0C0dDL52yNq1SiuboQxqb9x2UPbOuWUlrLOyxXjitppCjDUcZPoAlicccFh2sdIw2lh1V
uylq+Z0dlfFjOAlz5UW2YLZ6d2nBU9GXMjZ8OoPXW7VD7kl7mlwKPKFXN32ycikt7IheSx3DCfIV
iRMekihC2/xI4/tiRMNcCaXRlU8s7Yt2i0/C6Ark2tDKVA85dN5apMQFvc7r6p2ivZWmtmGX8cFK
1MuE2qcXNvKmTSyIlrPi8bJvXJqBdsQj1dhtkkzRoaQFanl8wwvhXR56ybK08zwXEDGKLBEfjEp5
cwH3mw8boIB3aA+6S6X5mht0c/lTS7PQTjaUjQIrYLjAGWpoaVf8EtG0cnksDa1d4MhnkTKAGvsh
So2H2qk8QeuVo7dwEPRyZt7Y0EmexvjQiNoX0e+xEDt0pLpiWkPCL9xFevmyYw2zKorogzFwGqYn
Qiikk59j+iOXa9u8sEB6DbO3cblWJtZe8cLtqu/JtQakFyuhFtDESRDAIVFxm6FnyaXd+NVs7O+W
jB9mYRxTnj9dtqAFZ6E3vdoS2CEnhYe1gu00800enJJ2XDHPz+l4CWA7/0awpQSWa55Hdhiyycw2
ZmBJt+RmcywiYvxKStFtjCgeb4MpKPzWzPmtMtmwjTo6fQOt6rDJOUkBbUFRamiked/mM/G6mLzT
MOh2aBEloPxoyh01lXE/DW26vbwqSxaqeQd0E4YoFovAxy6bx3GuikdHROHvoROVm6l+jTZyIULT
q6ITRE9UZ2V4ypHsa5zLbNNT9mhO9YNJk+9pPj+USUPODvaaOjU2RHMYILM2srLkgc/FzRygiFlB
wfE+ztag8UvmpHkNK04jaXI7QHEo+ZZn7FejznyAzfPlfVkYXq+PnjsTJsvCz3dCUCXGHYQNouJg
y+Lt8vgLrluviqIzMBZkBr2EDeJbPkH5JjLbHzaxDpDv46jk9XsIQnmXP7bgQPQCaV6VYTAQgGRi
w4zQgmU81+cG1cuDL63U2bI/vISttMMvJxMESejbOIbuuYVamStOY+mXnz/6YXBgUdC/NBPDn4sa
guKgmUlObCLx7rrfrnmNmkKcc8zn6ECFx/JxRypwiQqx8mZcONt6oQnyt41hm7j5K+X3UAdq8nI7
FHik4hhe/v2fo4WIpbfnks6qRUgwgSxNyp01KvoEPkx1ryakVFgakh3Ju8zLTDu+IUEVPw8ClUPb
qq5iR8UP0I45xPBCZ2pKw28KykzX4DaL3ATsGB5RZI0VY8nEtLNeZpbZoFcbh5Fjf1IIXmXJBvJ1
K6u4YGR6fcru0qxVJQ38qua+yMB9RI1r39z/q1D1FICHzgj8afIDALGZVCsHb+ln66/5liEpfL46
WlGYYOYOkHAqgcpbMa2FyEbvERWGjedclbKDsrrmIShSdlM0tbmrewbRhbRI7svRMjZtqVq0MiPP
qyLxmzsdjzx4G7kZ6dQezbykvrQT+5iOUFOGZURi5YJZMAq9fmPIYshnWgR+ET7x7IWSW7J2cJeG
1i7lzELjt2VWgU9HNiUbYZQO0jCZ0bqJHTvfLy/wwvbp6gvKGYrcDpEUHqyh3mTOHP2EOjl5vTz6
gu/RBRjapmW0oFT6U46uc2XkpyrrOfiiu99o/FqxkYUp6OXFxlLQjKKwQEHj2zQctlVcrZzJhS3Q
i4ptZbUKvg3UJeN9wautqSaYWrcSLi6sjt7gK43KAJMAbt9xlBs7mz1rdABzn7f5Gr5q6ffTfy+u
Fi3+JW/Ov78sgdOJE68pnRcjrdew3gsBhK7+k5hIEDVlGB8yCAo3nilI8mjIOjn0naG+AH6ck01n
YT5zzNbqGAvL9hdk+eE2bsF5q6iwDN+yjGNVx4/FUO/rsPtBTfL7st0urJsuq0ETSoUJ4iA/V8ZB
heYvg5qPE9QhrnOaet+1rPJwtAGBOhhNLb2qIL4ZFWvKNAtBtq6W4XSAI6DftDjkgQ19HiSUvkHv
y9k2FPQTMbVmAIy6zM0KU1WbKCnWzHnJFrT7MY+DMUvRtXDIu9s+3wFrXZEU+e+fqTlsmmztwlnY
G70kWyokRoCFRjZUDcCcMo+r1EUItXIoP+fdJpZelB3R0V91Izu/UaByPIxQTsmjocSjxM48npih
N1FZeMEEPBqrQ4KojXeeQ0CeYQ0p8F65kCcJeoyVH7Rk7toFm6ZjzboRR0x0fbO30Ab/2lpzYrsF
n1AdGVMoAF+2+oW7Vq/JRgIsMrmJ1KZdVG6a/o5rEFODSpb3t4m8itUAy3ve1g+nt++4IVMQPfiQ
U/VqCQoiqEeXxZfLU1i4C8zzIn4YXaGtHVw9QX5gI9BobQAq5Jo32e7y6EsnS/vtwCUlTWzQ4mBF
FRR/7JSUT4YQ4ZbNxuDNsv45zAVkfwJavdPmP86uZEdOHYp+EZKxweAt1NRFd6en9JAN6pcBM89g
+Pp3KqvEKQqpVpE6EgW2r3197xmmaKUtvDAvuptL18ArN8lafnSshgSOGXd7BtP1py4XfM+rEYUl
1ojrlhthf4+gOYxjWcMC6oic6VhTeUhBbiZ1eivX9N+W5kg7lJIqNLoUejFBY8zFXT/CLSbuZrnS
iFsIF93OBdo7NHXCmgRpvifOtB/Dn20T+fYqmH/p9bVtjsKuveSDPYOUXe360NmNIX++vL7OP/of
qYwWtXeoE+YkaEcCPdbwASTwNSbJ+XH5VywDpRfXEiZee/waY88nzn7sUcaOflx+9/Pb8j/yGGYc
lVAzdopA2SeX6vfQMfzBWHn40sBoYQ1Zpb5xG8M5NjF7BC3wC3f7lZheerQW0xjgMaU5pUdl5Ikn
alF7g1wjSZ0nfpj/KGJUVQptG3C8jirr4ZCVxZUfSfotqpAvQZ/EbYOopv1tL8Eiyuwo3TdpO600
LZZmXIvktJxIRGduHtUE+WKbiQ+RyC2f1c4l3Zqt8dKPaMFsN5CQ6buSAG2T/0dl8dbSeiOs5sC6
qxB4GEP9cm/SJp7ziB3NOQVt3Ez3djJeGXFaMIu0GYeRVyD4oza/V7McN27mXAXCNZkunMHdTtno
DpNjnzr3wGAHJtJJMjgrF5+FkNPVMxTrGzsXkC3NI8t3GdlPLL1NkuFwOaIXIkOX0ABzIStJZqqj
KEEgqnGuVfLX5UefP0iZe1pNfxzTqc1zEHDsEb1zyX2HR7/mQcANdqqf3MhWfi8YWCCQezaksRIN
57NTpstphBACcrFrq2Nncp9bNvwAHyLYFzv+PO/drNte/rLfPfN/e+lMl9WYKgLwI2QRcG1wGnDn
SsAFh1CkfhXO4xdU1SFFW6Kp3g6sexSDqHF1wf0lUlV+gLWGe5uNvXoBp6r3nIHlwcBnBxPrZgeo
3qnPaibzdi4M86btB1BlSvi1gOAVRkcBWc3cY3kTvUaOLX0e5eSgBtnsserEhoMtt+2YyTe9guK4
VcjuEIexva+ceNvZxfdJCrWzMzd6YF1GvoPv+lSrpIKuLPxhdswYq/de9vEhgamOT2oB16y5MSAf
ZDaJu4nNoj1wy2K7cszmfeUSFgy9Od0yq0ZDs6LtJsmNZlfJvH+MFIToir6xuE+EaWxZN3Z3BqnY
XYiWycpMLESHjgKg0N+uHChFHuv2Z5O9O+SLSNZ2vaVna9sGJP9cGK6DlUmtAmCuNo6R8GX1CP8n
MG9XVuzZ+KOuDtvFphoX4MR0AVQNHDSPCvmUZUjELi/Upadru2qVGxzG5J0Kcpu8MyffmmFyTdUE
L66NTgn/BhC3ZzOYcvGFDfFD5EwPfIhW9qWzg09d/QKYC8jWFlPTBFVr+ml6ktzxQIO6PCxnzzM8
/LR9/LEzdSDTpE3RsCAs7pP2owJ1mjjfk/j7dY/XLnPQ253bYm67wLE6w5um5kQKUmBnG5C6F/ya
oh4+QttexaRGNs2QdRuRnmaZu4utNc+CpfE5Tcof48N4CuuAGYsyZDXddO5At7VA09kWqXvILKTE
lwfq7J0Hn3Batn/8TsNAOh5nASmxUu4j3EG2o1VlnttC4n9OK6h212s68UufpOVJaL+kppVC/itj
OfuZyhEuDBV8FkSfkb01JO3m8ictRJxeai0LYTlR3EHNwurueFgdZpe+Xn70UkhowVwycOAbBxGX
sL48pOZs31QQRr4T4XjVvRATogd1k4Zo8UxYUy7ZGdasvEip722bvED84zppOlevu6lWYm3lAn2E
ZiL3dkasQ1S71XUT8E9hjNjT0KPeFVQ1D4+tlbbbmEVr5u4L06uXHsZuhIDS2PeBsMWxtmwk9WLl
xReCgWhBV2Z1ko01BF4VhcKv0xyiAooUPd2NFuztzZXzZiEO9DJDgnKCOzRZE7hm8pNkRnxjlOpR
hYJ50MEyVkqfC0tVry9AfDUs4KuOdQQhFDPihTeYs0JhzZL+5WA4m+lRl2hXEpYxWIqEIBW3Vez1
6UMdPtOM3SSnrmrl+GNhrPR+lgZMizpwWuO5yBgJWPcOXhAsWO5n+8OOxEo9bulDtJCTEPqECLhN
YLFEoUqQGPWm78yDHbm3oHaWfiWG0XfnfGX+zy9gRxfqTDqjzPgoGhCYk1vL5J5TRI+Xp+T8pDu6
Umc/W+NUA20QdApO7P29pSTk1D6ue7h2ptrF2EKQCZtfNN4aVrwRJPccp15ZTUuvfpr8Pw6iAhxg
Fhe2GczOfOhKUPjpqbfsXuci6QgttgHwyLFRQKbJ6qhPp/q5S+W+h5HR5cFZmtTT3/94/VKyZCJl
3wVdWH/0Nn0aSngoX372+W3J0T1go6I76SpC2bVyYzASPyCPfXDkM1rivlFfJ1bm6OKcuLbIfKyR
MU2G81Kk3PTMKnnusFBXNqSlEdKi2LZa0oNSPgVxn39hIt9Xlf15eYCWHq0FcJ64U5afNNyGLn9V
YXJLZXZV+u7opQWSTGCK2ziOs8TwCLx/eLN6hcXS+OcGS4GI+3vJVIMMK6dF2zyOy9GE4wz4Ztac
jYcarmlb10rFyoazEFp6gcF1aCuASSVBzovC7yWo+YnJQW4dyBpReekntOjluPC78xDWQTptp9iE
fYPfOuXm8vQu8PccvaYAewCA1hl0/PMGcvtGsXHb7MS/6d9CxQ5TYv1iRgUh3GFrdjNgVcktWCFP
V/64Ftmtkbht6xo4fape+kUIwzWvDtGQ9RxFSy+ZLLKpKWZMEMideJwLsVHQjUcfuBgehB22r5ff
ZGGV61qfoYpEnEywSwjLziuYdQsDoRXs0tKjtaN8YBXpXSTowcjZAEvDijxAaX+NF7v0dC3yy6KE
Qn1fdYHlvNvDK51+Xh6QpUWnhX1lTbDlqfBcDpELZNIHlFECvPf28uPPpwWOzuOLUou34YS0b+Lv
FJT+Gjr9RZTsCCqvJgpNfbu//EML36FT+sCOG6u8ViRAw/Ohz5nlYftIPKbKtTrK+QzKcbSj20yp
yCTLOzhwctc3GlLt0MhPNjaKYH6Ovs11O43O83PNQUZ8hIVZ4rJvCuhawvJXaCRfHqelrziN3x9n
LDzYcbj2OGPb0CJ+aIfGc8lZ+QWVtWQvzChaOW+X5kOL+JJnthA1Ao0lc0OQlPfGZkYbFUzUlKxk
agtnus7wI+hA4VKBtZuZ0o/c7Nj1X1kL/4n6ewlQ/OUBWwg8nejnzF178iLskGmCD5KQ9EN0Yg1b
sfQFWlSLNLeypm9ZYE3pJ6mSIxf0hqZqF0XODhiOlcRqaTK0IB+gEmLJUNAgCmtw5crGK6Ppziim
NW6nyc6fwzrZL89speY2Qx01qfufULBrNgLVxm0YmuG+rlkLdIrlbERkhC8hnKxhAJORT3iIOq84
GvJACMF2V02YTgzkqVXGFvYc2Ck0Xzt4m0GsZ80bbmEgdX1MIYGvsoeBBalBbS+2m4+5lBHymfJw
3cufwvaP8IQmYMbaaMTLz9BukPPwNpHu1+VnLyw2nQRop06WM1LZQU8/qopvq8jeMHKT2/Mxy18v
/8bSAGlhbw+cFHk+0MCInlLH9Sk0i3q2MjinQTiT7OnUPwJpn8m0OyxjoFacPH2KCvHJBXmZebIy
Rkvvrx3iRtm5BBB8FpQh/N4smsdfKqkaL5TjvLJrLX2FFvOSQ94in7gFDYPJa+AABOS631XKj5vr
ThCd9ucKS/ZWaFqBVdXmhtKK3vVZGG1tI1bX/YRO/pPRZLcRbI6COgoR5JHnjI7PuyufrmX1Ap0q
EIfzPJAVgUZZlkAJO8nm4cUuOXj1Vy1VnfIX13BxkQKC9bS4V+0L6T64+Hb50Qtnhs7ymxv0jCZT
tpC6TAt/Ml3jSPuyWCm1LMSxbiIZ27EBgDF2c2zkt3E0/CxJ+9ol8r1q7R8lIJmXP2JhnepUP2iJ
QDGc4UI48uJgIff0oF8C/6ee+VFtpbvrfuV0oPyx4bmp4cRUNFMQlclzpJKnaRruWds9Ttka53Lp
Q7SYRiI+AFcKlfWpeyLIQSv1hfDXePh5+QuWpkOLZ9eCcWtS1maAg6fZTk5ehx45Ke90LP8wOAhR
LeuTr5d/bGF/0rVcIVQGMXSGoGg56ChTlVeHVoUvdZ6tcW8X1q5OAIwIS2NpofyVjfZBKge+mt3K
whXn92+d+VeMdtJEKcxcTLiKg/iAPlJY07uiKG5R5f5mYxg9AUNHaO+BaH15wBZmR2cCFnNHQj7A
Bw2fImG9wNW+gR+fvOldp/tWhGj0boDVKH5d/rmF+45ODwR8T9HOmuZgTob406aV2EVJTnamQt/b
5yieQWnRDpF5q5av3UwWFoXOE4R5q2G6ER0CaW3BOthm+Y3drwXo0sO1E92Y5y41WIhrT0RMrxzV
6BlSvlTdtFKZXvoBbQcwWlfEohnCIyCjd4qQ/2o32/WG0aysgKUFrYU/YJ2RkzA4wpyAamUEy6sk
Mvv95fleenkt+B10d1sMiTiaxqfq7ucGuoPXHYKWlrSzNoybaZgNuMLcjzBY4lPslXwlCVl4b52s
B+M8CFAmU3icxEM5AVrdPrVNunL3WxhxnanXw8sKNaTYOCakes5z6DCDtLkGU6PniasUFpN/Hxm4
6hchmibJKcEfCkBvhvIXj3PxlPKIpP7cuEnmOUneHSB0yfy+TN7YkMzfW6TqkCxjNizcoZ0Z9ry7
aZBgHKMEIqBJPJWfrcgp2rVzQgOo7MzQ5+6AeQ9bYwz9PIPk/swrQbxE9u193tbpBs0t+nk6Xvyw
S8Ygq8PWn9K+/2IZc4hKQcGFn/dKfOuLqq48YSUCDtwGsNCDG4LYpuIeInZtWb3XQtmNVzidemmh
w3LXpm3e+nHbQbJcCWn85EZqt5saHtJfmtAAjqCkdhtvBbc6UHk4zAgHN7W/J0kSEuygkr8CeD37
YwsBVlsRJ8B9r36zIqP/NibcSbwhBSuaxWDXNaW8gSYq82QS0iPE0ZvNzAkMKbu2f4Ha2q/Miso7
KbFvuSaECx6zOC3CDRFR9Z+E/aiXJaT2ujy38FOpOx6Yq7pHHkfNjoZV8RROasZ/d/+1XLUwdBxh
Z92L7ghuM/aVZCAProu4dE3T/m7Z3N4X2BXuY87tHY2BuYnAkNxIO6U3HUw0/Yqpyh+4qn1nos5u
BqH8CwSGh18EYF15lzXYWYsBcq9eXkBxLQ9J5VlD0X8zBC3eGgMs5sS00MHomfJLi8MMich8o8aY
+W5Yx3d0ohJmpWrcGHBMG7dpKCE+51b9YB1kJavcN2AD02wS2kJAKp2GpxIAmI/RionaWq3tZDuT
GiL3+yLMQKBm8808EF5vJrPkb3Us5haSQTQ5zINk2wyoKd91Y9b7pZ3aUBKOTHejrHJ8L8YUdZPI
dsotcCpD5mctM/e8ddldzBP3qVGxY8JUEyLjPfqGh2YQeePlA88gTMshILltLaPyiJ2V8w0bxsza
OqYtg7q21c5JEh9GmdYB2nStN2MbwDWBDF8zY2bjxpG02GV2GT6KflI3YKn1Epl+AxQIz5ptnbrF
LkzL4WQf6pbEb6oO9k9pxn+h1m98CBlFr2WSInBkUbJuC9h3dcNCi+3L2OYPQ1kmNcToi/IugVKv
s5VNMr9DBId4ztyMr+jpWingWrHV+GPTFN22ZGCDdKNh73DnGAEBso2boiXZa5gq96s7CPhCmIMF
AyfwwN26nB6j0mgPTcUTVAD6Iegdp9jmFYlf8xLtSRdutO9h3xqHviiMrZvkLyhemDdTJdrWgwv8
8K2OFF6HiGIzVRbxMNvkSOY8eYjBfMr2pnBsvrJnLm3I2jHLT+KK2ArqQACtgLlIoT8iiB/N2faq
k0qn1nLXqmIed10QOc5H5A4nbcXJ9qx6rcvzG3Z05nquM2upFc1dgh7Ncf5CGk8+jK/TJ9xl67v4
q3o0vtF393186R67u/Deerr8UQupvc6llTUvLRm70Eav59xDiyEEPimdjcRrOFijhZzX1KbPzw/X
1cvSOm4nO2J9UMam2oQOUD05zX4UxlohfiFRZadP/OMiFLIphYsShXGdmLyOdzBD5ptIPlU9fJGr
eXd5wM5/hqNLZmckreABNXZBDo3/3VCE7UuiBmV6mbHmWHv+J9jvEuEfH9IBug/UWFMGvGF3wAB+
h1XBgUThlSKwOjQJgCGIGOZlHYSRc1u07a7IExjxFmQlhT+fvTCdB5ryMmS2EeFG6loP0rbekLtc
leqyf3BJZpMNme3mwYmu5TBAxGjjDfzh8twuvLgOSBoGayitnMJuxphupMP2womu6hownQOY27kF
0FY8B1H/teO/AAsEcfqD92sqWEuvrqd0Jkz4ILbhHCX6rHclhwF40Su5kqSfDy0YcvwdWpOwZw4l
7jygVYLsIWdBb4v7MSnvWkk2UV2RqzZxpmOfus4NgfjE/JrgTqjC9AZAMntkFZcn+PS+/26wTAc9
KUHBuMmyOaiI3BitvAl7E77aFSqsa4zCheDVEU+1JVqe9moI7JiMN5PTI9ebe+Qdwqk/L3/F+Ssy
0yFPSN1N27blBLR4vSviKtlAnecTyRey7Tl7wg191w/qKugB0xlWeZSiHp2aRWCkhRf2N2QNtro0
F9rtbCpDmBFbZhWYOf0uFQqUnTlDHa6mt9AMXCNCnY8LqsOcWqDoi3EQ1pGM2UvjTl/rYlrZLX4f
y/+uJqrjnOa+tKcQ8ldBK0z2nJeWOPBcSKSTwoBRCmpAcGqP6l75fACW3hcj756aqor2UT2R/WgR
qEUaMAGO970Yhx8tLHXhXyiyGIJAOSU+UsR419vcvKVlC8Ut0xgfYc9gvpqDAfcA0YhfMoygie/Q
mHp1XqPyM9txeU865A+ktdV/MZrHsL+Im5fLa+/88qa6L3Jqx8hVsxR6+XN1pFGhNm4TPtel+/W6
52s7jejooJokLoOWVn472p9kqvZp1V6V7lAdfyU73EuqBgbeVpjdyCo6RFW5k6TdVXO8EjDno5Pq
tshuFNGuD1UVcDHJgzWzZ0bZXoawITE695mK5BB35Rol/3wUUR2VJUkvSliulUFaZz6qmZ7Mftb8
texXFvnSfGu1nzG0piIO0TFi5oC7s8uyt4hl9nGobboyYOcPF6ozvjJBI9j0Kpwp1exPBCZTw1uh
vkoO9Zq1hs7SMGmbDXqlM/SQgd1R3L2HVXyEjNA+zE19G8HIauV0+S0UcWZD0GFaUTqlAE3lTVBk
vtrF9/Ro+a2fbYjhGb7lNbDE3Bh3w5bsQu/4HG3C+/yNb9d+fmGr05FclpyAdcgKGqihzl/LUbJd
X0fmGhN/YQh1/JYjgHg+YeeCtPxR2TCAYl9UmG2sNYXVpdfXIt80UVPsKMwZZe36wnVunekqDjIE
SE6L+4+EelQxTVAVpwExm2fUjh95vsbKWxqV09f88eikjs1szvBoyvub3AQUy4btjZeHJUFpflzD
pS7EiI66qurJNitXwXMigtKw26UKgmpW9KYSwv2KxmnkQUtuzVJw6aO0oE9p2DdpjiY9hzqfU39p
62/MHbwqXSnMLj1fq/laUVKgHgEvYmns5hnnZfoOELdPu5VN67eK0rlA1MK9oo1ZoMJnBcQHV/J1
hPCsl3/tvIf52GxTvznQDxh1Wc9kl2+MG+Ojfyvf8v/Ik0o8Z+PcIFtb2RIWtk8dveUOZTpHkUSL
tBF7C+jEjWiL59Cum+3l83IhanTU1tz2AI5MnAW1Keb7NqoS+P+Ya6TipaefluMfqzubLFH2fYRx
NNnNUGefpdOt1M+XHq2Fuxu2lVkA3RY0Y5WgIDUUz7BWgi3G5XFZGngt5LGEwfaybBbkyti7BMUa
W8W1F3ZrruRL73/6+x9Dg9wBJEkHM8tVdNM06jYNxf66d2d/Pzq3jdod5h4wE7Pcd8Xd7IY+LDtW
luTSi2vBDRqgMQrIqgIV0P9oCEc1Pdxd9+JaXNdstO2BlnYw9Y6XtW85ZE+jac0ZYGlKtaCOYbup
rLylAY+ru4472570zjaN23ll3BdGRodg8UbKmMYOCxSTN3VdIWHLxdqwL+zgOqgKQpfUJsR0AuWA
RZspCa5beE/TXHrgyza+o5wVQubSZ2hBi9aEOw5hYwd27eR+3I3tJsqslWRtYRJ01XWhQL+A+9YQ
pPTFnqCeUMPtZbrufg4pnb9XPrikNLKIBc7WMH53yfzOpfWehOI+NLPrTKAhHfX3b0TCaYRZjogu
5s6PAO3K7dimqJTzmftNatXby8Fw/h5gOtq3JKEJ9wQGGICk9XcH9svHeZoKaOtbTbFBl4F8JR1v
Bw89yvDH5Z88f65CGVH7NHZiTKSJe2ysYQu9dbFx7SnZQMr61kisK6GKVEeRZU1OQgkUVmA00EsC
ADPdtRFM99paOjvo81looNTVcJxUVYFjXo876KW2B6Ny+kNFUvrhxrjnXv7kpcWu7WZcpXNeuIIF
bTEJNB7N3vwA8MyJrztHdF552cgirE/HlAMvbsY+rcS+6eY1wsLSpqBtaXPmTI1wkiGAfPpeTK8S
6kJIf3eJ+8tJvl8eofOLgupAsyE0Cm61pxSkdjy7AholP4AE6wHwsDJGC3Ogi81ngwMXRSHtIC4i
4UcJRCF5VawUTs8rdFGqo8yUrJ0p6rAnAFfT+ZDgkU+yK5qHZhiM+y6GwYQHxa75dhakuIlZ0ezg
4lTt58GoXkY6ssbrojT0o2yuVyhoS9+rpS5OClY0NhAriIbsbhiNJ3eer3y0tmlMlo26fNpQ9MGd
6K6oB4kCn4yvOxl0QJoRJlXSwvohyOQwHXp0ESFpVNorGd3pHc8k3f/4eFuZY/UVFvPYfc7Gl7oq
0Jx/v7yIl56thTmNp9DK7HiAMXazKybpmaHYFtHb5acvhYiWt2RFgbpQhhBputqT5DYZoSZlZZ6R
XceDxUn/986sHN7lCg1ZELjcmzG3Yk8l1odZmmt1zvOnDdVBZ7ksE1t2AumoWw8eydsPw4KAnUxw
lBqtl0JCHz+5RkpZmA4dh4b7NIUKKn4tETaUayN720hHesKIVvo8CzOig84c+J8mToXxGscUbrNj
uaWsaj1IJz8KBdejy/O+9BlaIIdplpQdpD0C65TslYn7aBXDLZuuA2ZRHVZW0aEdW4avQC7gxVnn
ceDz5LSGv13Yh3T9eVUrIxrzrgiKFkpMU/dSdGytn7TAdqN6LtGNIOXYFTY5ZQ/bqYbAtpOEr1wa
0nNdC750cNFNYZ1euvXnOCX3JFbfsiS8MtnXtePNDHk47IARkiiqvJNBpkfDstytWVhrpt1La0yL
eqhG1/CVx21FCf7sZKcjsa0OMRD4Ptpzr5eX2NIcaYFf9BCkZzPORneMD03WoXEWP1x+9ML76wg0
M3aifG7AhC4iyyvGe+U6PmG/QtDEL//Awp6io9AKZ7KTYozsACqLz8Wc+DXj+wG82TIdHwcLBvPV
dZQtqiPSyFzQKYTNfJCa2L5QjEd7Dl1F6JmuifsuTISODlC9a+YiGXjAkYPnzlc44lwepaVpOG0u
fxQCmigsRqCOCDw9MwcGQUXxEsGY3YdAZLJz03zN8nRhs9Kdik2nYwLmDBywYtNjMAzEPzNbybKW
plq7OUytTSA6NXL4wiJ5G25DkXnTDGBbWHtm+UzqfHN5tM5r5FGqY1xk0mZhHKGV3KvE2Yctc48h
S8uXcSTkwDJpyy3JQ4jzTY7d+3HdZtnGTWu5VsZeeAGg1P6eL85h4+DaDTrlA0R4fDLtyxHGz94E
TBr3mQHVmZXj5fySA0z2719q0TSPE16P4CFOD0M0PaSVs1JBPf9oqsN2eIvWmC2GLmha+qlU9tmU
azoUS+tZ27Fya7RzYmIplCTZT809iZ6c+slKrlNOobryvTFkaghHPN8B1BQmM3A4XkmeFyJEl73v
KXNJnGY0MIs49yHWke1UaVO/7PI1oaKFOKFabQVVZYjzTiHY8hAFZuwhpOULMR+alu2NBuC9KzMT
XQjfrEuzGEBBD6BI4Wdm5BXDD4iHby8H4e8ROZOq6yLqqq4U0l2cStWGPdMj9/Nj+9X5TwTVTbu1
Hybf2gIE/xw/uh/kWdyZx/42OWSP2bfiG6fbNafohUWs663nRdTnUB2uApsUL7nT3fXTmone0qO1
/QzO0KHTNAQdH9o+srp/dWtz5VT8PdfnBk/bQCC4TYquPinOwP8HaF2n8kMZdc9DmkzQGiTK9p0E
0vFFOc5fCqcPt0k7sndJefMF3mKtB2XhaBPPlXWEBgvKmLGbfzNmFDYFJEOVl1ph5028Y5+yG8Yd
/A/IlzyPOn/o6mxvQGnQt8fI3Zhx1l91ATJ1pLxZiIqSkyrGlP8weL+bRbZpjf9g37OyFZ7fVCDr
+fdWmDWmWw6DC2fl8q5LxLax1U023fXG++UVff75VFemHxWphwFU2WBuNtTwcBWFL/SHVMPKpC+t
J21TrDrw0fiINrgprS8mHL3MIX++/OoLj9YF7kagQgYUxNC2nZmzLerJ3dO5WIMrLgzMPwp3sh9H
WfAm6FLy2oTOQU4SxKpEPVa5vULWO03iPwEB4VMt2MrckRPiQR1Jz3bKnmMvFOqNKmJ7wA58Zrbh
Zfk8bfkwW9esJ/ykFoMxTCtYrSjApEY4eCjzxMDV4xAvs8L2Jxh0XJ6b35IB5z5NO8JjQwKeEHcy
yJOhQI/NEgjudKa3fIyinT2PfAMlLYB0estNPUul0baMWrqbGAUl1a3U1ymTHFq2wtjUYh4fxsHg
b6ZVGqUP1Lf8xkK3f5hbRRicV0P6CTHx+HmSBeQ8ItuoNlOcMgimu92mktLcNKhVPBRlZ27TUtQH
6MO3phfXXfRWy3A4io61uzbpkbi5BQdWS5ibdK5LGAH0Bu5rlfWacp7+GFhZbF0+QhHVAkza2LQR
ze8zwO8eoMnWbliYjNvMTMbDUNbzLkmtapMlTewJbopdPmd0kznGcJcM0oIDUAYYmlIfLewsfSuj
4s5xXHV0QaHYJ5AIgac4St45vEc2uVmqL33dQG5KwoFkynCrgHrK8GzwIfbIPGYbTOz3EWDXXS+w
GV6ex7OZAeQote2nLLM55W6hjlE2gLx0K9reF8maV97ZGMPTT8nCHzcAFCOVMN2kDigo1fe1REqb
GOlOmVUcuBIVhcsfcXajwM9ouUfMUpVVoJEEpvguJGrEaynx0vuf/v7H+2dlMoBlDtUS1Sc7u0Q8
KRe6H9M+Ha/zUWU647atQ7erRloERILr0nZH2eQeUNSby0OzML+utj1nLtYvIETYgYT9LuLpcbDZ
2xA1a+nYwgjpbfwabqopKdGz45BlkFHisxYcgyYFadtcyckWNlG9ke+WPQOSz0HrC6rUsTFOd4JZ
v6zUfa2n4q5sGgq5JFB8UBmhKz+5sKB0PZaWcUOGNIsD0KDuZzcFY3hNLGnp0dqSUioN0dzvxoDz
0RP2Yw8h5MtTvfTk0xL4Y7FOdpjCciOPAxycj1yBIgQni6tubCbTOQrSSExV4W4V2FMAZePNlFcr
Y316vTMHia600hFJDcOhMsCF8DGN44PdRLdGWz5eHpWlx2vnISFWKusaC9Qupm8jyzZ9fYKFltZa
j+fsxQcjox2EnYH0tTDEELgcRihDfuSj23uTIW5jV25VHJo71Ym1eVj6HC2eydRRaI1aEiuzegOA
Bsc8PdSSHi6P1sIa0hv91CAtiYZGBsZo9ru8b+D/WtXtSi1lYbPQO/2GCUe/KAdHzM4/rNjwwUvx
8llsZPp6+fUXRkfXUIkreOE2EiFQNt+Rj24NcmercXv54ex34nlmqeotfpmWnV23VngklpEjA2hF
eEjtvoH3muQNyoys/pWNRk9uxhm3YY/GkX0MVd00m7gnxiMbJ/VulyR3brrIqp77qYvfp94dv42l
RQK3y6KvhZXw96SO8g1kBQfp05oVcHOGn/AeIoP0FkQo9VDAQvVB1aI6SsL4a4UDcNemDJLlsHnf
tbB78Yeh5f9FZut+uBEoeH0Ri8yHEpPzBB40+6hy9Le8hNpp7Fl5Wd4r2SUbaibA4DZ5uRESCDTL
pmkQm3HykdmUb81INlvOFMr1ydQOt5aMskMIsAY8RsLpMJo4LEGZreVtAtryE2m75NgLp9pP7Ui3
/3N2Zk1u8loX/kVUCQQCbgEPbfc8d26oJJ2AQBJIzPr13/J7lY8Tt6tyd05XXmwLDVt7r/2sGO2C
v2uQn3GKti35WS2evisj4RSJqYJ+B/VHt1uYVFfGkm4D0Gv4Y7ZxfifaKNi2wQC4YokurOPo9uqp
kZM5Ukg5vSTksqkS4HHlQxg5Gp2DefEi+kECQVcE5s7mnG4Y0cFvGTewSJqU/zDPMX4+U2WchKDt
Z8zU/dYN6uawjE2RUs3Hn3Cp7Z7ccUBDYIm02Dd/8ehGdxNbrsXgRuqa5NrcRy2/DfzcwPSocdNo
Zs21J3wG4Gpo4M7nV5nsNd2GzJE3+JvKprj2U8Y130S966RVUYhUa69PI3hVXcPkFmgx24YqZaEJ
09l0dlMPbvdKGQle+mo4iXPLJVMjeg+5GVCXoznhMDGxFN54sEY1gYs3WRZRAo9odrU4NEjCYMoT
KBPyQ84re93oNn8GizTft622hwiLcQ90wQIoLOO7jo00i6oWFeuxdX8YWpu3YsEkMrETP1m9xNug
tvMdoJreD1hoRj9jy6fXsMH0cArCfzphQdIFBihLiotAlLbWWz5JHKe50/Vp7AXKbjT34+vRx7+Y
exBjrUjqKX6Si0omG31DDxxP67FQG1PDZdIwaHaEfoQGRm3bhjabjqEFF7+WbunAu00oK/d7D0HF
ppRifJlCHd2MBJmBSCizR4o7PKD/stpoOYabkGuU5oJm2pfhYBK/GiSaMpux3onaipsoL+g2L51p
W+RF+1zF+M5cIN+fWtqhGdWBueECe6xb7gwgroNXcqfcFoR/1tI7GuXjBlz/KZEMgPbtqAnJfOmE
n6BrsLTEqtSoyjtjov1lOnjtYl+LEa+JoHH8PgCdZu+OPD9W8MFLHT8Pb60bho++bbpdRxuyN6xG
5nnksHjnUxdnuRsP+4DHw3axlKTKYARb0goQ0UaRsRD9pn5O2LZuJSxb0dENuVzbcYGuYCBFrPQ4
PaCFHr2zLS28LK69Ogs6/KclAJFA7mNSnxqyU4X84ZZw6u2A4lcZg2n3TnA6fudh1dQZwLPiWwce
xZHVqnksI9ntNGnKN7bE7Q8s6yaNTaHT2O9cP1mKUMMDoW4dtjUKiN1yqSHlI47f3AktuAsfsRnk
H3A37bFqMTYpqCfEpsxFr1Uqda0eRlj2ig0L6k4kscfcDFax86sIRnkzxgRz3lCyPIINyXZVpZwn
6/ngai0eIQFcZQFPTYLA7z5EafJvzizmQ94WVqc11fZuMmU0J7BMje+xNCDp9v2qx07ji+qqxR1g
HwChNSVzu5jpkKsOhgpRMAa304T9qeHWhnsRSj7ctcQOCToha3fTOYp/L0VfpBroAMT61hndpDdj
22SmaqXCtchFa8cAVcfDokZ4A6sZWC3MGX4JIXLufDz9/Y8QkQ6wpet0Mx9Gl97lBUecovjHzMQl
ot3pxvW3E/IUV/zxATJqc96hGHO0g7mOTZfWMVrjc/nkIvLCur2ktDoXp6wSK04ohq73kViZR/7g
9+G2qM0/CQZcylYRI3IPRFcRHFIqxqOtrug1dAIcXb+sRPqmu3JscOfn04Ui2ZlXslaeuD1yNQ3S
zkddP8H7feM5dyJwL9zuzwRca+EJjNIpjJ3a5khq3fyOEN4det/TT37TA2AwOJe0Zud+xGrIimpY
iCsFLuAF7KYj+THU3wY5Pn8deJ17+irCZqhPFkVh1VF6wUZP3bR1jQkT65XlhXH6u5QKGYRVWN2H
49iidaA5cpRgDqVnJPLVZfs6xVC0cew/12BdAPKEnAwv9DVo58W+tWO/kfVU3NW25rdq4JfuiGde
21qygtcEpgAEDGj4gFoIgIYO2BCwtvsXgI3uvx5U778Mw1/W6lqq4hhARsbGNUeDA/BpGabwZup1
btJ+QrLOynGCXEYjoVaKAQ068K+NP/Sce0+0Br4b4Idx+N6zBuT6mi3q1ijc4QoAFx/9EreuzK0X
+h0o/Uhi4cPzJzGt8SVafcImjdrKpjIAeUblHi6s1I9eBFuGPPVjFVwVxO/e2s5f+izykNmBSbps
82SeeoJgIoi7DXIyQ5BImqv7wXHnh8CNeVpqyp3EQ1Eoq7p5fm9jHZGNY2T0Rudp2bQjyzeEzg4U
fsb5LmwQfXMtXLtROhDmNaJRs6SoJi9PbRP02TJXFmlFogGUrMI9KPr+zTgKdaxV0d4NoNKnQHgA
8O15QzVn1dAH8QbOWWADGC/GV2+IM2TlYJy3kpy4Aa1y+l0XNCLlflE3GUCmZZ2AvZs/ECfIMeSs
f3Hl4j5D5j4lxAMIwIuq+z5s/b2HfrZUNJH3SaUTF1utONSjjts+zT5Z7tqKmL30FCInbg+TxSko
RQQ1WD/0ByRI4ysVCOQyODcJfGnchPTtuEXL4gzbHht6mR0qeW/8oMqaCKaaucOdncw9aFrqwLnp
A6MzQ6bmox5tubULR8WGynI7hK7a1p3zHYVo9AsymgdJOc41KAlWq6REz3Uaw+wY9K24QAF9VvQe
3Cd1ROty+167AOqkCoKNexdSY55pM0d3g/EgMWtLp7hdyskLU4jBMHAI4o7Iu+lbqKoMTJRndd2V
WgFh4GODTseuESdU6+S+WEd6V0FeYH+rF3Sqfza8Cw6dVwMQjSQqsuFVOPipjlX+vkwAh0dQ0Kd+
5OvUWYjInDZ2cUuJC3JLZj/G50/LXuCK8AxS97SvS+9URPG7g4kb9+jZBWQQWXfHkjfiiSys2pqJ
wDZCCz914qbblxQ9iGXuV3fhNBcpm0dzwLVuAH9Xt1kQtOGN73verm2cPl2449+hGy9X2wX/+th7
hU09J/BuppYijlGzv2cTMekY19U7rOzh/hPl7aafVZnQoaAPCu9XTp53pydM06RfOjDPBGnZscD5
f13Oeb0xzPg/ZTv6N5IMZFNY5NLqzrAPpCir/WKA041zREBJBOLgrdeVzm28jJPahrnkP6oSvok1
Ys9XJ5x+AydT71od415jxjD1gHjbKjR63vB+mF+XKBZ3DWTgU1pMtnkC/yCGV9fQ4YIyIW2/D/Jo
vOUCTNqkpU0UbLooavdN5PZbsdA+I4vGTixE/jJU+birqPAm+IY5LjaS2G0/3VjXHC4Qfr1nUN7T
DNVS+gysNcoslSeMTvy4ap4ReVqz6dkIut3k9uO1IHZ5L2KC/x/7vpu6oIXdOjCaqBLBSMvTxoMs
FK5lE/BYiLUVtsZCoHxBwtn98fU2fGarX8t7IkB5xqWCO5dz+pqo2ABjk4hJpE1zIcA49wmnv/8R
knGL+Zi7znjQtg9wydQk9eR4ANPmJYJ1zYUT9ExAtpYloopjOqMR+Ak5PQY9OHxN//j1EP29edSl
a/BdKcY46Aek99kDoJT7LmHptkuuqiz/AI5HZ/TBHsKDs1Obp/KwD6qkfpsv0I3P/axVwKw0ONDN
yNSR9SI15EVe7BU4E9SsJYpLZTppSxRelp48lX3+AFzTjZDs99eDdiYruRYpYl2jgSZf2qPniB0D
ZSF33ceq7TdG0ESa6SMmlyrY58bI+/8TDEdQjBAWY9QbNNQsBlwcR/jR9usfcuZGsZYKLblHwhiU
raMqxcF1Kchg9KH3lp1tfmh5yevh3HCt4j8BRISr6maCq7B/1fpSJcizvRlvudPV9FhTdV+IrrlQ
Mj/z6tcl/xqXPRzttjye1FsfPWfeW2EakekOR+vXo3bm9/yPQHECDpKgPHLE3vUYxeSmd+I35fU7
aeoDpfqJFe3u64867SN/CSPX2J8SLdUtL8RyiHEDW8BlBsZhMw8/uckvJKXPfcJp4v2xg7mQixF/
yucDTOIPcyGBDhV7+D48ovUp+/pHnJlla4KVS0QMhFkATXgt08ITmTcdSlS0LW0TVb1+/SHuuRe/
WimVKx2qJSdH807f9a19rg9ThXp1MrzP37u7Q/yBAJn8m/ZgLYQzMdoZjEu6YwfXISjQTaMg/xjd
aLvUhTq4dQEvuQom1yDsnaAZzLkIiT6zI9DVamorwOtcq0NEEOrAGd0H9aWenTNDuNbIuQX1/BLC
kAMv32l8WqZviL8uHGLnHn5aTX9MNCSk6aQHyw6eWp75on4tA7TPhc7/7TRZa+TQl5Mbb6xDeK6F
/c6NKNtPmjYXquBn5vBaGTdRVYxOCRvcOmTtDhrbGogpB0mpxrZo6aP8l+ThpUTPmaLsWienEBgN
qAiyA5N50ow/l6bDNWlJoE9OKe+S2dHpKP7xiFnr4Qo2lxH6isojhPUmQaa6/PBCG37/el2e2V+8
VTKpiSUI15U/H0r/c3EtRNYAYEJDHDfzhR3/zIJYW5jWPJriFryd4xDVv6WPZrl5vFDfPPciVsmR
aJmRqyQa5VNdpb71jsiHPwyxRfGmfoaiJQvHPJki8evfxmq1tPsw0rh5kfkALzOUTjQQqDBPb07Z
e3f79UecGaz/kX0thAFo3iwHRhgifM4zFJsuaRTP1fDWsq8lknQAbE8dR98fNrld4IQ0GgBcytm/
tUXXZbGOm23reuxVuTUBLBG3FJoEnVPeqhAVL6nGQOD+VJi3fs79qxxGQseu6qr3IZjUpyOiSxYe
50ZiNTGZA4/JsHPFER18HIKjeeOIuL8wzGe2izXrjiDPWY6eo45xMe8LVDIa6SRo9E7nxr1qWnHh
Y85EImvkHUy08kotZDjK0t2yQO2QWk3nobiNyurgk/GVBPxSKf7ceK0mZ6DqniCrUx274F3T46L+
iQvo0jX+rh0NjZbwlKQdqyvV6JfZi/djVH7+04xfI/AscdlczRy1Yu5DAhc9e6T7/fWj/y7qx1c/
vf4/zrQoCLsIlhDRwTvVrQpYWadFgPmrHN7tkdvh+zZ3hgQsWnX01ZJv2noO/i1wc1efTaiEkeaM
B8vpVM0AQyCBdf195YKULyt7IdA5N8PY//+Fxm1GwwPZHhvkHtTcLIk3XklgVwWsvVUkD3y+oF84
Ex/8F9f9MZaobOQut7iI2hH2JtWjhu2oKJ++flPnHn6a1H88PBqolbSKsB7rekhzzWDa6ZvHxV4i
rpzG438CdS9cR2XGQSqzs3l0mKLx4ETVc1nN35YqP1Rlc0l9+tcf4YXr8KxvXQr9qRcdeHVVNe9K
/LKOunCInnv2KjojSxHB0Q3WI+NorzwGbQ3Ltya6pLk/Mzzr4GzWWpUhGxdIX4ofLYGBQNtDe6rz
6r0bw6uvX/I5M6N1kEap5X0QtiCAuvD3yudmGzbmxW2aNzogsyzmO1ZNz5QuJnFIMCVKlfe4tvcJ
Ly45Nv1148c7Oo3vHxMtLudOU+OLIxzl+K506iFDf5a664PWyco4dHduH4kLIfVft2R82GpWD6i1
L0aBkF850XgDBJ9NTz/u+evhPPf01QEpWanUMFDwl92PsXtS+te/PXd1URtsIaFUEDmqZcy7RRII
N9oY+favn35uIq9CtjHOK+0sZjhGcd/ZJIe9QtINTn5jfblc2E3OjczqKHQYaiORX8xHOMQ3V/3Y
jjvHMvP59S848/R1iObkptEeNA9HNgT9fdyNw9U4F/0/Pn210HsHNBBPefnBH+HlyOV4CxvyMvv6
q58Z/PWZFAlA2KM4rIE/isrMqpxd2YJMmQUQ5EIL2rmPWB1Igk85igptfkCBMo15mEV8yYpL7Zpn
lu/6EAp8zRQZWI2uCC9OqAJnXpYlyqGt+lGgJprSi6ZY537I6fX/sVNMqOCB1DjjhIh2NmbYkexG
xuOFvfDc01eLdxY+FSga10d4RKbTsmsRZauw/ZfYwwv/J7ytI9wj3Go4ztU38HISr/4xeLiuxBfu
XeeWwGoR23Z2UcWJJ1SMa50FMRMvuROqS/vmmdPov3Duj6GnSx/6SwMTjUqrtOrBKdB33pwn/qVF
dmb01yGt9niMGseQH+RUfXgqvoLa7BmKvl9fL7Mzw7MOaVuMTdE5cX6gZiquB01giqTjf4nDvHAd
06JiClwxAZ0AxYwDlHXfufAPSnaX1CVnBn8NdZ6YAzjdDHsUHr9Bd47D8qougYsodl8PzpklvGY5
s7IIw7oo40MrRIOegurWhSgq7lGZgSzQaZznrz/n3Es4/f2PSTRAP8QRCIKaDwFWCp6J90B6j19Y
Yedm0Gr9agf5JqWmAazCOhMj2kfaX0y+f/3Vz72C1QkMg5raC6vOPzrUQ636c46hFSjfa9gif/0B
p8PkL9Hwmt7cFwGrYgd7G0w6OKANXfwI7eOYjormDhxAiv4eLixdD/GevXSNPPc+Vofy2IR+W2sI
THSw7GK/vSdt/k/bETyMV6868hpVwg/3oH1mQYeNAFge/ikj47E1zrkp66pvc0T1Th3dLEP77g2X
GAF/HxK2pibrAQ1dFpjeY6Nj79o4PE5N0eQXUqJ/n6IsXp/ELXrnIaSJ0N3UnQQraY8S+TResn/6
+zpma2Yy3Dx03Zc97tZt87Nlv2Z5w12Y0LgSJs3hv9kPszU22WHwRKkHfIo2Lo7h6km1085qdmEz
/ftKY2tOcuUNZCbxaSE4T17B0R8BLyFYRo6XFG7nPmC1lCH4V64mQX7g5ocDH+tt6zvHanJuUQC9
ZCh47kWvTuNCF105BXjRZJSbyZJ9R97aSaZf7xXnnr5atzCumX1TOHg6GjZ9s4l0nDBz4eFnVsAa
jSzdDq4yIxYXvCh1sojux0j7X19/8b8mhz22Bh/nUJwIQN6jAxxzgKuIWRppmC3C9+NqpEj1hPl1
TpVM0Ft7AU90ZqjWLOQJzjckjBTgOMWQRQvi9y6gGToML5RQ/ovT/3ffZtFqSYdTW1u0cc7HqnHs
ztgItxvO9YuqrJtNfVdDcaO6bd8h7AjgpPOC6y4M4eNS7oTnxpkJJuYm/tK5ewhJps0ggJhE0iK/
FDyce5+nkfnj0PUiUENdXITREdd8hozIOskrN/r8+o2eG9/Tp/7xdKG7GvnmJj6U0NW78zc+vjv2
wpl77tmrA53POY0baFuOi+N6yaziHwxYjgZj+G/ffbURiJFC83XCmoSshijptW6f6/7CvDuzFUer
DWAcZ1k3C+JND4Jr2Epu5+GINuKkW9qNvuSjc+7VrvYBuLFPFS9yBLXx8FITciRNfUGlc+b7r/so
AfAzsoDW7OB0ztsYL789T4YkWYw7XLsD9Fp1eRFycWZDXjdUwmrMbcXUgtJXlfder/amYEcnlHdV
eIkKcO4jTj/zj2nqYh+Yi4rgZBxym3S8zBMRyyBxYSmb8yD7ekKdeR9rO3vYoAXolcYPcZm/FbPc
wb/nwql47tGrVWxcG5YUKYKDGVqWzMbyjXK7H19/7zMLbd3yGEdu2MUjTis9FhkSBIdQssfZ/hvS
n4WrdebQIjcug1Fovoh7p3TS3OB6pGF+cekTzs3W1WpriEeNoot7zCN+rPKBZtXkZ9ZAbCiparMZ
xbULx6Mb/de995ctP1wtO4VsO21tayEBMt7G43nwTJHMvppy3e68RpjfHTqa37F+ypdh6aKdpBxU
pAidi1sF87s3BVeYjYBRoEoiYpxvs6r5Lp7n8lF3FX0d4fMFp+ap3wOmWN53LCquWS6HNDQiOhrU
1W+077MrCs5/RhrQxGsZLPfebPgOx6vKCBldaFvjptg2/SI3kXDdX7qO5cbzFrgT1qbJirgdPgaY
ii3pCG3tdy6H+tljY9MnI65nx6ViOUjcdLjPnZL/VISH/Rb/3M9KH00mvQFPIES3zu8JYMFX3Tt0
qxQ3bzESMvfw74Q6RvfBFXCG9sFxwylOezLbq2nkDgdXpSBXROTTXV3ZBq0GXf4ZO12xjeuyyNq+
LN/hZ9b9ME5IrjmLRsgp66mqt3CMH4EgRwlyFgzaqxYkWeaQ+UGMTv5mG+ggHdz14WLY88cQXVtt
UhUlEEM0AL5Z8wERDY+XBS1JNUWrF4OPpdO1t+1cyg2up55NsIKX4YAfbnN0i7mkySqQqzelP01J
nyvn2AYLeZJBwzHEUR5ch13vHsYQHK46DKLnwW8qugnbpgCdjqOtiPMo3GKFCbUlVRs+NL630A1M
q9C25HtddOvmnRelMDasE/SxjS+MNPZpYtrJwj53MR0KvYVUfdhWuju1m9nq4OhmvGpQqTzMnI8b
9OurDdomTyLx3mRR6cFwcuzHvddafSCqMVdeNHgbOffBQx7p/n2IPJRYWyK9PTRSJrHwftwjHmFJ
39BOJZiw8cNMuvkRze1QF3ue8wZub75Tc+Rto9BTMJNS/m6Z0dvpyDFK+GLnzyAqzbWE/ecrUCni
hhipMxwj+m7uw+U9b0aVjgbVA3ei47aksLSHmJECR4k53WgVbcYoaNK21/JXiLzlPfTgQYbjZrhG
s5YCwILnGXxHT0SnHNeCxh/v4G08bL264bCHGpsnl4GqF8K2B64ByO7fFF0TvRWz22wDU/N7QOYN
GgU9N4s6ii6yeoZec3FEis6AeNNTt3/1x6WBXHiCzp5EYlMMHINOhnETlngKfFagG8abuLGEutes
c6ft4McRXt3Ctn7JxIYSKHOrNshvNepPSem7As1f6ImOZd1+881JaCxadc258rEYO3kdGD96sFPO
b9w2n9POL8N3srhTSlyHPEyeNJmQBHataBmgD3MrvD1rQndPZszM2h3trRyRkJgLVv6wsNjcxcLP
d07kQV9J/f7VpctHC9fNqwAUwl23dGQ/94ufeMTON04Ez8yEooN0C1s+sQ/z2X+P+sFuGmIqN2kc
A11TDzlCiwA6rRaNAnm8BCwjdf2bME8eRWfiTw+cDnS4on0U7JUC8BEej6+oeb7mFq2yoQ8KS9DX
+2BpCPxbnSl4rYqp+LR10aRciXk5CMa6wzAEsGA5iakdU9unCDbgbRrHU76dJBX3nl+1j/VQg37k
jVtShs2jbgZ56G1I36aaEZ6KcaCQ64sG7ZUxvQ0DdGAKqiEqd03xAbUhQb9ZG2K3q8YQHWdRmxHr
An2jY5oVTfMxydq56khlX9EyIZ+LZmxAfRflB+xPR5qislB+j2fP+vuuGuvbAkzOnVoKiSYBI5qn
xa3EVQzhfyJdeFn5E9Kwm4kF+U7MwQT/kaX7TocZCl7eO80t1LD9EYss/hWY0kngP+RuYNOJ30sm
lnRSzuk01kE6h+hO5INy9xOfaIb+W+8YUYMUeCVzJ+F9RbYz1Ab+NsjDYselaE3S9ej7TUVY8tQH
W3onclbd5SGcb+bOYCDd3N14LWvhHOu6h6WYOdptqMb0jcu7wg+iJ2ud9mka5PIC1lm0I6CgX0fR
PGd+pELc+/tlF0QAy6TxCfDDacffLOT4GVOxv7MQ+0Gq3o3HfmnUix3bCAJ+fHuRu17KsOmAjBgH
L7Sg+lEuTb/hmvQ/CuUgtTDVokCbQ/nQK3iLG68ZdqZ1cJKWlgyZsTDtCtzB2dCo6t7ZRMt79GX4
uwJA1KwL/TGtHadOCzLIGxRr++1UmvJ6keP4qdtG3UbY+Le8icQ3AZ3NMRwqv0pRe6E3ju86V2NF
mz2mBWZIFMgrCRXmdoKn9kZqOLkEZhoS0HWiVOM19eB8yWgL/BF5aeAzxpMWTeIPA1A2S1rFrfPZ
Ia9xo+O8vgsmfbK19e0tn2TxKuCC886JqGCG2dY3QGSwXdRHNJvmXB/Q140maKsl9m8DpQKUQYfS
5VMMdYzHn0OHopWe5f6DRPdUAssF8bSQAqieYhzQtB6DNfSmotk9NMhRw2e3rndUyuoNAEmBjTmA
1fPCunsxhAymZ5SmeQAkkY5su+s0b1+UHoZtHLX1q79UPzsF5Go2huFy7Td4VyFQXs8IJrDkIUTg
Vwudpisfxr8+elW7Ok7dYoDxc4Ct1T5S3LQ+yAzC1UYIjtZjr320YXsreJwoLPFRYFusoW+dFz+P
0C5TUvcukIC6bzyoNmCiVqjXOCTm4EkHS8souachWt6T0PBmSOXMWXGDpprSpINDx3HbYXvcQ1c0
euj1xelrB9Wg67wm8olIF7ylGQjNsRLuU1N7ALPOFFcDiXwE1WpORjQoORtnydmDbVyywbYF0pM7
Tb9J1LUb2EfN+g7d+aiJT8yidz9HkTqIzWdkA22TQsL5xwVrC239bkl9nGxVTDKD+OddO3374saB
jBNdexJMqnFIR8wWmczMy6vUXfzig+U4AGjr/tZoDHlaRhVDxpAPgHmYmlAvnaYAXsohsHyJrppo
6+RiTocomG6o7ww7bIVwTm6i8WpsgMuEo7ffQhkZ90Pqtk7xEThxfVSeTzaS6GlMGbbSJECg5mSS
UWyJSxjCWjMcdjC7tXdj1MQvfriQI1LVFL5Z6OxvsRQ+YX1XJ8uix8yOGpbGAD2AeQVrxZ2dOdEQ
zOW2zFqOa0Ay+jAdByXAme+Dgo/bGX1ux05QlJSAX9rUzNZQA/PmMEhWw2iaFvUdi0q0QUKn8OyP
cBdPytk4t9QpGvD3dIXtnvaO9yLBNvs9OEH1ncRgbqShRTsUt4iXK4matku02I89+sraPlL3cziJ
XR54w7MZmXmQFQ4QMdc08yChCeGJwGDTJOLSRkmviX0GEAtm3nBCEiJBR/fIDhJWQYAveOKl07LK
ClN53kbli7yLGMlpppj07kLpM2xFTEwUyj7pvHnKop9R8Yb+LkJqj3Q2+haqDtTSOLObCW3E8EV3
K5lqduqWk0rnv329dGlr8uDb0Es048wgiCg/pE995M23dX9qiisW68M8u2jzz46ETrCv8agK4eWJ
vQMFTK/SqBP91mF6X7XaByg4LJA4RPvVDnyB+ugwxeB+ONdka3kcw+nJ8+b7TkJYVEy4zbLI2Gzq
Bhi9x+Ni02qyrk4VlQhm5pmrJzIUfDNoq+/sPIVD0luYaiey9ecHkK/tlqlTSsuJbXUK7R38TzPw
BDBFuJJA1bhxuw5BU2MQ4xuNRImYZg+N9bo+GJyxMq31gB2Oo9efpT7Lm0eRk1ElZsI3bhCnXQHE
hhsm/LWu0MyfHzkfcMkZ+/xKU3QbJbFwyGZ2PXnVQdu20YFSNxQXswOG101BxHG3I0RbkMC41a2Z
m3w3nNAI3UlgheCF6GvjunU6xz30/jHsfoEF0t8mBrHXVbQ4ZutI3jzoKPY2XTGw6yrAeQHNw3If
ll1/r6gZWGLQJQpH02q6g0GbNencVcse6A1GUMuGlb3DSv1CbEvT0HUK9BYP8sURPbvxaQtKkG4a
vaviOthSPqDlrEcIkigoNVLjBdUuVyU5+LDdhWFlbB5J4TTfLILsfXPSiI1sFDJBBCYAiMsFWtEW
NGFndWPLNGjJ9IEuxvBdt7oGHCYAwaSATB/0CyzcbUNdAl2mCH/Wk4KNQyXqLi0FHMER25XXETfF
xpGgX0CehPablNsef6i74oUwK6/R/1j8gsc8Adgu1zthpQuLLaDparQ9ZoHFS0Lqs7yfq95Wm6kt
gi33HFios4bv0CYXXMeLFFg3Arw+dF7h4incQ0ECzVOPjs1L2dX6xwznlA8Z8eA7vj9khSJqvdc5
B7sWdpwOTNc9+Wbq4v84O7PmNpWuC/8iqpiHWwSaLc+xnRsqTmLmmQaaX/89ytV59UV2VW5T50gY
QXfvvdd6ljr6Og2DdVu3ItDVytuauTW82g1OG0jWy1OnzoG3LHLyRdcPwqGsA/6w65OyeqgNzklB
X2ZpRRdJHT2MkFETJHYm1+DklogzsXa+qHqpA0o8XJuJ15TblJ3gtnJ7917tWu+AHGNy17Eb18fO
mfpwkJEDKIWgNcavSpa+kfjk5pt2rKli0qmh6jLAmTWEkaUpKAnVzlwqeG9ceU6qcnAV5bcCksIP
MBfZGOoyt5zbtCnL7lFPUSW9JUyykjCjaE5Xatku35AK6Ac4NfrWWbwWNwbrfNXFBOLF5kzn5NGu
3QjbDA537EdNGtRepe0iXQM7UXATQLC3U/POtKDy9UoMr5aTmcGUC3PHSaxvVsZUtU/ZmGGitBTZ
gnxh5vK8tJqVBLGwDPohtaftrcmAG5Msi73tx5IVIaYcXQ9e9FNf8uqOs0rnx+QL6sEZoe+s2rSY
zSCOtoL6AMCio0/NajFd+DSN0cJb8eo0gULS4MBU6Gr9jqZmWk+ixo9NK6TaeBlol2Eif9M1BlC6
UZnwt+nezlCW6T12XQydsstXIzfxQfek+tQWdhQMg2mwCIGrPSC3NnxR1mrvt3bU78ZhqE4ytzPY
MFW+RqilvAIbmPceZ7R9oXrx0ZlAdfiVWqtrkBxZIMoh3U6uUm6c1spv6lGj2UIrHfRNbpob08Dg
Kb1lv3Da9ukBMSiM6+VUUBsFxsQB0C9iVduaiix5GqmLME2LCou1V9qhHRfdRlFwyyeDna4jO51v
ZiGhy5SVs9KWsQ49omVumqKKKQUcb9Ob3egj7J7eWlCSnOVkvtZLrbmLJmfg912yMmTNfqxjSiXd
y6dHJ8fKZ5jC3JqRkKsoH1yyyWv3tvMifSd0yBEwoswIVeowhw3I4L3LKzxwWh68H9LiNfXbRrjH
Rom8bdUJQXYaIqh2GNOndK6WHxwfi9dMGUfI02zhgVjIWPOtsZhPWqFUCydw2hipsO3bMhfZURF9
d6wZHLJD0z9aLxSm96LqxW9vUjTXdxzV+ZlW0LD8kco6UGpPHVZ2ZLEqt5RIveNqIQvxm5cUN5GG
ScGqcNErRUmfCx4S1NK0DCO1IKDORsnAbIesIXC2RjDG3ri2Mtemz2ik5BaTnkT1iPE+mev4VYWB
d8/bFJ89CenRyc04qBfL5KwpRaifyzIffVkx+wgXooBiU9/3MCES5mKYPVdGrsdvnKHUENkcXh05
t3svA8/bKdW8bauuOdmuOd07RHJtCHvVD52TNMfcyMt3L6ZyAobhbgCLYOaasjna0Ep0dvNc6b6h
FtObJg25cexogkVl1NkJs4Z6yDStf7CT3npO8lwLirg0kpXIVXPPQVDdNcrI9TtjuxlLOq2dIu0j
rXUA1QUGBpcKiA1fFduoxWDuZ1mCEjpmusdO0RScChT7lzdn7JxRVbKx6XWnP6lDq7nbqYzcbdnM
btiBQPLCaGiW2e9iN6MH4uS1e67qhnFFheyFiZjnI6/rsAGJD4cRBr0vrWn56Dsz2SxwWE9ubPKL
Obo+Hjs8Ig+VcDvIjTPD91yJOJNGyjQfCmqkatW3FIN0/szfWoXqlmYaUKfIMqxbRWdoqUy9QzCT
5SAKIEkp/m4UY/o4NtpgAYxvRj2wtLgj5dOexIfjFtkTfTHnZo57cwIckVa3+eCQNgtK9baCixvw
M1l3owZRgHCk5iMWXv7gtskQDILqhvmo2YTu6BKEaRZtqJKwQuqupx4NvXG3c62367oo9XWT1pRC
uJ/ohYKYeIn6tNtyyqnvIhbS0EUwshV9E/8qMmLn6350T0s0z5vINtqdUbXVky7OgIeemcsroK4G
CB6ULwgjxnaw827TjKl6FK46b01EHdJPPKbNLtvxh2LqABYK2dlNgIRbv4tmt9yqIuXEJisqeGAI
icIllHrrx5migRNFStwbWrExuak3M9IR4SdVkhV+3bjxqVO8JIictF9zItTf2qqJxiDuPYMarkVn
kDXLw2KUxE+SGck4V+GJ34CZS6MNZv/8p8sZau8WpWP6auzKY7PQFFtBSbPXk4VuNpvL5Uc9d7mG
jM3uNuNo6d+iaW7CRehiChrRuyubt/5hnAnphjCg/lArAGfny1kpYCmOUWuqvkeyzpZwuPwmAgsd
KFrm/coH5UNVOyhbxFc/N4NVrMEtNK8Y0fS3rrWaW6OZ5XdhZHRmXbAh/Zg0zzWHjLAivj1Qkzpg
EwtUIkKnrSsnZTOblm1ux6nWv9mtPS8+KPZG3pP1Tj92wCXha/ZMU95iIvDsnM9msRIXew4JbggX
swgmBRTXYAllpQEA45FOwU1Qay9PghQiP1cs9V0dF2+nL1pxX4muO9K6qM6zcndNKeZtRcT5rElp
qOfsY5u6FOdwl7LcJ1R50wr9jbmxkrLejIv2vjiR81DjOWL346/JY7p1c1/mv6yxTo4D/TSCQ7T+
Se3gLYq4tNn2IgGwEFxrzyDQ95aBk0DdBJNNGbRU7rhKbFquGilDb4xssxvFYLk25ngGiyedg441
LmyHPP1RFRq9BWYaN7hmWedzJFX8gikODMlIBfBHbVbhiKkF6F1hPLAwROvFUmrOrkZ148oIr37M
OfBRV2JEahycNnVeLbtigtFFKUblMWc9R2z64AZO8E0KY+UxRgAQcOpgWxUyDZNIAbU4KI63YgDS
niyRlN/JPst8PbF4gT0QWrq5cCCKpzw05lRb6c25fd/OL57mnKMu1JxPluXLXCf9rSwb7UlbrJex
U6Iw6uL4Bbz5x6wq0s/asbSC1NUgBuamFTCE/zBkNf2C0UFDbp4sOs2eCPMpT2RownDjftCYU/3F
VOn0ek6/dgvPfV3qcnlqZFLGK4h+OYWckXl+ZntzmBg4P0y4iWGZsFw6Dm1oABvLbsyV+RgjeXww
Y8nrPwz5Qz4m7VqPVHcnOKXACeK+qoMb3aZdV79F87RsYtzrG4D/7coUaRGMJBf57dgsfsmppMKw
Kay1ozn2OpG0/jhw5qeZY6AHOy5GNBg5Smh2hgetTddXeNC8rdEKFV5174aOLRBilCaOt04ar1Y6
zWGx1N4xN5cytJdI3HdTh9cORBxNFgVoUjt4J1QRfYgjtQvyoaoDjqtiEw1kQvtj7Ax+FLnLN86E
1snOcu2DUE2Pbqs9Qwa05OArsVetVNztGJmm9ySmfvProbCetUR9JEm46MOuysWHpxhipQMPWaeO
1pwGnY59ZmfNiykTZy8XIUMLVlVAZMj58aI6mdOG+IEyd0E9qJOvKexRZpWm3wu4ugFBaOY6B7gJ
DKQbxM6TUb2BB26ECv2ktzQ11W2sJOOaqTSFUtw1yTHCtHoc6IP6CXjYteMOb6xBNAqi2gvKshme
ityz1iPNim1s2tY9Dh2DP8Rh7pIrhtZBxqNDupmZApyX7QZgR5Sp+k8Eedqr0kfabUQltakxd/mR
GMluWRjUpCVZrcBLOp/pUReQI28Fs2TSmSXTa2E3S8BJh08d63xdKbm67/Op2em646xKetubDMxN
4I3psJqVugyi0hXbROOpnytaBL7kHP7gKk2+UUUSHeapnoLZW6p9nVNKWtnk7SJz4SQ9ZPkTlKN3
RjBVOJVFGnqDGdOGp2OqTKm6mZeRn3XOcjCMnKxOPKGA/DiI7GRBqDadH7mPRAKLjRldIAfq0zLK
BE+xOd51cTVuOF+4Du+22QZtHBVEotmRhDDaJduoS4f9GTE5VrcV6nIHK7c7vGO+ZqmoJqn5wqqc
PT7sfjPHY3q2+/fWHUJiTMxpX1toNKf+V0Oj/9Yysm58TGiwxn7qgtaZ5ciLqUJXW5u5Vv3QTGkC
dBi0W70Y0n3vIF1aTSJnUpVmgxPT1VZIQWKu4wIwlEAO/VkbmZ01gm5mElflyiq1EqQ955Mwbyzt
1fXG5cYrF3MAPtfa62pa9MABMBuUCSsiqQ6NvVaqpv+ht0qxRkqfBfDLiqDhePgy9YuF0Kn1sh9k
P9YjMNymNEKAosNPDC31gj9OHQ9epqd727Dt7wDQqn3sVPPPgREXlJW4sm+cLtbuvIRDJZ1K7Ubv
a5PnOcl8Cv2blKCtGw8Q/s3Y83/7LoMzCzJpCZ/JZOANEMmNN9WgFWVoxFW/NXpyuH1mVNmuU/Is
TPs82c1Ns3zvEynmFbBOoATgln6MhTO9QNWdT1Mbm2ulsAFPUnz4JuTGm7YYu1NpQEizU9181ApT
UYNKTOIMAp0DXvdh01a9dyyyUt7Py+CFVizlRqsTEl2StqRh2Sf5eukH6nNWJ1q0jc75vyhPdPCS
ECgs6CZHNeJVIobxh1AcXKu6nqs0xmbeC8+sou9m3xhhNqbxhhjXdE288HBfaqTC1fRLVo6Q8Z4G
enWvzrFGPmerr2MoqI9OHM9PTlpZGxU4/k3z09UU8YQGn9C4pNc7XAqN0dQn0c9C+BmP38qcaLX6
E73IV0tGPDrCyY+OnjtcrozWgCPlMc9yqjdVdNZJtcfmnbG3PlNi6PYbB53B9GFtGWMw6M6QgJ3N
aXX0SlccaYlb2VEdkhq90SIYIJvTeA80m56BbRl2OOVaXoRpNIqtPRhF6BoCHpZrzvFr1FrKOmqs
3F2PU6kcZ533xtcqrfqeQIX5qAo1XZCSWdELtU8eoArSdpbTJlh6ujKUyAKohxZTMnQ2h3nVuO55
Mi+S0DIpiDiGzreRx9X7ZkxIuSWz5caFB/IrTRRlVeejEo4axr1VpWbzbS715UFT5+S761bLZgHi
qMOYmouVlIwwWSVScWox4B2kkby5S5VvZs8qfgvR53taTOJZF4a1GgyFts1QE4U2WNNrk1Y8HwAO
Pibeu+eGGb8B2zQftl7CCQFannPrTalxU5rgsueh7z/UWc0xuxXNWkm5PqQoueLTpz+736YCnmjf
To5BnS4LjSq1XE5dkVDwpeyCgUjR62wKxUh638kdDmWRqqqhZQFsZA5fNk+e4DjtC0dnTJJ6bWWF
VqIO66RngOItzhAOVH17ITGA+XmmeL+cxC4fiwGrhz/0Q/uw1NXYU4LLxl1VpgCIlyRyO2jg9WoC
kO7KnLCDVUkL4KdD9py2HySMsFa2fSipIBj0KqNRAS8lzo0GluMh+9DYIpusZOCFQsdb0cmK7xeT
yjcdDXkcGEW85a5rPTmtWdxwaBoeyPgttq3My2CoGFO4cOho7nT6ZnCppyd+n7uq0sqQfR1crWXE
962Mpjtnmm7spv6d9JV2ai0LMF0+Mgknp3DTUan4qjTLcK55Sv3snF9tGan2MTHk37VRAg+ajTGw
8qHc0A6u13E8eQeZLhTZrm2FwA1U3zasnr6OXX/wtmV3WulN6zaypjt9WtIdLR3njtgQa9WJLAna
tqZ3oHcDPXIxRyETI7mVYE/8iaL0m+naxa2luubJMwbtyJgnWdn8QKEhuG3tuExBJ5FB9EbVH7te
N+8NIzY/qK3rbVN2Q48qZVI3pojoTRl6pN9Pmp6tzzPoEV1HjgdWpwZhIurQtwUFvdLmtAhVhWcz
G+hA1Xbe3Gg17XCR0NMJ8AVGW57p7FDbHSBBw4KiVZAOFmMZ6DjSV04X6WGc+P2JrkfSVdLyBXXx
3mGgx3yJXXds6ZmbiTGfGH8If4qH7I1MlXlawUYo36u8+pBF1GzyNLHDOuMJ+lw5d0VXeMmnz528
LRy31IhjQjpTVqq1RmRwzBRyOcYp+jeh6iWn3iwj0IYoNw42bUNgWbyvHk37In/6/K+4ov/7I3T7
jzqy6zXqTa+Vh7TxMMYrpVujoNLdjwRcYfj5d1wRMF6y6uWC+qse9fEw5lRD96y4n3/uFQezfZlE
T0mRa+7sKvs2G/bZkFOGZgnxmjqQ7CbI0nY/ZwYNoHFjIBbTEnvXoalTmi+0k9f+rvO//+feeXG/
sLhZCKDL5855bBBzf/6HXftRLtTPZexSteHPOZgFE5PWF8ovG53/5x9+7bm9kGTSI8sHFlIMxRLH
mtatFCvnvX2Eufr5F1y7+gtFZqOwMUxxGh9GmVNSbtMRICQqsc8//drlXygwoSDZ6sDw+LAw6TNj
PQqoSteWzWxcVcmV+qdvucwikp62NGqcxAe0jpx1TqrRbKPe8lNr+WL5uPLwXOYRxV5nCn7U6ZAD
2o7NX1XcBZ9f+7VPvhA803dNQEoO3l7Nyk1t5KE6d8+ff/TfnWq2df5R/vPE1/qADCq2ztVQe0J9
+LuPTejmc0kprHfeSrrji7LEX70HV35r6/yE/efrtKZnjhctw8HW3qz4TtfcVZ891J3yxa987U6d
//0/nz9QlXgK8NEDE47hJm5r76C1bvr++c269ukXb7HophohYIubZsz2uXBvCxpa//bRF+/wjBQt
ZZrl7a3FjfysCZXKyb/47Cuvr3Xx+kpKXELu0MuDP2VmZEzbnmlPqObl3ecXf+0LLt7gYhhp6jET
P4iqORkphQLG0N+Qrd8+//wrTqNLZDXhvtYc9XOJ5lwmwRTVxm2sno8U0LuNjVM04l4wR7iHRebe
LPVUDf+2NF1SrG0iTsbFxlTiSoFTVFdOEwePVT6d62Cz+5Ibdb5RfxGhXwJO+5iTmOnhl0bgukkQ
o+hFe4ugjjPl/D5Dn9FM6zGqxbbVljT4/Kb+cWT87UsvXv3Y0CpdMUBOe85snBQNkK5E17cEtP5p
y7hxEyYoX9aFIix/hIEdWLqTrAlegfmlm8qqV4AFZ90M/teKsvXYkEmAmNHaMOk2R+rvGUlBQgfJ
Vxyj+aB5TyxCVnTZNhmgrCEgksuNPjTZi1HUwxYucndKF3e+0ZY5v+vTyNiYg9Yfe3eYH9M+paro
hsKkcVKJcEh5iEMut3xKhdAJeJ9cl85BU3EwqBlMH1Unk/dmV3gry5vjdTTb9saLXCfzGc+hPXK7
NP0WGe0z8mtw1Llm/Czprm2ZdxabpuvETpjOWWnskj+JSeMwRvYSQPGTK5ln+kl6oggzhQxaCPJG
mC/EsfT2wnjdUyymqtMw38gIvXXSn0+RRWHfZbY5ruvWolSa3cGhdpN5vclnJ1s7ljSOCE7VrzaN
Ky/lJTpzpFenM4oh5xmBCu1BLRI7e/iCQnFlJbxMxS6NEYkABuO9wyEdP2ecfGVjvvKuX8IyLWkp
S5aZ7l5rursm6kVgRcrTMsb9SuUk2w51OJjZTkPM/fl7cO1PuVh5oUemam9wNHOAIqznEs85jg/9
i0PBlV/BPP/7fzYkNzEyRkKKtzcYULtkdtnWA6vwF+vTlWu/5PwSQjO67bSwPtFs3nkl0q12NO3t
53fm2rVfbHedkIXbWexJ7kiWB6Pemra4R5/x3z7+4sYrStM4ak0GC7rfu2WZkTOrJPDq9v2/ff7F
tjeC82Toz+VrslpVURQU9SnNvgrEu3ZzLvY8tacvnwnegIhBuLbtU4fh1FesUO3P4/6XxfkS4xvl
i5oVeh3tl4YQAFq34nYa5dpjnn9wqnJcLZ1po/lRjGDwzJ9p2ZTvU8l/r4iCon2SxrPZJUYwJ+fe
nofPMkTvF68raLpoFZr0mZipYqMqRXdkiIbqs4qlfe8ZiGqhgzm3TAP7jZkM2ibSBvKq1UTuYuL0
Ep9AUlRo7IFPahy5awqx+b5Thx+JRigN8qVxuoPQXKzJVizePBv8OL3hiO57bT7OHutb7XrGmsEW
9Twy+1uHhSpe9cNcHEw3dRHPqQ5brCD6wRhJRTHzZSOUQRyiRUN1D+E9HDJN2dsjwgTaph7t4Nn8
QQtv/GGVRbWv9Ln+sNOhRggx2K9JqtnPvTJMt7M6LCe7jJfzAMACvjoUy9rTteJZ65rhNEmFXoVT
CkxC2vwiCsd4HT2tPimgWtsAvWx2lB4kPUKhTNoxqfYjqor+zTXNpQqiTtXOjMxqA4LLenAYee6R
EXcP+jLCwV9s1PiSlJStmOp0a/fj/K21FfdIdqbGpCxHVqpraFt4wVJaeCYq8cYC4JvJAnuLRMjX
qLOfos96wt5mHwbRasjXGQbCQ50JRkh1rBf2TItFRNUvrALKo5FpzaHXU/O7Yg3tu5ZE8xpk03hM
oxx9M3bqowlbchVhe9phWaHNpyFh6hLtOY0UC9WCaybHwhEsvgkwX0O0+ZPS2NlqKHpD/WIhuFb1
GxdvKm6rstN6jcOvNVuHWIrhGYVa8rRAsEKb1lXmVmWMfUv2ERz7qh0CbEe04rCY3OSROYf0b5cv
drYr7/Ul3DoaBxM02+Tte+U4SnFSPeVYa+MXh64r9c8lkX8cJadJT/X2tviBJWElYzTA9qmcvlw5
zqvn3xaOi1NdYaNXp9EDy3qa92RBEMVTMsjqjA9sSiO5NjOZXQYxcEY/PKq69zJ7GRFkzlfglj+o
qP9/AdoljnZxJAPMqp8PcZVhVajm7tQuo3x39ZhUiWT5peadGegxhTI0/jgk4QotmL1g4NJzIY+x
iJBDZi1bZUw0yed7wd83Su0yqLys7NZYDHfGUzqFhr7sy74LP//ovz8wmn6xEUQc0ZECcmCxlhc7
HvfT8EoI4D8xRujc/e/xQdion2e9ycCNMkKlS7seEJlEtm6sP7/6vz+QrC//+wVNbPQmGiwi6DsU
b/NvmxjqyfnZAvX+/Auu3J5LJBpaFUGUX2YcFN2+k11xsMHC+rqSf3H7/97A0LSL570vrKnjJC8P
wKm7+1o3YgwCJmp1DRtS2BgFswlGM1CcJuOrjtXfHcraJSWNgLmYAdKYHtQYxY+35EFXik3fD69O
HUc0+Jufn9+8a190fpz/c3oszJqya06Wg+LdEFC0wrHkKyT0gRHHvpp8sShdu4UX57zJaRetHLzs
QEw3IWqMCqOXHoE4Y+Wi146IOqZjpBrGG5M5858OZ4wQ//cvix1VzbookgewpPuChNGkf4zn/unz
+3btobvYUFAFG2Pu9cuBpOIt0q+dESEPJ5bu3z7+4pVXMiboY0/sYxUXQd4gQx4CrXn4/MOvLFWX
7LQxL7xxzmyH/B9xj6X1ZLfp7vOP/sNF/svafAlOw1GN/wLtInd9vo3z5IRklIaNstGkRWKo9zjU
HZ2AllNXq5gbAkC/uGNXlplLqBqnzk7vnXwh3plsSwVj+m4RDlpTMh/xXRJS88Vy8+cB+tufeLEe
MBNctExK6sexNDbRovS7blSqXVKU36I8L0991Ez+JKW+RbJd+bXhKqcBXR5F/SS/qm2u3unzk/mf
N1d3ByjjnSsPsyqPdQuJoWp4v6J1XqrRK1gwk5IECNxAuts60rNoN1hz/0XD78oLrV4sG5K4Qs0Y
WdQbDK7Z/A3mNNa4aT/27yK7HdKvOIJXXjP1YuHAkjKMoiqWA9bPCmHwsKy6OdKw5pf/tkyoF8sE
etbRXHpIGeb8fVR/VTROHEV+cZuuXf7FKiE69Fp90ri4658dG/eHRupbVGw/f9muvccXi4SqZYSH
xsLdj5G8MwZvZ1Xiiwv/+++LquN/Hy7wQ3SHhTMdFjh2qT8MiaQd3WgrL5fVu9tF6ne9IpTJ1pf2
q4Pl37ci9RLTZpae2i4xJKnFyPxe/Z7Jb17/oXQ/nfT35zfs7z+Heklrc0a9QjqEykwglzpVCg4y
hR64SRm2/vwb/v6TqJfENtfCTWLjBjqonfGNgzgmkvH75x/9J8/h/687FG3/+5uoLDt62fKkqjAr
AsyNM4Kvtlvp5vg7d5BogURXiXBWKSRVu9iIudPuXQrzvYXe4Qbv4MuMDHHXI3p5E4zafYKtMZKS
8RpivBtfuin1QuZ86nYC4eN7pYPa6fOLv3bnL9YLnSjadBl5VEtreQRbeDAzD0lebP3j51+sE4YD
8LCZxuXQiZhk4aQPVdVbq8SDf/FC/BlX/e3uX6wTfSMcqJelPNSyUb6XQ/JLmtn4gMjRAc/Vio9a
ynJj5+6NbroyIFkxO85uO2I8Ub23qnUV1MkOQcBdkd9F+P6+479FvWtE481kR92PGlcGGACJNV8j
OL3rDAOrVPETrWUWLkVVrIZcYJORUvumiyJfkfQoPwTnjk2O1O4eGkATdmh0dvbIdLbFVkmo3NBt
K50gJRj973GLxMSqonobeRn9GDSAwwEdYNIBIuCjdd1AMe659Z1t1uQHTffWVKt3ZQcERhpF9qMe
GyLvE+k2Nxb4nFWjC2/+x1/wYqn0CMWrXbutD5P6NqvIg2pCLeaPzx+/a6/lxUo55rKNSqXuDkYj
WpIsO6RtEFv+jeOtXjLwJo90ejiN9n7ix7Tn+aenKP925ZcIPMfNUQclsU6UdTusowVnm92lzRdq
iD8c87881Ze8OzsivEGl633AmhDQJfGTVguG5jGfVJgIro8raTeZy97TWC7yYtxm4qGXMsxwVNXd
uJESkybuksRqQ+mZp1jJN/lCH4yNrmUAY32l27jyC15y81KroSUlJ3LyKqv2pb2c4yn/6QhAn+d/
F9YWFseMIEwepqr3ByKTBvFstV+F51xZ+tyLpW8AYpiRYOrsOSqlN8IkYhgreb6PunL8Ctp37Tsu
lr8E6TRAgc7Z5/l2Wu5xu5bG++evzpVd2b1Y90hmt7Ls/NFtT6zDhPkjg73Qg9L4XnlfkUivXf/F
yz+BYR/1WbX3WladnKH41o3aZiqczed/w7WH5+L1d3QHioZZUQrWNMSaDo8p8Xj/9NmX5LuR1mHN
OU8eNGBRifqjKb54N6/c+EvMXWGqYNAaKQ61qQZFWm6FXfuq96D2GSPC+J+akapz/vb/VBEOc3sx
ASI4nJXervYyZh+dE35+a7Q/y8hflpdLwh2LrrQIKx4PuoLts1Htbou7csJAj2VJCawMyQld72Ue
V5rQ9MBIi2FbjGCPPJOAQSPdwbHWN23c1LtuwC/mYZO3V8I4t5MQ86r+FCkxXQR8Q5jAjWaYfRsw
FqynykxxEk5etpmwv71Favc6Jej68HjIMFbrbq3CCwo8V5nWbJ/urW23Gp0VBhJ0drqiefWsqFw5
pl6QChkl+nwkRxn8AMK0JoQYYj3mWB4CHYexj7y0OPZWlh6K1Mm2Brr8sG3N6SOPnezHmEDvdKwu
C/EDZOzbuc5Etpsfce1bMDuIGHryWsBR91KL0Rw4dYnqmJin8jAqub2r1cTaQMWLHydYTLts0iLY
R6MDwiOZgygvq10hAJY0KXE4aqcj1h4HsdVI3PaNNMcPiISx9AuzF5uhFOamxm5Uwd5H10s5Qtgz
cJCox25VYnueLPxhtaHUh9jQ+yfckjg50WIxZIkye6tY0nlRPM8No2mQoJV0GXoVHkGnsodHKM7l
2owdN2yNEdsbkv0MetPcmHfZoNnQXzLrxhxTZ6Vy3dvcHY3nSF8wZTuyR3KqaMX8XpTzAjF+ARmj
ltlNgs8x7Ka+vNWqrFoPFWZ1YTX9thwJmyWtL4KT2euERS7dDNusQcdturoRxq3IThjM8huoZ/Vv
iGmMRepuyQGKJZVsQ8ex620xO95eBy9w17ot/KrC6+lim0kfh5ojjTgsJXp7V436lUI5/9JOncJ1
mgSQVj0e7RtF91CZF3WZJVhLMF8nY6asK6kkpFxbf0oAdNUC2ygpTNNGa9ox1GyreSwq3fppNVIN
iyiaoHjbbn02V3jpc5fgzvHbyTXuG6+nHqXDgEWtWJbpcfFkj8tA4nAA9CV4SoPGeVRM9lrDU8yf
Yyvah2LQ0rVa1M23LEqfGGHIjU6gprWzkxGji5swUV+WYdXHZb8lOfRl0e3FBgXXY/JW1KnEu4ho
btV2kWEdYxUCTy6MKQ3MPBb/BiZWnYu9xaSHJmG+uPvMUMSqXtxNYejPlkpwzOcr0JV9xbnYV6Am
MZGEt3fQYU6LmdIg7row0hGWf/4F557P3xa4i50FH4wuzFSx9g26GtBtBGPDJgOW4Tg4MqMk+qKv
dmUHuxQOl7O023iZMjiGIn7HyqYABSad/Ivq5trHn9sA/9kFUowc2EI00IpmrpMVk1U7kN168E83
6VIvrFiulGjOrT0cDxAdq5gjkK6d5lH94vKv/MyXYuH/4+zamuPEue0vogqEEOIV2n3DdhzHcZJ5
oSbJfCBxE4j7rz+rc148mqap6rcpT0pqJO0taWtdstmtPDhR0zMkIAgKfU3wJLeu3WttX/7+YWjw
OF6MhOcQzQVS/GUGCPafyUrs3RBk3sYZf6XY4htdkHSa4EcJ+I+eITMlJ/4d7GvkNCc75o71CQDu
Q8H0nceKyxL48D2BBNuoo0DDC+87KAJRi4c6KnCma0DXqPTD7SlfWVCmRCyon162zA3qdhV0KeqL
AnBXT93ft1tfGTBmfAMUTVF8Ags5Jt4yxr2TgXuaATBXAZf+QBEcFw/MOfSDst3AJ6/EOTMO2K5f
+75XMlRTm/6xckBjDBz9a+T6pAu2MWZrfRjZEJSoLrEg8hBnUDd+98g4f9GqtsA3kt6Dm2XWxpHv
uqcesZmZFZmLUrX2ROz5HNRR0DgfWt93o1Y4EFeTxSi+BtIP4joBCwmIj/RhaNvx9fbcrawMZmTM
yoFQ3cgBRCTQDFLjhRAa4L3pduOX8uSVdGxCsEla0LKdCuznCa/DpF263Wi3v+0giQaOLnHalCN5
Avv/n9sdXkL0WodG4qwzICEmF/BN1+fq6LDxaAU4j9qZ02ysius9eCYAK8uKi/aWD3M1KPNWDUgs
KcRgX27//OuT4Zk265YD8h/0xtp4IPmjJBJbo/PrvqbN1Rw4TEEFzD8HLipL/vtcbYTi2m82Vq9Y
3LSUuM1BNZuFfHpu0q+3f/H1+POosTKncbBzJQvYJw/svWyBYsLTcgjhkCG0x3bLYnDl55uwKw/c
Zqjs9fDpS4qICXBNRtffqgOsNW4sRxpM8KoDXzvWuC1AHwbsc1ltLMTrseWZwJLac3nRW+kSN2CO
LWC341X/AArTY9W7zygO7Hqi9yplG3f2lXXvXmbpwz41qJxKq5FLrNQTx4tP6v4v34SArjV++fuH
xoPE55YNynOMI3FYWH7ku3VojVtwo7VpuPz9Q/OW8trRrnkZey6GpCrgcybFsJHjVpapCV+lcwL2
oXa9s5NCsBbcUOd/nn53QJC9KwxcI3AlGDGktNs6nvlzDQAxQPE5f7X7+1KOicSaZ8rAktd1DPC5
ANfR/w1dlo1z4NrQGBFcep672FTWsSshbiM93T9kBA96vBd8L1C1vj1CK0+vnmkTWgoxycoGQVxX
TRNDh2wYQzGCR00Frw4jRCFwhp7H2KoJ2TPqQMXVgWEsHhZtubv9G1aWGDEive+hdtkhJM+dVb5K
Mu/bunu7r2mjJFRkA2lz1skYVOQKj0pjBPXMamN1XT+6eaaBKIX1CZwoceOeoQpdQ2+3psuLmH6w
+Qvkt4HYb7bW8UqMEyPGC9FBvRzAyTPkyqaoCyo7siGTGeJNZOvNYmW9me6gxTIWtj0Teg4A9RQ2
5Fg5RDH1m1u93p6KtW8wjp2CKbCEa2xJBWUocn1bWrFzxi0g/NpcGJEOxS2IctKujktJQCSeHb3P
Kp8fi4I2F44+kL9QzBGnQhf+7/s+yNi8xx5caMiisrOiDyOATMuFuzuNG0Gx9kFG/HttnsxTwujZ
Kqqn2aYwpE3f5ynfBzZqb1aWhr3unY3OVubGBM6JJrUAJ2ce9H1A9RBj+ix98ejIdPPJ8erZEnXS
f+8iUObui8DH11zYIjilPdq6PSv3zgxiwuamboQEGLlcbGsUoAIOmHJ+vGuWTcQc9I1HZ+RVA30+
NwSoOernL8GdRR3PxMbxphKy5wuiDpBzMkAVp4KYcL5xP16JaYf+e9T9bulUWaCW0Fwcl1774B/S
n7XcqkitNW9E9MxBtfQC/HgiT6Wmn1kz4jULJd7y7b6xN4J6croWVDl/ilu7PzDG3meJcw3UJ++q
RHl/9sQPZ5sagj4UaFQHmxs05yBUqcKLFvN9P94I4LqWAOzZcG3ys+JTCcDupQQKWd/NE8Kfafzv
hc0zsW+zxbUOiqwCbg9gYX9cpmeXA1VUo3YMIwU3CDVnQcx8yJo2C0m/gkkPFiaUER59vyw/sU5D
uNMp8n5jQ7y+IGB18O/1NuMWM0GxhAJXUHsAdma/JmVDud1/tnOI9dwe17VOjEXdlkUJKQrtxU2J
J44U6j+vouSAF3y/3f5KLjRRf5DMK1OBDTC2rQGEvN9jDtkH+85jnQnt86FGa+NCA8MnAdEEKKzw
qYvURMEf3sKPXAbi2rK4DNyHVc1pSViaBjTuvCUScGJTW9vE9aFH7frfLXsLy/K2wY9nbFfSH03+
sx1/1sl9J14ThzfV9VDmdg2BdfaTtl9rosOlec29DW7Z2rAY2QrvGzxtkoTFF7G7EL6QF63HdGOX
WBsZI1N5FeDMGbmMzFiGffJoSXfX878bb9hIVWur0jhsIJjBeXYljgGwj82pG4FoAzvHjZi6/j7r
2WauIhoko2YGc7PWnxoKceMCGlIQBgfuiLlgvPTdxpZ02fD/uzipCcazWzj6tqT14sCZQg0XZbd9
A4IgHEgZUfE3tGM3Pun6gMGF5t9rtWlFY49ISLFX8yOMKvg+6SD21kMM73aeuL6eqAnA43khpybD
l0AiE/I7XzKxkYCuTwY1cXdqLtLMZ4TFA16wTkHdlDs8283ATTVFGHjQcIZt232EABoYUQH3qSXp
PKCJ+LIEEEzOxx+yGhMQGAH3KnxJoJgJOY5jtmTBy+2BW/k+k75tO/7ozAWEY3RxdPrqUFFoEbY/
y7L/km9Zjq9MDjVyYOotAjw8p4nbTkCOrEme2qUKNhLV2tIygr0nPQPSaPJjZXWhrhkgaJCJ9LbO
yis1bRoYsc5zt81Hy6cxVMXCDrbUrX1QwESOMBtZ8CCQ0k8BtMFJvcmoXxmuwIh/CYHkBGABKIrC
2Svwf4rlJzR9w6l5suW7q3/Z/KUS32x4WeH8pb3XDpfd24vhzzn6SkIw8WZFNeUE1mJAX5Muytry
nTnQ4VKlCAFlOsKmACZn3Wlqs0Nfdf9MHBpN2cDe7Cw9CcfbQ7T1wWn88r6sYULUaNdbdUIbuOkJ
Ch1yWn2GDuzJr+qN9Lcy0CZGbYAty9TnlRdncBVIOveYzs3X2yO51rSx5IE47rws8VlsK2CBJ0C/
1RZN4PruRk1Q2ajgEdeUeHou8NgsOeTl20cPgK8FtMjbP/5PKfTaMrh81YdDSydKV3lIdbGk7gSh
K50fIE+iwVNKAlTW8uSCdbKOLd4PgCVonfpogQ73icEO+OiMbIINCR7NckraLCqkno9uh2fHQc/j
/4LFE7vFD8RDQSFLWnHHfl+ysvvJHAvSWWPdpd/hTIAXuElkP9yUeJ+F05dT2DVkfPT6hO1TCNY/
pw70V70WTmWqZPINAJJ5gp4e9Pc3BmFtBo24ByF9qWc5d+AvNW/ZImA7Qf+5Pb4rRA/KjQjvKFip
fQ9tjKJuht9JRa19moj6ONm+/pViC3ie5sKrolnU2cuoHcB5UW9KXpa5Hw+j7rOttbSSPLmx4TgD
hR+UX2P1a9jYcDd/Lzv2BcokWwXrtQ6M7FzA1ppWLfdiCWu7FGoLFfCdnfV6eyBXNi8TItd5GgLg
ZIbGSGW5T0BnUQJ47xy81IMHqzUIaMBTqIfm+33dGacYC6qE0gGoKU4KWP2hPnrSlURiZtNLxbNn
OjYbp+PrLyLUxM6lcwcZNK1IDGTMxYqi7SHfXOQEzj9gfUQQY4U2N227yK8HCJXAwD3b2gJWsoup
V5O0ksETILFj4JSGqFXkCJMSAXB4/QtGbRsPxWudGANZyLqxxrx14jz51udA0xWfYRoZavLr9kSt
rDoTHbjkcF0qfBt1cp++C4vAxQJoAVtBuXhTv2Ktj8vfP+RICwZAhQabLp6z+V2k43BeIGAMx+xN
wamVDOQbWbjBdtvAGgwIbdd7Ljz1u5uGLVzsygyYMIrECyDUKcoxhprir7KtsxDKl05Uz+T7aKvP
t6dh7QOM4IcBGt7a/AxauiT9JGBmCazORiiuRYiRnZ1+scbEBTi2r9J9L2BcwfzHbIbvmEAVBZA3
B++fLtsarrXJNhI2BAOT/2cCt1X96FbzS1fRn1BV3jrprEyHicLKVGFXXarcOEnnAHZ+dg+Hp7IO
Hvhlny0gmNHtbs/JJcSubO2mqEtVAEfZtguLK5h+HAeSPHVp9gwHnwfhpSzE2eIvNm5pEq58lvnU
6sPWi9itXcU+TIL1G6cW5DfheD0VG1+z1oERhOMEHIvn4aavlAqJLg/V8DUYTqXfbNz0VzowFS9L
BtAvhDmaeFmeq/qJzvVr1rOjA2e12/OxEiMmhM1mtlJ2IZqYJd+Y/1LD3Pd2wysTbULXZgCReU1r
Es/1uC9m66dnWUsIhMwj2D6/3EX9xaz85+2+1j7CmAY8V1HN+ozGPYxuoVcOMtGkj7fb/vPweGXF
mpgsKBsrIjOBIt1Cmi8NmfiL6+YcsF8+fR2zxdsFINz8L1UKDgQsgPru1MD2LS8u/s4j87PQho8m
xGL99GEsBlhRA5gEo14SALhcouYH9dajNbrzCY7p/DPxxvnMoKULxeKGA13dWHud6v6prH0NYx1G
NiZo5fDiXQbzwwZSNRB1zCEBEHOBcjDCL29eXLgi/uCsGp8nleB1Cfq/h9vDuJLBPPOkZ9G2dOBZ
GqsAXqZjtyNAz+Dadl/rRqafyzytXFFhqxrLz16TnEUaPOVl++O+5o1sr3L44TCnw7MPCnpKlfDT
+w6i3MZErA2NkdzhEw6FUJbOcdpcnK+T+pM70V9+ou9CIzvcpBi5HVwrMp7akGLLl7/GpgXcJIO/
SBhMg/X99hBdXU3owwjBGS/QsHR34fOFA/3XufWXT7nwy7ND0ixK6pYdkjQrXm93dnXE0JmxdDM/
cbPGh83h5P6Tqz7KPNzuuN7dbv1qzkXrxlJtW+6j8li5ZwirlGEGi9pDIThse+z5++Wd985ujDWr
IX7tN0PvnOETdwqKPqaejSe/Pn8Aj2frEeYyIv9JXvgWY+WKgNCqriB/mnXTuRPiJSiHjUvC2jAZ
y9avJTRVZgvgXkinpdZ8DJwRQi7qLctgO3J7KlYm2rxg4Y0BTgatVHFnO7tZL/DlHbOfJHHf72v/
snl9yIEZhaJiWrDgXPVQUSzFND/6ilc7C54FL7e7WJkB8y41u8zK4GBrnyWkYiNId/1qKN8oIK0N
z2VqPvz8IfETxwPj9swCXTzA5K74WjcX7hA2342fv9bF5e8fumjSAkT8RtvnDiY85wF+OHB3yVE+
h0vH7QFayRzmNQM8JysPStsGnhL2bgAzwPm7+41j4kNVL9/ERDeO7GtfYoQ1RNlcGHm1Om4C+tJO
wD0WrjpDgHULl3MdPQWumBHRcIGvUZGa2ZnlA9Du4EzDyo5ZEYd4eAVMZ7sUUZvgojYWT8QWW6Ct
S8BdiXGTC7KwXHgzzCLOmJRP0Nh0vsKI1jqrzi2/pi4unJ1lB//4+TR+08w5N5BX2BjStbVtpIDW
DxyRE7eJoegHl88f07QV+CstmxcSYhWwjxpoE8ONCMYuQr5x6LTdXnBXT6Yg1xpBb3u403LRtXG7
tI/TDKPVPGYKWAgb6vzzF7f+eruflYVtHq1nL7fSxhMEyrQlTEj64S270N9Sv/0f/Bg+lXTZmIaV
TGwetZc6WSbNRHIeqjTKS6jvdQCDyajp71I5wJAZWYByHvQQ8uugmjFMSGKiOPVjgiLQsugNmZuV
8DSP2WjYauEby87Skt2zUzoyzOGAvquU+HV7PtZ6MBJAls5wGAar6QwH6BAmsQ92CnnIaotqtNa8
Ef3gMcCiMWhUrKSKWA4f+8EP28A+3vfrjZ3cZyB9THAaPtu8f3C5DZWDdH6HROrWS9NaWBjBDO3J
hY4CL+yF9D+rpDqhwj1FY0XgRwRkHmincJGxN2Z7ZcmafAYwWXkFRyM7nuH/sbMJbFIL0iwR7E8e
Un6XaInDTVn5xfJIWXIGwmeQfx1U8pjDg/au6fAuQf9hX1QWjEx56wLtm7UCWM8phoUyTos5LEdu
97CSAk15+TKtLaqAOItnqz957niAqdj+dtMrS9WUkoeHaqPpjLzdai+80JXHKqTL79uNr6Q9814J
rkFb28pu4mRw+l1VJN8zN391cwDR4XuRhTkvN259ayNkBLRdTLXARm5DHKo80WTY53735fZHrI2Q
EcwwWs+bNtd2bA8kcn0cnWEBZR9uN742QkYo17pOi/zy6gE109BJ/+Kwj834F85gl9huObKsdWKE
s+8rQkYAqc88oy89hDVGjQe6Hs6AOxR8HuDKs/XGshLLZsm+HQvuAI6QnKU/gKUMJYLS43a0QOs0
pHLaUAla68XYtfulsVtnQcDR+SidIBxBQAaTPCylfLg9LWs9XEbyQ0hT3CIrD0ZTZ8sDSC2Fh8PO
0+CRZVLqQzBn8r5MbsIR+qDqNffa4NwF/C+vbL7WlvXkC2cjta5EhVlh9e22Var3mvjiG6YUnn69
jevGWsuXv38YIAih+kx1FsRmJth/p3Rwdo2VthutX0cwQh3XCGdr0O0w+VMd10q9KLgL7yGFzEE6
L6dT0ZRwh8YW3rzkLkrskCVIYD2VBnvRlYBbQzVVhtLV80Gq6c71YOSAsgBAhlMQOsp8TmGkCcPk
p5GX3dkRvRuXEJ7byPRrC8/IB7mTEYHiAioBqV3uoCc4/Kp9p3vA5T17YpJWG3lnZYc3eWAOvE2h
UlXhg9yLT2gXyqmKyMV/zYqDqniucUe5HUorK8XkgtHFQUVflnbcj39ZOTnCgPe+STE1hoOuSEcs
BhwcbHs3thoAFRiZJ1+EmHe3f/tK6jfpYDgCFS61Ual0pxzAmhaWjA/wV3DBek+njRSwMhMmWJdX
VTpQKHjHyvutKzi1QzC0SZuwc6FyaD/iwXrjY67rQzvcBLBS6Tap2wNGAMlEcbBSURxSCIX8A7Xw
h1TgxQcSFgyvV0rB3oxmLwnjw6EkfDomsO475gvpN37K2pq4rP4P2QOedWLMigSm474E2iUB6FVt
LIqV4TT9GhzobFg95OHixPa+pxP50ds+0Bh18x38qJ3bw3uunO37Tn6mf0MBWzZojBXuOafzGWqC
dWR1yVNqbb1arn2MkQanDMppTJTw9htT4KtkAwkR1f3SXtYdigHYqxnubW+31/pK5jEpcZTUkx7G
gpy1ODGY84nkty8nQGpYdLuDtWAyUpuAAbrdXYo7Kvc/B0P7ng0jcKX9ljXVWvvGKYejjO1zQC7O
fg0zZXi1ZsM7Xmbvm2qTDudMnm5h5AfsjSInmA6jsgZ/lhD6vsP+9visBIXJdhNpIuEJ0C5nxpdn
KvNjldcbQ78yt8Q4zjSd0/fw/4RiVu7FsFALh0ydVPY9cTdGZ62Dy98/BHTGO5QZvU7HE22PdZKz
EDLlp3TMfvRluwWDWjnGmmQ3mJVC0ihddJz4XlQ43xyYKxIgLZPs58KrjaFam4XL3z98iZcvJd5Y
sUqltN9n0n/B1X3jVBOgiSvFuT+alx+a9t2uzHCHts9cqW+itl6hfuVF2FOeEQVRphyAUin0+Jdi
CytwHd3lcFNFPinmPoBBLjnDv/sEZd5zAkaiBf9YRr8IwKDq3P40F2RvNwNqCEDDpb/vW8xGsMNn
FgbkhYth7MgLdCpe3c1n6usaofgoI9AhdpMrvgRNTBMlDpwM3bnWxSQfumYqH4tmlGW4lIFUIdW8
aKMCvtBfnGmZT/Afgpm8D/dzXEyo4+xdjy4p/CRqWkHKr/k1NkNX4lqaeTCS95z2pWxU14RjPqTy
oPolj0DsmzegRysJ6z/kum70HJh/2menrl6npAOutOjDvpBb4Mm1Di7byocFB+fNoJpGbB82/APi
binbb5CpqR/hy5u93J7nlcA3CXaEZVapfcxzhrHh7TMZm2iinxe5ETN/BuNK0Jg0u2FCNoHK53SG
aVyys5Rw9wKaXy+o3otjW8Er1a6S/r2wLF8Cd6okFNiCdu/Btek4SS/Y9f5cvjotnt1tuwND0i0W
XBhhm5DVsjqyi4n3fUNxmYUPo00CD9D4fNLxIIJnLKlXO0A5Yg7OC4int7tYSU4mbw9yrxNgIPCD
WFJ9hEQYPJWRdu/LfH+OjR9+P7dQg+MQMTs3PnlCTevZcrfcLNZ+t3F9CiDZUBKN98Eym5q/ID2h
nn2/YVuiymuL0Eg2UuBVI5/B4S/S5JwX9cF14As7TscFkrG3R35l7/kDyf8wOGSSJXeIHoH8eCr9
vUuA7+leSR1ARG0LJrMSriYFTC8O0ILwsIvBlYOAV0L1C7EleSiBIL3vMmYb+7SmTcPVkHUxIUl/
1CW8twfdBBtFuLUPMCLAzWzGfYsBZNcdaj+NXMi4uGJLrnutdWNnnrIiW1xy8djkM3RL8jnRO9Hn
5FkMpdqoLK1MsynF3uYuLTw9djiX+vnemuv53XMd1YcNDyAckxewCWr8flAbMXe9P9/EF9QqhVVd
XnZx3fVvhU/+qmXQRPkS/JU4+gU+KL9uL1/3sjf+N436psLp0gFjMzOLnKuRv6qCNdCZV0XkuckI
A/lk2vU6SXeubJ5TVL5C5nuH3JkP2KCasOi9HYHn9mEW2bLHDqoj0fp7ZQPh3Go3hKw2jMjhqLQv
2tw6QnqgjoYl7XdAMTQPWU9QVb5Izepcut+sBkxsrw+2noyvpxbbLI37TWq7QJjgUpvDoI/Wj9qp
NlANa00by3nyYeFh46qFV2J2FNrbs87ZeKhda9pYy1ktZGDZDQxcyVtSv+bBxjxfjxHbhFZRuI2M
AoyMeJQzFEPB9HVT54VlG8f86/dR2zPyOPHqWquxqc81zbLXrrT8eJ79YQe/aR4BigH891DXZ+Yu
W7yY65A7xzZdVzOG6U3bKgUpTGcyLNW8vBXlwPfLzKfdQusSNZ8KhC4HxOa9I5PsGURaD3L+WkAZ
hRYCPOuEHtyGulW06HH8YTkiRd5zF3okfF5E5NWpcMKOK1Td5Tzap6INcN9mWmpogAf9rrZqC8dI
f/hqBSCGvzKYybzfjsyVGTO9UQMJG04P1mVnP9X8cwNh0weO927IuvN6Y7FdF8B2bHNnt2E31tZ5
noF+PSwq8rxyCFlifRvrOq9PLPVUAKP4wopHyEdEAgXjHc7N47kjqawjMJK6FP/fKXfArwTvTlPS
kAeq/55igOZo8HXzM1AqXaKc5MVL3TnWD3dOh+6hGdj4zAXEwm8P1vWN3vaMk3/e+Uy3oD2c8Nhs
Hyh0Ft/8Kg1k2NjMj2E6CXLqXT2ZDxnSTh1Pw631VPMq+T1YHhx99MCVFQYQV5dhWjFnI6hWcoFJ
exxg47LolstzkAF3HTrj0EUS0KN7AIuObT4xdINsUTbX6dnW9CcE3J66uUrDQsIi8PZQrf1+I02m
vtNUFWqIJyCQntuEfPI69Xa76ZX5NnXhknEA36jn/mlwLHgM+HEvl2eJx/twrJy/b/ex9vPdfx/b
bZ4jxInl4+d3X9qG7ypRbszs2s830mWpZ6Ykz/iJp8vZFl9IIx/cBm7gcgu/cr2kYFPj5DvmfVL6
5eifiBc8wW9170n3LNWLgAZQo8YdcLC/a3GXeCOWkhF+NSKvhSalf8q96ZU46ht4kIeCugJ6wlvw
kpUx+89zgeU11OI+PckmWY4MXsbN3NGo9N1ll2m9MTMrWdd8OhhQ4OmBMUhOA8u/8I49es702nK2
sW7Xmr8c9z7cFpwWvzsJquDEmQi+T6zWr02RBBCDssX4+/a6XevjMoAf+pgY5ITlxPgpdaoRLlez
7KEQ3VshkVCH3ojttU4uf//QyciGwJe64CensT45y/Ats+qTaMaN2Ftr/hKTH5qHESrKMjCoPpWT
91kL+yuEYw5NNTzcN0RGaOdt16JsG7inlNuQeAOvJMF/8t19rRvRPbBBd2PH3VPLDzD1ATVujkA7
3fjt128Gtikh17TT4CikphNktpNxeQqSH4z3B6D5IsL3t79gLdaMeE50oq0WkXVKiuS3qiC3PPog
WTO/kJFXDRslnMtk/vfqAS/Mf08y52mVqYy6J1ysvjqegtwa3xJaXRkls2aulzqDkyxxT04d7Aat
/qIdgJWV9F5mNqlQiebL7aFa68iIaJgiwoOaCP/UtkR9X4q5OyWq7ndF0Ka/6sXpoCFbyI3C4Fpn
RmhbczeKUZX81FlLNMkjo8Fj3h7LZYH8/9fbH7SCULXNaroUDLLknsNOZPJzgvffkf1aapZ0AJ6k
6QPL4SRqq9HZt0vf4eHMmb7AnCGRofAtulWPWNm/TJmrVBOAb+cuA2mqP8LIYD+XbDc6WWyz5SDL
ALtLnLhbTjBrvRnpZvKGpAq8OYvJwk62xUNnSULK60eE7RO07/d6vNDYt+wTV7ozlfMI1zUEpyd2
mjzGQeuhyG0qsE8pDeBZgOgOra6EmkABBcFTJ1S/cUq+rhPh2OZDQ9NZkjeW5Z4KmVgwMZlbVDs1
AQ8eshrppwC6yKGfJxzaxHYy7zqxeO9EJFsCKCvoDdt8dRAu19LjOT3NalreSOZcWN397NId3hpy
/0zLfITAQe8OZ8AkhyTkTa7Uzm4cEjpSFg+Czv3OBafy+6yrYCOjeit5yDgr1VowXTiZd3KD+XMy
1SB/y34KLTm93A6ptURnpNNxcKEkJC16gixcWwJq3dM9GQCC2tiM/9jsXsmk5oMBEElizpzOP3GR
7PQiHlQ2virdRhOY2WD7RtCNCpelPhS63I3AUeLY/AB4zth9lWqJbPvNg/cV9T5Jpw1LtzzC8GFj
cFe2ElPHr4GKptekM46GEjbmlogadqyK+VPFv901uOZDw5y11TCPno+rX/q1xl22cNKNeVsBRsAl
7N87FOttW5A25Se5zBXOmtSHksWU9Kdx1GI3E3CX5oUGO0tP3gMM42CIa5XeQYz1EFZL2+0oZ+7v
2995/ccQaqqww4xszEaVesDLyPwgcOCGXdncld8guDA/qlmXb0tVil3aCWvn+lWymy03i6aBWHul
iiwaVZ+/3/4xf57U/rPiCDUvYGU/9f1F5SPuLT68DHMpjpmVYmfAE1l6kEGQfVW+P+B5z2Gi3bcp
7bxdAVcFgGUsbMnYMYt9WnBpR5nsMHBL6g4nC8q1v7tAw3JNoeb9I6AZMiKzKrHlJn01FAk1gRkB
meAZBwmQGG6Rz1XJYiK34MpX0wiaNg6VSRBoj0FZBEZaM8AyIpo4VsHWkXXlhzPzUDnwGk7M4KmT
XkKmfhmrqM/SDTjg9cSMtWWkQCG6bnCzwQWIob4gi5awyxZwUoq/8yRXp7rXPxddvFV9Lvdj0j5o
thz7WuLwvJRp6AR3nabwO4xM2YBDN1d9BuScqn95oos7v9yRbmRRUzc/Gw+WPbcX8NW0RKiJLYdn
TetoXAPgLOdNYVmhGFhlb9YMTT2Iwn6+3cnKnJnQcgJdbTvr8B6dkBIgugQ3JVlsPEistW2cO9NJ
5mnh5k7clS5cCZPxpZs2xXXWGjfyHiFi6BLSYHPmw75lcd7kh9tDcvUEi3G/BM+Hi50oBM0L3rnx
DBOyzwA5T5+tomlOlkvcXavK4VmxnG1kqZWINMGiPB2Rp/MSuoYQrKQXEeHheRo3vuTqIQ4Z0AjI
erBRBrzwyUGqCfv+1V9g7Z2jAArteVgshuB6h3YVbKzXtU8xAtQWdZAh6GmMNA9BfhenRge82Y1L
zEo0mPWbQqbKDywcqbu8Dkd4OUBmHTDwKqz6LTu0lYk3yzddNVijtBI3bqGgxPvuGMAP1bJG4Err
0Om3mPhr3RjIhikf/Bba6k08OXmk5jGCO86p72N3hs2n+vv2Il4ZLhP9WflJz1ERhyRhR2FHkUL2
rN97C2jf9VZ9BcWza6dSbCfG+iJQefN9C9u9kksZTUvFP3e1hGsY4ChJVPRJ8pJLCPaGtLfrvyvF
nS9pkLInaWvM3+DV0UQWEnUj/mkYNFZwAHUH1qp48SuPtHNg9+b2pNhNkw1VvXkMUGbOxkdukeyB
lqV/VInXPyq/8ncVI/oo8gWuqcKT/M2xRfVg1b0fyrITD4ns4C4HZ5Gx66FFPOM6UwnYaSkKqbUq
SEBs5AE99VnHPhdBU0d+VlefaoA3nnHQTh5HeHNhriDxFzLAMY4SLiLQSMTbTMu6i37YGCy7flJQ
U1bL/DapLj34BH5prjeOpxbsv1MCrZMgzIZEPuc64BFzgyDqF0GWiNou/ZVA7jlucYd8Yss0v1eu
85l24mcCC9hRE5RpJvjc4T2pf8mZ3mVpv08tHKWHQYjzbEux8/wGMR3wJDi5k6ceK7yA6F0PxW1I
hS8ueLWNjqjvJrtlUvJ1hl7C2Uasyl3l4mUzymy/+4kamRM5acXfShIky64cUudoN/DQwZQSimHn
zQ7GVnI3dNQOaZCXL10K6aYHCzfGfJe1eXWnqpZZRsprpxtsyXsc4Lz5SAYrib0pafeMePKu7c81
n5Ydp5wbGxfrs5BjBJe1JHSqzQBZSYh/3rM/bCSWlhWVyq9B74cm0NilOvKo0BE8QO56gyfUrE+5
QwVRfpXUcUvhHDy1fdTZ1t8W5grmIsNjNlpb0b7yMWa1Svm8gYKwC3p/30ynzJqzz3rOXEgt8+Xb
XTnLRHoGFH7mAcAEcUOsGVaTrDwEk9A/llLOIBr7+UZuvF4+wqgZZwc41utCaYDGme+qR1k07aFu
VfYbzMSagpQInUZH1/344FcF/Vzbdv4/qan8Br6OTx5uf+xK7vxPCatCNSfVTMXp2MqobuZ9iV06
ut34SvY3qzecWcGcC0fFi2wh8FL+1j0O+sjgO3+C/+HtTq6vCNfUZKhQ/vHdjPHzxH8PxA678h1O
GxuHibXhMW4qbEY5z1pchYgX557JI8/u4kdh9o1dq5om//84u64dSXUt+kVINsnwSqhAdZ6O84Im
YrLJ2F9/V81TX05RSK37cKU+Iygctrf3XqHrVCFO1TA82lkMR9Jxkl4DOfxCold3fXTWpmCRDbHZ
sNNBmuI0i8rP8u5d7+pdzeI7o7Z2119xeQLMJZY0nWhPDSsVAGIM0H0sUhhqaeS2Ap50o/z9b+td
uEMvqzatDqk0t1T6aSZZC+h13vPXYqageVDOxBHQ/uohNlQezkM8HsZ2Yge8PvmWxMbk8xrVTwc0
7L2bu+qbpcvWt9yW3qN02gUumqN7U9Dk2Yml2XhGp5HI6CbqaahkHJPeATHJgUBm5UHiDh4nwCBv
gUtXUrBl0YShQ05KiBOduP57dGxvnDjI+cRLtR/dsHUdXlkBy/qwjvM3AXoYPAEL2M25mpN77tLs
NyGz9ZdW1hZybWWrLMtX8+y0mJahO8Gt90U242NSqcP1FfavcHNp/s8D+OkIqwZ31EoC2DqOlDtq
9BxUOaXzO67rELjIciUPLcmNMYAkQP/WF3T4LpBC3xSGVu4zvaI3ohvaF/jUWse55+Vtg20dOrVd
nMAYbIgPzkt7EA6nPjpe5g9LNXzniIT+aoa+PxFItu3jrGrg32H3Q4hKHcSJY5ceulFTO6gZOfu0
nuXBbEBUN00uHhzCs1dS9DrQWma6i3nvAEqZiLDK7fEV2Iv6mPCZeUNJrYC1fDrMMq+OZt9Mt3ky
q0PiNKbfGUUaZWefHehSG8KftclJDo7Dx9BibSm9uhtk4XdcF3dl4ZgqyAHmyY6uzavf3HFhWNBz
ACxpSl7pjNvv9fm4iGHSwY7//+loRSXZUHInaqWBqnjt5XZgtlNAE3cvmsTrquP1F10OLcZSsKYH
7CU2c8Ei1as2MtOYBo49qKB29C29j7VXLK5BulTn6swkT1kcueJYqdt0i9q0tiPOf/+0anvAT1sV
NwC8wnbac6yBvoxAUm+kKZcnwfxX/Pz0dJjcSwM0IHJqmxy8f/II4FBU5NPTxNJ9Xzh/JZEb07AW
QhZHVVM2Ge8Rb5EkgJPf8SOYjl7hvBVc7q9P9NobFsdUy5UDc1PIcmvTcEfmEaV/9JoTeEx7IN1s
cTkuz7W5RCDTsYTtdqKPpx49OH34yNMwQcn/S5+wJCGSWrgsKUUcqfZZmL1XQ2mlkrea+/f681dW
05J62GuaPlUcPGfeZGVQj8qnHd+i/P2r5l2IsEvg9GzUmV626blKrYDNqgnMlkY9sVDbSFmgW2by
ME996lcid28mXsN3XNRc+FlqWKGAbs2uiBtoEsSvlge3bd0cvFR34N+bQ+IIZCbXbzhUbYQE0Mmz
nJSHOoSEfcuJ06gYWysEfEg8whF7ujUtR4RzHI7xPN5BLMPaidpOK9ygoYeTGHIMbPTgvlG9tr1U
NlnvyymNX9x6ZB+dZtAHnbbDTT4V89EF+PZtzuLkJtNqc/LqLP/baqMW6E7defM8dCkCctfcisma
YZJgcoXkS5uPlUGkFfRC5OjiSn3fZ452D2UYQcLrs3mZVqSbSxg5PCB0XulwikVdYFeKPKj7MoQC
GMTR9kSzXlj8ptnpjTk8QxAsxA1hI3av5BxLnxHkyixJ6zaOJtL8ZaoJskGAylQ9ZbA5NNlWA3Nl
Qy8NRySAyvasY6vFM0zZCyPIKfRo7RcQC4PrI7j2hkVq3lWKZPKsk3B2WFeO8ojzo4MvPWcbAKe1
kVpEPS2huGi2RIucmEBqGMaPtDqkTkSrZy2dvxg1FoHP1ERvTDW+onG/TSghxlzCE/Cm77c8r9fC
xuKsHrhVWm4iUXx1avhc9NZDzN0tPsHFIQIdejFEFqsdbZI4OU0r86Wl0yAu2luYNf4BwFD3y8p5
uT7Zl7cL3rQYpxq0fddQ3XhqZzXDYYaj81+r17RunpLB1kPbVB9ich/L0oigLHobAxXl5XwL4Xjx
5MDrF6MYC7eobCRUUSuyoHc0aI124TRvSU5dnCTKls4tlV7NrZ4akCJPiicjbb+nffM14Ru2NGux
bBcVUwoIfusAwi3FLZ3gdXJ9Wi7uQfzu87r4lINMdkuYVhU9lO/hNdJ9G9CDFFKes+SNXX6xd4A3
nN/86Q0At7jEkiD0dHPBQpWp15IY9y0XO07ZMUX5M6nLh1KrNvp7a190XgCf3mfxxklrM+vhagqN
xJEq9uxQV99NUvugpOs3wv/l9cTc80L49JrRHgZFNa07DUUw6ZkPnI6/7TmytpwWobFuRy0d7ASs
C+c9BRpJbWl+rT14sd/h2QCnCoZmo94YHwJK6Y0Q++tL6XIogdTd/4+IkFWcWGN7Jj5lO0u37gbh
3lPUyr2SuFkQD9PWZRIP/E+mgxW12MqJqFMmdYEV1Z6pVVVgJ79T60k1xddesHRd0TrNEYPgwwl3
CwgOgDwbPyTABA7tt+tDtUJGYEsnFST6yWwMMcwsDuNO+vGehNwvQ+Mwi2C6VSc7UP7NdCPu+rvi
UD3qb/l9sis2TqwVaBT7j89KwvvacM9vH7y68JLcy6dQm8N6ZzueJTz2+/pnruyRpc6uJiGc5wBM
dzLdu2bANEH1Mbj+6JV1vJTX7RNmK7PTzjTBIqihY571+RcffX7lp50NRwKjGTP8aqWR1zgbvZq1
G7HpMvaAsmWp07XgMqLbRXyUlJqHKeNonBaTbtaea+vlqXSM4bZOgZabpAmfGq1VOx3B4H2Kx3gM
oXQ3vqVkUC8QONQ3Pndl2y5LAVMlqKMlYozQdZFer7tBBX5BA+uRroZ2W1Za8UaAWKExs2UxIG+G
GNKmbXzMYHMSTqkynww4k55v1s4MYmFVPiagKL1XVvEXIgG7Ttn+INWDAeYpJN67Hv7O4/g2znr1
DDwmzC5TRrivlXHsxTaNX66vrZUTa6m1SZt0dAyS9hHsIqe7vsr4Qztx02d5wW9KNiZHw8w7FPua
OXuITXOLx7AyE0sdzgkMpbSTZIh6oF7zpnZCt5HHzCggQgNfTOUMG5y+lRexZcVkzhRjMV5UWBCV
VC0s8+5Yqnt282HwdiPKrL3k/PdP20gWnBm0MNpoQuMqHmvQhaRTeOZchbNhocpv8i8hhdnSXaSJ
3ZKrue6ikZokTJ3yg5fdU+/2T62eOwGAnf3GN+nG5aOHnSPdp4+io4tadMyTUxxbo/QT1XQ8nKxM
/q0bHehCaWftbwXn9j40EpE/lINJf8iZs/s+ow1OK3vi3LNJNkJgcLLMg2tb8l4k5XhUYzYmnko0
N3BQOfw12Ez9cvQkr4Isx4lqjLOxwYVbCZ5LIVYYHNgDCuZt5KR5fdcV0tq1mbZVrl47Xpbyq0Pi
lA3NWRP1MsOt33HUcJfPMAAA5j1GPx8cRe0hy0fgNYVy2a4z+hR4kqZq/17fwCsp4FJBudOsSoL+
OEQKvs3f6jLF5ZW12p3TTuRQDkO/kTyvnG/svEo+rYY0E5SPIEJHOrwcnu1RND44vaYHVSdtIxat
TNVSQhl4VlRLid5GUM7lP6wyz31IVsXv1wdq7emLlA2tpRJLoUEgUJa96/XKvTOSxtwIM2vTsMjT
ylYWbh7HTcThbr5vwFv/NpGJRVKfcyBv5/HjS1+xFOMtW6jAImVrIiPRWp+47uR3if7wtYefh+7T
HDML9ati7JOTMzG/jPOAaX+uP5n+A5BeSGSXKNdEcH3KLDz79F3z3i3P8krvNwscf/It7/Y2+J56
u8a7fT+dgtsd/nd/PO6Ou9sguL19vn8q/cQ7Pnm/9vs/+6c/xz+j96cPbx72x6O3Pz4fveOfG8fz
w33hhXdRFIbhy+GA//uIvvmHaH8X+XhOEJwOPv5N6Ef+4XQb7HbvweP5n/l+8B4Eh+D9wL2tVuxq
YFhcPhhLJmOeEHcgGdZ/Ty3XfIzFBE1Ux0hx0Ff2PU2FE2qsoF6VlY3fEqN5vj7aK0t9ifoEFTfm
MD0Fd2ViexsIilymG0tkLatbIjnlpCzeZTY7SrRPQE6CLaV2IOPP3EblVDUHU3ua0vGhwTURL9dZ
+gIKf0jtLYP3lTi0BHgalTLReO5boHCIeZw1Sd8F1cpfGo/zX18aviW8k+C+Vc49A/K8S71af7Xy
rSDKzsHmwi5YKgdrJE0avTXRHYL3zsER+ffchc4FkFOGzDySUfpnmE2ewNMwr4N8FOR5MGXxXMep
/XcG8HoPB0pa+Sma4wSSW3HmA4xDg9lSYdrmAbLF6TDNpvEoUD2+aYjW/mhHlUNpSNUq9TSr5TrM
60dz8s1Bxye6Gbi1bjftlSpR82SACBdph7I3n6cUxuAKPQ2FUiIMxqBojwUV7+tSc/+4tQJaLTPR
BLYrCnykSHqt8DiwTABcARvrgA65BwXEld7gDDGo+MAFd7gBcAiVM3NCixcqu2GqD/gXGbrx9zr4
aYEmDRXaZWLfQSdrfIYwkxHEbR/jRlW2PnAAxXs7TtW93dmjb84OD4FL6CZv1AhszeMMFQqjN4B+
aw0/6/r2xtbYltjtyr5aQkMzdyxoR0kbdQlknDyXFGaoqjz/GrGaLaUt0nTmOhdZG2XQlX6IsyT3
06rZUlZaOaKWEF2wFwmfMIHQk36anSelAATXIjOTGwnjStWTLcWfrayjmTMKNK3d5m6YtD1LimNX
u1DPc32ojPha3QZlbTwkrQGb9hyuHmW8UcZYmZqlDkYCCT3TLlBkQ2UGiI77Lnm9HgxWUvulAoYk
dIKNumijXGjdPgOV6FBndnPPWK/fgVZcRD0M7cLrL1ubokWOUhoQ1errvIyEXrQwz8r623wy3ZNJ
8h56ZWP7NZ1TtixQ89YwrI6PDSxiyZ8aUmc9tXIPmvgb2eLlD7GXd382zzzJUMyFJ4wd1qVhBHaR
3tGW3dl9I3ZfG61FzmUQzmZcHNgRtvbNCCID87rhrv55/emXAW+ULRUh5jQfa8A/88hyB2J6MZjF
04E2HGIYCt6srd/2PWy+wMvuqSfGwTK8DDojjaf3gwmkbL4pdLmyBpeSIUl/Zpp1dgFwhVPvtKRK
f87DaFDfsOc2TNRYnkBI3QLAr5ywS3kKSzmidxniBKmcyO7FDeHGo8asjQvZZZ9njOt5zXzKMkeZ
E1UJkNrmmkkcCLqYoMjH5/YNOdN8YyWpfjRsvX+i5dymHlrt+ikpTXl0AYvOYUoQT0FZzVpg1prx
OpswpUiqMtn4eZdXLvuPgvb5pOWVKSIX1PSDimMacT6qW6GMTvdU58YbMLG1ST1Hsk/DkMwFeB62
VURzqsN/FH4+TaTNeXm0bZYHlCNNFJPc0mJdiY9LysRMxtJKC7uNKplD3pfW3X5gNduIvherSLr+
H65eIRsL63M4wYfB9ozZHe/dJFOhAkg7SIW552JoQz1BwQ0M/dfrG/TiJ+Gli3XUGI2tTw7AgpOg
37sy+U1TM7j+6ItbAI8+//3T3OCxNRxaiA5SVv2T6CCzgD9VPtiDrPfX37D2489///QGMA2YKFKu
n7hbTd6gsXvkPc/Xn31xZeHXL67qFVW0JdKhUPcZfdvMginvEpBL4HyJHtg9/svGZWBtmBZ3nIQ2
RlLiZSBl0DSwbTf3CrucAIXvxMZMrI3T4kTs0fN3qK1Np95KX5iMd208f3GYFseHK1Oc3FTNJ7P6
reYGjjMfjlb7Q3ebgGRxfSpWRmgJsxE9mHWVS+iJGVYPJIjo/LErG5C/v9bV1PUl0oZp4E67Aq/g
ms1wpRizOjDioj5AZFRGLoRSt3qzax9zXm+f1mxHoOSmOaV5KueYvU5sSPaQLDw7D1nJ2/Xxunxt
xtcsNjU8WwT0Vmt6SieSHOFW1fslN8e3PMnlvnGhW0XQfD7mrZkc55yXvtK6cqO2cjH0492LXQ8T
dPQhBezfQVT5m1vjSXUW5Nkpf0pr+pWoj3ec1/mnMcxoqku9TenJRfq/b+tYhqAr8gB3WhqOjLdv
6FDwPxujed6I/7lu4m2LSJAQN6kbtwH/y5msbyhEiEhRmTw5NO0iC+TnFyjXfEi3hcr1KAlgcgMr
iVfkLnsseA0SzPUfsrZyFoHCKfJEy5TTnCxtDMjZdIYD3z1tbLKVeLdMZvO+L9uGjvRUGH81bYAU
YY4crPEG+4cRbwHgV464JaaiyHqSg2I8w+49e3CbXDsCuOHrurW3wPBBXW5vpuPHXMZbYoSXxwye
CYuVYneygfk6PTmISmFWOTFyhKb0snrY6o2svWLRGymn0ilda1QnB7Yq1eMYP6jk2/UZvzwnoHj8
/69X1WAxJbT5NA52yPJpN7cdCL/1j86uwsYat8wmLu9ZukRcUGt2zGJIyamrohTy7LKb90RWQSs3
ysZrY3T++6cNaxNdYu3CP7Xn2jcS86DUio+u2MrL/h3K/92idImtSPIe6ldKidMwpsBWq0EejJLZ
uFzEEmCCQkAvvMxPxqgbNxoboFdS2FZ2Z+U2hf8FLKj3gLtuVbHXPnYRLyY5mYrbND+xvG+9zm5C
eIzpMFPY0ndbWxaLQDBIvbQ1m+SnrBh9cPbD2oQIi26/DmV1N2ldtxFwLqcNdInP6I2qSCorRsAZ
K1BWjCLos5kH19f22ppbJA7TONSOpcUKGjaJ31Ua6IvdAZRB1Aq3hGtWfv8SleHmicsgogJ/1SIP
BgfnA3QZr//6lSlYwjEa3dQYemEwoBqG0Moggzm+4NQN587x0i1zyJWFtERdmI1mV7Uh1amVjT8Z
uxiSAsbWKr1caNLBhfn/PZkaTQ5h4649UZW00eCAQ+3zptUSyHGlLpAeMt25Rs9CLbWKPSrGsOl2
6t6beqaBPWp97ZqAu83//w5jaKxkrDiBadGra8Dfk+41e0vndm0IF5kCMbWMZzWyke4s1kQLj5rP
Vr8BzlhbBIuNDkUBBa5QhV8+5Sq0hA1W8VA6XlFZrT/MLkMfa6Zf2y9L7b1JjrUpSi5PUPkrPCis
GF7VDjWkKIhvZ3LLLWJlzyzZ226aAkfQw0QSIuDEiwcT3RzX3Mjb1mZjEbhaiBT16WThqKQ58rSP
3ra8ov1aZk2X5bLOAe3GdJBcZAPAoW61HwYdEnlbsER2jkwXDpkl7qVPciGt3gZ1i1nan6kd4sI3
W+SiPqRdZNiYk/xuzRCTAQyFpjt4ODtmoJsJP3XGDI8oY2jPaKmeW7uJxgPsZe0spJCLN3wGDO29
WSrpzRmck31nEmagQcQz8TOr624h/cGDnhf1UYf93EGmub0rmUlveDPIH4Ou4ve4m9Q3VkHD0HEh
HDXC4slLtMk98AzyRvCDmIOedRBTpGYt3yrQSz2JATsokN99VYom9WE3PjyPsIgI7WnQf9aVk33r
hBCR1GrxBFaU8ptZ8aNhDDPswo0RXiWFxcKxUs7tyDIV6LarHeB6aTHPLgs3qgVj/gD1Rq/QimE3
zShvhxbPDVT2tGrf1RwBpY25gLvNbPxQ+cCSoCgg0AmVnHHcQHWvHDVLFJEzV0AAyl6d1NAOHvgz
tp/mYEapPMv8seker58JK1tnCZJpJW2h02fNJzjJcr8ZufQgubyhaLL2DYtUsORDg0I2Hp6PCMvl
d8l/swQ6EdYWO2Ht1y+OA1zQsrqhyJSHWX9xklk8CFSGNzb+2sPPf/+U/3F4KNNJQROiz0cSFkC+
+EIDb+5rA7+Iw1lNu9xE8eFkxa3lKULe+Twfrz/7MoAHRblFzIKQdiKKroVMTcpQmknbQT2AvK9e
qRkjdFlCaX7VlM4jhK6t0CbdfCAOLDJa00WrsGkZNHPGHulfmhm3wDYbXj211T00Ch1/pIVzgBiF
fuuABXOEzIgepK5ldl4aV9rG2K+cUv+6qJ/GXtroHrSFPZyKDv5oY22/JbS/UUUBSxcm0IXjWyom
K+H9X+D89CZmWRaZDX04ERcfnLn9Xe460kfNLLg+GSsvWOLs+OBOWjNLCceKEbxHCqZv28b2RwY6
8ha+feUdxmIfOJrQE1zxweka4GDTvxbE3QNVt7FU155+/vunIaqFk2YzomfU4mBNKT805EYlWxjX
lacv8YCai+aKNkEGSxPPptEF7fyjGLb6qisRaIkBS2pI8qFpHEdc7/3ZSrzEuhtRnta1rdxj7ecv
ht7V48pQTp+fBihlQnQLYnxPEyk3yutrT18MPVMEsBw5OZGJk9Fqb7Tijky/vrYwF/Gtngxa1g6q
oJYYd4VlSNCr6t7Xza3ewNrgL0JcTm2jgoIcPUHdCE5MeZTAvZOU2cH6UsMKfYBFnAMuIIY2okT8
n75T8a6Z567VxkVybegX9Wfap5whkKK2xOqDgNiJxwrI3E9k66a6NjyLy2QvGw6oKDVPDF52+7Sn
3Q534wrKegLyPuAzbmT8Kx+yxM1Mcs6Q8Uz0NFYfjPyyCBQOt9LXlTi9BMw0yKpQzUSWUqb8u8X0
U23qx6ZBDRGFGV5vsfTWPmGRSNi4EjepUOoEXx5+bFyavMHSuNqXZdVnG/N9Ln1dyJSXEAw10doW
HS5GOFsOsxpOKGKh7TecFRYglgSV1e9wm9yYk5VqN11CMjqdQpXXoWjDa5R9lziGXagiDhkPqds1
95DxH3wK9x4f3OLQBMIwtIZ563RdWXlLyUSdpNDSQoodQfc9frLPkvUNg0Fg3zXk4GRTvHH0nSPJ
hSFd6qqMBRMNgQ/FSUMZ2GsM+jOHbOiXote/1OfToYQFDRVKAh6sWdN9X6XAOfH8nO+YG+thZZCW
mJZGorNsaLiZ1eo273/Dp9gj8i6P243BWXv+IjoaUE+Kjcykp2Ycv9tjWd6JstBCa56dX6lwt07A
ta2zCJGwCGmmdEY9rGiLPCwqCQC5aKyTqelbBfK1VywiZd01kCvV8CV1/RuGbUGjJx5P0/D6RK+N
0yJMVmlfwQuyRPbRpFE8srd6SnZJZaRhKUGOuP6SlU9YIj5wd6sqs3VY1LLYm+j90J0JMVvp2co+
WKI4VGFxG/dvN8racUdN/ujK6uf1H365OUGXkI0h7UwOMxQnqrnZ+BQYv0NdVgBdMfcxmTr2veC8
PNIyE7u8hirj9beuDdd5rj5tPk2baV9PvRsVU3anZw3Ye+qedM3L9cevTPkSiTEkHYAukqrTYMOd
hj9qpfiYsiz3tvyR137/eaI+/f6q7Yqqtql+QkVdBnMPQKsO6VDf6pX2te291I6tiiZ1i6Rxok6M
R1ur/w6N40vm7kkF4OT1cVr5jP8IChKNzAoSdaeqtOi+jDvip8XcBUmZbO3tlalYisq5bFYZ0Xkc
1Q20XWQJnenM46gc9nJL63olh1jqvtWNkAMFaiGqqBlqigTEvonVt2Ks0ZR8/tJILYXfZNGJdNDx
Dlf1YVmRY5UUD/BH2zjOVz5hqfbmJHlc104jTyQT5IkUk72r2zx96soh910T4GitZPnb9W9ZSVSW
um85cca2qaDuCMDok+4YfmobiRcL9W6Pg+tng/W3r7cEb9e+bLHT1ZwV2gwh0ZObVvGJOTC/gPGI
DAmfs9ZLoET9UkAy4YuX5aXMW9lnRW7VGfLJyij9lOp3ELt+MQ3j6frYXd4xZInChu6wSyYncyOw
EQMcJgBFJbBfzL5UtPuvQ13bSHcSqCHOpHvvNXvH0upm6JJvxiar7XLAJ8vE0c7gYOZYDNiLfh72
o5HvGx0u3qJEP8qsAqqxdsehcx8bW+IJa2O2CJa8FUVmTEYcJTALpdkM8T8eZi3ZKPWcH/PfJPE/
PnaJlqcpREJxvrM+7JT2Ybfux9dmW///MG/mrRq7gbqR47zJVvkwuQ9Fsf/awxdZz0y0Jk0YcaIy
LUC7tz+MJtk5Y7rJIzkngpcGZpH4OHpHLVyjIBhooFxvDiy770RjBmZMx3DIanIfW04VmnE9RNoo
2qDqSm1v1wT2Ia6lAmXPZOMwW1kCy/Soxm2FEYE5chseVJWwvIRLiK2XX0IlAxtzjnWfDuSyI0xR
YbBobMCGEIOMfdMqnzuy1VZd2TbLPGka0iyzO6iiwM4w9wZqQ/pz0u/qOt7hyvooa1b6spLfoDP5
+/r6WLni/ceNbdCthqI6cZ4/Gu/SvgtFbex4Y//KTNV5yshez9z4Ok2f5xp8yOuvXdlOy9wpptC2
LSm3IzoUmsftaT6OaVuE159++TggS5MAjvaNk5RdDWWqAqq+/NU29XeakX3pDmCTzHLLLeZy3kGW
qNXOoLVRjAXCnBX/jUn83ZXlPXpkJ0cztio8ax+zCA95PzGnrlxxMuy89rHE5S/doaWvmZJ+RzF7
vIVKXft2feToZQYQ1vgiYGSgZdESMA4o0WnFTzYlbXoQtm1Y/pTkfDhmBTg9k2kILZpG03wBbbF7
04RmwVNuTm+slJZwIZ7PjoSQgP5mwtvFwJCP6SET6fTTzZzszWhSR3hpAlieM3bVDQVmPTQ12uhB
P5D8EbLNna8Vug71KgFJwkHA9CFkI0jf3py/psUvS4evKlG4QeRUvYs4w7xCw++70xSdZ6Sz+EUV
YARejP5dixtx1r4mde4eMhxVISRux5uh6boapxHpfqXS6fcjXA381iZ0xxrCgaYHa8Y2OmdHZELf
dLPjQePivmXrKT9N0MLZz9o8zT4ABNqbBXuknT6grcvY3ENI13qKS2vyS60uDo6ZVNPR4lpFPVKO
/U61xW/w+tFqTjTtNuUW9RV4un6lp3pQuZBEzOb5o5tiw6/4ZAfaiE5gNjv6LobR77Mqbai5yVEY
TxhS9SepMhNccdY+TvIwOt3Z/c5KZO4bgpm/2zr7w209qTwlmB5YooSRqLItiuiI5A+kLtt6rUbo
mFpwDolMWU07NbYEvxVovxeCTqbw9FLDrDuxkaDH0qFJHkPv3EvNfvaLyRpKzy0sM7Rg+3FfKUi5
xznp2E0rxtEbZZ94jGdIylv4tDHgI7t0J5yp0vH9yfzDmdBE2aW5Ex/ykpSRTUb9YE4xgXu6EQO4
4mbli6lK9mYNY3OAanWM5o8OcxSkdObBkI41IddHHQQ4FwyCZowuOp2qk7+AYa8i4bh8X1g1/6jY
IKwDl9KNfX1KZnQSYwjBW4OlDaHIpePVUBB9NhkXxNPgtXzbsjy7I6WThHmeFj7pijGAr4L1U7om
1D8d9Eq8lplnn5YECum1A6pcDS2FB8ctJdCTencHZnl9X8MC7ykzMu3Q9nYKC+KR2KZnFgkfg7KA
PynwUkkBl02D6N+u7+S1CLs4l93SENIs3e7EoCopmyeIwGxcI1aC3lJRv4mbTIFG159gUvlGRPlH
d8yjw9WhBEHv+o//J3N6IatYQjJiYAtkbbLilGQYtAaQ5J9VPZreoOs80oeheigyXgdTS/vYZ2gN
uLsE3LGfMASW3NNal8B/SGv0v9xMkmfUqyEZOWSdXgcFsynznLJGx+76j10Z6SWuQ7mthJag00Gx
FzIEMLAdfTdnGw+/fI0iy54ZdyYXu2buTjpB469q4tOUlvdcwZzbgrJ+PE7+iHbU9S9Zm9lzYvUp
v6kmOeACCmFYhR4UvIVgg3VI+V2fbGG7VjK0ZUmXlEaNFd4OkUPGQxMnDTL0LsySTfPttS9YlCsz
p4KLXN90J9ky2DzYKO36TZXZL6jD138RnLf8RNa+ZHEqzxpLNJZyKEHr8Gi2TedHzLK72t0qSq99
yOIYrinLdLeEH/fodrsZFoLS/t0mHWLGxsVgbdUu4kOv28Qs4Y2ND8ghMqn6927INy6YK4OzrGOw
VsHUZjCbE5f9NzOGFGxiwoh7fPzSMl3WMVrpupokLo26XA5+jkPJt2SFVEPcjnq3Jcu7MgPLAkbq
dGVB6qlGZd0+MqI/JmnyUI7dn1yXG5F0ZQ6WkvVzV0nDNgWaOWxqb6STpPdqTpqN3bxymVhWKWZu
l7xBLeRkF/uRQSKHvQ9uEZqD6dXVuDMKvkvIV0fr/ImfQkeutNE992lPhQKgkt4zKwLVw6+KDV2Z
f7/6womw7KSUqi/7WRDoV+3jfXqYv9VRfz/dwrUj0HzmQ5LH13fyxt4VhzZq7skBILWDHdrh9TW3
NlWL/W6oisE5A0t6tFIoiv81/8fZlSzJqSvRLyJCiFFbaqZ67rbb9oawr21GCYlR4uvfqbvqy2uK
iFq6HQGlIRMp8wzsJvQR+dda78PEDTiidG3So8WW928p7/OtrZMXBSyPD4XAla/I0q+fBTuQZb1o
VUXO8I/ZAbn9rNy1DtfCB2ouJg+jP3jfhS6LuUM2iSfgTaKjLNXQFPqu0U8rm9v0hslcEp30Ibdk
OITAT7K4d6Bf5Iv2LZnSn9eXeCHg5yRBNVqyHMNgOtfZRho/ytxH08qoGfjKqWYhLc4JgaXTSsID
D4DvOt2wJGmBZFNfYB+wQg1dWOU5K9CC0M+YcWc6B7K/h1jRzsEh/PrcLFxC/1Xb+LBLXfjtpE4+
CjDpvlJ1J3P/nBC1YdPb5LUrX6TP3SQp+ZeC8OElRvvDAPhqGCe+fBtyJ8Hmybx7mwbJH5vBJg2I
pOrZThIYlveAUvaFRXbwYwl2pvDLR+UWzRkQS3VXC/QY6lqHBiaUIj1MvT8AcWSVECG2xLvlkDUe
+eckbErmmq0hrSYIIgMVWgnIXnhDPuD4KUAkhd0gdJQj5gzBxvOwGA0JzaubOSV4s31OddTKG/W9
2BxAdCny+UJMOi75O1d33GERSJRyirWVrWzeT6MDPJbL3z8sjgv55N50njwH6luHuxnJ293gxDxY
Y8svRccsw1oEICiLX9zFXJQJJngPUbMX5Mai978L+OH3m8LJE0VwoKqn9OQP/l/0JLasTb9QS60k
kKURzLJsWbg+qVsg4lUy5htfVtC/d3Y8bfj2ehQu5No5WxM1idwQDQuFqaWvloILMqCO37D63naw
0hdTwZGeEHcl5pfedvn7hxkLvcq1E+UHcV14P9t0jCfCzsEox23ncNRskr/SJvvrI1tIXXPB9IRB
N9urW0jfVuKrH3b3Sg+/rz96YVXmjM0SdsRtkhf9WTQ1iZQWv2lib6Q2ycrHdSE3zmmZJHRR6Aoa
GpfJu+JP4CedwL+DA2e5n6obv+BzXiYF/raDhaE8qxw6FRONTaFWJmjp98/uTGUhuXIk8C8F89PY
chk7kjpN3lGIrvfw1ek3kHfM/rm+GktJfk6G7AIvyby+pTFsCZ47Tsa7jJbOHVSChx0NFPq1MPQq
jo1jTXGWesM+V80fd3TVLnSJte1BOYS4b1/0RykIxCz8Hi24Ei6ixwLkzXsPRbofrKXNPVjz6coK
f5r7kORngT3A4y5NBeJODXLbJQKCQe6mTr9S/XJ9Vj7do6BSXo7wH0LNKoxEzdLH0UODNpDSbxKu
bQwMy5Xk/Wko4/mzUIbBWmUFqiVxjrbMtvKAQ9JpWe0KW/JjlSUAcCVhueEjJG9vG9Fls30Ykd2J
LOV8JHHqe/ddUB06K3kL0zXy0YLMF5vzKkVImq4dejsWfHjpavFGO72buF3GIaxw485HdS8svOKk
Mr87plRW77U/wpOrMn1kOSOsZAXEUW4b7GVZPwzWgiaO5/apHaNs+ZtW+WM/JCmsE9c0xT6NUCzf
JWt+eH5b1o6FOlYQS242onnzlRU5bNj01V2Cw/xtg5ilgboouNE9yGJBJqCj9TRIE9HmcNvD6X9H
UKagkJoJM2SHDd25BhbrIqQo9zNIOV9/xadBikmy//uKrmq005RY+xLq324F97ITtK/g7boSo5fJ
/r8LKJ4/SwJQGqXDkLUTLCZs2MSXHNIwXcdWJmhhieeEyrDrPG+cmB87IfrLjEVJQiP0SaKwCLZj
cdsaz7mVVQsJLKe0nDgpLOtr6DViozudwCLTc47Xl2Ehlc2ZlSlsHNmQejoOrbuQZxvHOTR0rcm/
oM3D5szKhI6V6JVtztmU5/km1454KSwg4ko/myBSLEL1qx6ZNhFxKxf6nOHg0wgGHVCYq5ux/lqX
Af0DCBJEvUnW/A1EibOsrODWcX34n/dTcU6e5QIJLfqKtOCSotEOt9Qwi4IQLsD4ju4bOMWj22CO
XFV6q0R/NwTe6fp7F6bdn6WIsWgDtymAgOIAZW4JlZC28uAvlBa6XNk8i0ObZYghKTNV9p0bF4wO
r9pr9L1bB+HBN9Apd/1Ub0q/T6Cg0wQqygRK8Khn/7w+voXom1NZ0btSXED0Jk5FALchhYdDdXrl
9LkweeFs8kReiXJUFzWSQbw4LczpYDR77wT21+s/fiE1hbOJ01PeW4QMxVnIR1HQg7HTjYLgECyb
d7e9YZZfReO2YZD7kMmoym9TECYbGDfvtQ0RRpNMzco8/VsK+SQHznmgUwf3XwlFn7iAwOVQWVuh
oC8BX3YzHAGFekz6E+1/OD4Be9PsDMSVuvKH8bP3YlRAVv/AJW/lcrK0ZLNsXMDWiAKKoeO6tMvv
wA84u2FIoJ4dutkthCIoRMwOZRMlgA4A3wkjsyq+uEWXTb1n4coAFhL+nNKoYH9KO8d1QOTsIsv/
k5ROlIePre8D92FWvokLsxRcXv7h4FDhZC+rkVXnsei02HQlmgku+LtqC5ecm/CdNptLG1KjG8vV
LqjHFjQt6zCpd4OUyTYhDb9x43mz/Q1N4d7mwldnQas2i4aMm1+QOXS/1GntPvdaI+PDHtWFjZdj
s98uesbQepqGoN4WECxMo3BK0RmwEvRtNpbT+wAgXm4TpBpgMh+old+5EOhz9XPt1bnjekbHWphn
hxFoAw1REUCUw/y6HuhLK3r5+4cVpSSVo4A6apxME4mLaWoP4WTZO1WX3sq+X7gszBW7DXTFfGdK
R8y1+WvXXrkdM6VjgiMKj+rBG6HiWjXYtO1kdreNapYguzQdbUnr9uwmgbUbsul7bjfwbu7ESrQt
Lcxs/6jSlGHmYxQ+oOhPk8eDRznAiq3InAvYTq35Hy58puaM0CQHHbpKkZYS0HNGz9oRRm5cllnG
E1XVZ7aW+RmtqNB7taSKGoOvVQcG+lParSnGL4xgTgQdbAeO40rkZ2Ccz6303oDLWTkaLj16dgud
/GLMc4/q2IzdHRCAcZbXK2eTT3tdOHXN1rfrKpxMwsCJWw/u85skl8POAn4erGEnOzDZOjurA8wd
WF3x1x6seiXgl95r/zccS57bUPeQFC5Z5svYCRkJKnesZRCp4iMMVrvvpGAAzeDAshIrCx+OucB1
oXKsuWnJ2RNg6tbjCGQP8DZRQUe8FIy8fcODNXjnwpLNWXkOjKWdEjMbd1X2OKZ8J1K2dlJeGMic
lddr4VYZxUDyCgChXdXv+i/pLtu68KeP0t8hHAke6if9UO3Sx+npeqJZyANzZPWkEz6RRDdnYpxT
bgL7HqhtvWPZKLcpbazD9dcsTdvl9R+zNCQl2wYFzTPOKeSks1p8sUrnJiNwfHBn3wBA3MlogfMZ
VwUI2galsDwlp0EWZj/YZq3ieHnaJ2e9/2OWaWuqekBez3ZwqNNHlT0p6+226ZlFjQP0VAu1NfS9
WfleOfmrn60RWpZ+9SxLQqG1At4rsGPjpzmU1tjRpXCY9vpqpWe/sGvnIOMBnqSdZ0DytODXAoWQ
IYdlTvIDYLnIWdXWWdg/c6BxSYIksWyIeqVT+VzAAHjIcYC+afLnGGNnnIK+0OhS0MZEDf9D9I0H
wblwbkkhqqwGcFO7nOs7QDEgVqkgec1Saq+0OBfy7Rw3DDUC1nY1bFubDi6YEDWmWYTCkrsthap2
LeB6YqOKn2lT7CflVO/Xp2xpzS/L9CGce5E2WUkqOx6o722oKd8KRmjUyfqhHPhbLeDaetubZgeh
zGd9MdiQ8WnCL9r/C/mXrcI+89TPvL2JvQJBt9m3crq4xE4BEN9V0Q/7SV8ADTAx3UOyco2V6v3b
Xfkke8xhxMJFoUV7HNVEKy33THSoydq1+hPAdsu6mwAnf6BNAzECjjpxefBzUh5b24gcVgO+zqOA
q4lHDtq5+Da0KgbyVW9C23PxrKDZ1To130lFK3jWjsG26qvJ3TgK5CboD3rJCa0+P4aUZbmpGem2
w5Q4f1xY353AZPdQHLLz8MHxkhpnJ55uSdene9r59C7PIAZmqjDbd6aHIRvXwTtri/DNtg2otf6Y
e6+4LhR7zZj0N26pzL018vSOBp2TRaEv4Mpb1MkByLM0TmEX/gtVJwgXVEhCrVvyTRZqsg/zsNpT
XMxfq27gsKnop4NfWmqXhnh4RDMTHKVtB19YGKQon/fkGco+430HCZC4sUuzrVjFN0MBRwPSsSaq
VJccrTQQx7C0x4hkMNVkjTf9xdnEP3hAS0QNg7fcZHXe21Byc7aITw44SAzboqDDVhtBopEHGLg7
ijurq9OdhrDwaw+BhAgyj+ELtQDGjPp2CqBs4tG9VgRi0GWD804OVHXtq3Fb224JUhkT+9Lzp4Ou
VPOuJtc5FHosvjQ+uBONwrXQLQFz3kxdDj55HTq/Os8ft6jKy1flgftrsro/1513br2B7gY2lBDj
HtMdfJr9A/i0zVYqUKKqnDYPUN22nyHsEvxy0g6l904FuKXU48kXvMIlNO3PQWH0PdN2ujcymC66
3hRVOfefBhaU6IY4/j53SASFD8CAqzLYuLk9RS7Lnixu0ZMGSnsfMP477RrvhJopebXd9q2syu4I
9yj6DwAJrdiwWg3fKTXDZuwvOmK4VnKI9qYefEeSkv9tTC03wmgDOzFoTYaQV94CcBk8FcA1v/Iu
1A9Nx9kulHr6Ljy7/qJU3T6ko5/eDbn5a1zdAFiti8egDRJMgM7u26D94iuZx/1EByxIzc8aYogP
me2rPRBZMnJ0/TWAqcYDU5hhu5T8lOCJp0S6/aGuuMc3cmjLrQx9/Z4U4xgbJycH3KKdLZ1SSMzA
LXrvG+ZFtWzhveHXzUHSyflFueF3TV6DCdkZ+Ju0TnViRg84ImbNwcFpf5fbJAH5C4BVhfjxN7U1
ybvGq8QmdBwMksOACjtabplCCTdp0BAYeZvtiz7onxg6t9HkpmxrSXsEIZlnR8iyhhuBlBKxHMjF
EAqnmmm5KUct4OrhZxwMQxZ+86VfPVdK6eceomBbWfbp1tO+OkI0jvTQ94QtEeouUJarcCHY43XB
ubWsfNNoAiZBGlbTcwPfuaeyKZIND2sZ66YzB+60LjqwxZ/EEW4cekWyTR209xPHz48+nE3DKGMt
lBabQNYnT03DAxNwz9kk2mbfOMm9KKMB6tI2T8BrqAcWwmWyFD9ssC5yqOiV8klP3BHbtqeQdBCg
NzyGug4fKpelP3zb+qo5bwLkjgZ3jQwpZCd0yfZcmfZuUkD6CRcvsWC6co8aTL/3c7SMfIEShFDw
MYwAgZ6epgy7MKv8aUtUGp5HpvodY1mzZRL2Kg68Qx7sbugeNEo4+xK3pfsM7nFnmJWqr9jVxdfE
Ic4X7J3xBQXfEfkUyphexEbTsIjAvwpuLswcyoZaL2g9ym9ARhMQOrIBrk29vKO6cqxtMqJMeTFs
DsD8NtD1k6EToGAtfSRSk1VHe7TYxVYcsclpRt+aKp82VpaynVVN+kc7NnQLxnoDGUWWQLmhzFm2
y70OXzWdoEvc8ZweK8lE5GfVuOm6Zjwyx3Eep0Z1Wzjg8occKI2jGbwJLE6GsltIXX7UBhBJ4hTk
cRSV88Qzq94209TvEcHYpjViQQYCOihk7A5w0UIfsUpayCQNEGY6wfZBfqngarR1SDndVzLvtnZe
2PuCifCBkpG9aK4HYLhVv2c9bm6gG9iPZZYCR9zQ9J/WON2+7lX2kCLjbKQ7OdvCh+R3CfpXlDIC
t3GHTEWUk8Ts8wv4qGQMZyAcvyq1SSA68cSAEnkRZVO9kg6op1oUULUt6vJeQcz/TZQ6ifiUyrey
KP0yGrF7ThDPJvtypGQvneYphPn3NnfJdHKMS36gFu4fkyJotrWR7AHwXnjJoecZQQjC3IeZYTzy
8xF2OZDUP6Cqop4Feuaxrqb63WMD31VOGRyAEg0Pg4HBZOVkbZTZxj3VJm/faqfEp0vWyctQGfMr
A6zwANBU8Ox0DUzctSoQJwTi2gQ+fb2l/FMW0hz15rq961HmPLtI3t8d2xrfqk7+1hW1Ydbot7/b
Af7MG43y+H3fav3gMqv9Obgyh8Rj2kOFMR32oD6bu8FMZYYp1g4Ml0eFj3lJvBIJHLtoV3LV0Kgf
XLV1ofb+DX3G4hWycdlPA72KLawX3EeadsX3rvU7kI6gHk3JRDGTpP3iSQqSguUDGx7YEh+WpGju
Ojo6P/tpgp+wMbCfcevMOlXmchjrIKX32hEP6FnuFdBKl/SgU0C6ZEqnh0TW8g/pCxaVXhiAP4Uu
c6mHFlCpLP+WtkV+l3lF/4K8Pd0h9TpbkkzeC6+MuFNIccfKgnq4Y4Cd2Naqo3Ew4NAlCggq2m2X
bgtBwJkbyuLbICxvT0RdnWpuD8ce6nVn25bZVjuTa6OJ5Uzb3MoubkCtQMMyHFMFTlHKkc7r8OSZ
Krn4OfX/wEIpwSgL8QTesbtS8Vm46M0ZIq3buaZlLTp/OSghY+HUW6ogru1A4HGlXrVQLJgTOxrI
lPleE7AYcRiD5NpvEnyXmrrehZZnba6f+BeqrXOChxca31WwPopJ30D5saN3klt3adHvPZ6dLLfz
UJhwVu5+SyO6TOaHiwxq5yGS6EVWtYOOTilOQVpCEa9Up8TiK4DmhbvrnOORNjUL8l6SuLOMBAkQ
jCu5xo9devbsegQ5FRHkpiCxqtU7BACRQmS4xu5devjsXhTWhPKwV1AsgMHK1kjPxCAe8ttKQu6s
MOHavHLrAhYkbmP9KA39Z6Brug5LoTBrVPkjcL+y8sGHsEB+alx+krJ8IEV744rOyjXQw64DfxSY
dQ/6dEbrMVLV+P36/l/68bN5UYOpy4rj+IejsNi7BazcDDXe+9AEwwp3f+H6Pqej8Ab0VVRrEGKW
76AUBEDw6EKkbvpeh+JlktOf60NZiK45LyXgNjWCQq4Bl6mNamD7A7msAQ6nYlzDSS694jLEDwHs
SAK/omqw42BUG23/03IdN2wnweu4PoaFIJhTUvwUHlusdaaYSByR2v6uLYOVytnCSs/5KHwc8qmG
G+05rd4tfI3a5rmd1ho8S2t8Gc+HiVF50kwcUlhx4OXFLpnwmYJjd7lNZHko2qaNZIeKzfU5WnrX
LAsZXpWZ16EIlY6JOCsvPPQu3/oNTAl7GAqBaBiuGTcvfB3oLCcxOOeGCTOAuWmXbX2ee5uK+jLC
zdmLxikVOzqOQGkmwZqIwtIOmwU7Tk/CBaqlwKceLW9fO0ME/dd3uCgnUUDLlTr8Qh2PzqK+TEgO
4ncKKdD0pYeC/9iSLZ++8ZRH0JHYNf13e1gpGS6s1pyg4vQ4zUm7AnJW/nX016578vhuxFrl1rfr
+2FhY8+JKR4UpoOxtWByRtRJuOoXS/pt3fs3CXPhGjILehMkaUGMZ8eTV+mIKPrejxCMvv7jl6bn
sg8+BI4nakhAURTqCpwxIxrUh8ABy9/Od52rv1gsXUnCS5N0+fuH9wgLGoW4Ddix6qc/NbVe805f
BCvXxrGQuOYMFaq14v4IaIrfOPWJo2b70A0oRFyfpYWomFNTmlLY4HiiZWloHcmRb+3imzPmu9py
t9ffsDQ/s0iXglkeE9BRMSw8MB7+TgoO69LJXzkvL83PLK6ZowrPC0FnxLUTyg3qkPXydP2nL22h
WTC3dkntfrJxPkihtaD+5unfiqTbKUNfZ+WUsJAH58wHXKZQRqATVEoqyCPkzO6eQicpz2Iwj0Eq
946TTjsrSYOV1VhY77lpVatV6PS4qMbCg7j7+Lf31JbkPzuUMa7P2cJyzwkP0hfW6NZorJoedQOU
KKT849U/rz986dfPYtqhlgspCRriTqGOXsm/oNxSbaxBPaKi4u6uv2RhQ81pD3C4gojD4NrxReXA
0tOXCvogK1/Ypdm5vPNDskAVqgtbLw1jKHN+TS3yMlowxghWkBQL+3XuOsW8sAWP8MKGLNxNJRoo
9tEuxF2VnOrGVZFdgC12fZKWVmIW1SGUM03fwoqFqSOT1s7lv3Kog6P8t7JRl2ZqFtZpmRKVg/l2
VmhcsOAH1Q9FUK8s8dKvnwW2KN0cpSkgWEAR+FoLkIVtFKM5UNARy+Ra5v58COH/kR+I0jRJtTkX
8mLCSPPn2ngUJUS9MozPd2o4Zz9wsFlazqQdj0l9gjLyb6sIV0AMn89QOLeRQmmuF2DzIS957h1E
cb6ZvL7jxH5FW+3v9S30+W4N2eXVH2KhzoeJ1Jo2sAGcNq2PzqaU3isvg9c2haiKFsUaWnBpni4L
9OFNqDMXgEHy7twbic5B432jVKzcIReQ2+Gcw9AUtIJWUo2HF67ZVBq+3aR2u53J2DGoB1jBkwNA
ll+zyfygtniE4/j3kZVP3eQ++7l47gr7ldnk9fqk/ktb/P/+ZMhmZ3jSEAjOoG8Vl0MInniQeKjR
F+PBg5fjQyhU+mgqefEPrOXZcl04z1GHnkjq9D9hDsFenEGDFzU5/NWF6kskrKr9ApISuvS96PFv
qJe8ugrIlq43wEWTUT66dKB3ji1/Oy4ZAVivaR8xj/FHyFX5d6OA/kwjU9TMUlE9wwZPR3UvscrN
RA9VUSR7zOAYWX2f3Ce4zZxRB7HvK8cbTwVuOdDokfbennr4shKmFVCOaPhA853HKPtV3ysZtFtB
J/uYabvYIXFP27TA10BWdghHQZ6AMgoU2ZTgP4CiDTesRWacmEwfSs2y92S0g+Pg63o/piTfChdp
uRi74aFnwZrK/tIOnKVLKTWTzsVjxaf80XHkyXWTlUPKUpaZJ8qKJSAGAc7C2oPl3hXBs6tXLjP/
3lo+20yzPDmq0rYq11PnPnYP8g4MX9VG3l1w5Jt0J470sTwlj24eNQ+4qt3zx34l+yyMaU4aYbip
AelAxVlCoV3u+MgHHvUNBEppGY5rvPuFRZmTRjIObiCM5cSZTOYXHG6+VTJbEzf7/FwXztkiaEzB
lBWK7HEDn8y7rHCtKBlds+tqNu5QvCYbcNjDbVqZ7u165H9uzgUx/kue/ZDlkpBXCfVIG9Nm3Ft2
fxBtePQSYGy4C3NV8abGfsuceuNAEBWeQ9sBypXX3/15KvfnxZXaCkgP1EMHWvZzTscHmfF7JYst
OhUPUzdub3vLLI0PKu17VPKbOLfQWi142wNTQWOViB9lia4sCvk3vumyYz5MJRobELJKmyGGAN0P
+Ia+OUWVHbpUA9bRmr/uoLP99TF9vtP9ufpHgLa90jB4jZuiZBuAcWzIHgHqNiCl3vaGWeqxcYzi
BOzSGEDb8bENxPiU+ujppXRYq1FdpuX/04Q/l/owVHdZZ5iKWdD88jhABT2awNd//ucHEX9eUEk7
bQENgp9vyubArDc6kZ2l/hZkDYK/sALz+3WHllgw0qqLUXXCQRAKc+Wutgu0euuGrhRSFuJjfsu2
iRUELk15zEfQWHJ54WkDNHOirIIxjfTcKOirYeUIsDSg2YIPEmgjJLYqzlsYtucKjdiuc/2TKnl5
0yXPn2sOlNmQyskugYCz7+A/vgvoMUGn7vqKL/3+2UenrgAyDodaxS6V/MDRcz05bltBLLETz9df
8Xl29ue37pEVAGFVQRkrG168oAzb6mdRhsHLIJy6iriNdrNuAw8lQluylZcuRMmcIN6MuAwwlVQx
LNTujbReL03t6+NZevRsylju110xNDz2RBU+9sT728O2eWXzfv5wb36NQYErS5ywGGK7gHJa0iY/
wDBIV37555Hhza8w7RBILy1CaG5qUv2sUgNpETW65b3tQO9kmGrX31gtC1Zqpgt7a17+cCu/TALk
V5zKx1+VCd983/yQqrnp3OLPix9oBFBmTSPHrQlQ7z7X4kSCxgZ2plhjvH++Gv5c9cHyWnjRhrV3
EsTudmnij4d2bNds0Ray7bz2oWvVZ71TBKfqgkeqHlmtI34RDJ1eru/UpRdchvXhywpgd6AbSDjG
bsbGH32bV2nUT0zvJdcZAIJJmB+uv2lpopz/vsm4vQ27QRvhVtrdoQX1+A4iVNX2tqfPkuyItgV1
Ib4ZN33b75xkxDWLNvVKIefz/OTNb99qEm7Y9/LCxoYesyCWeyiSvIxUyIFlgmbuxvHCf2C2+/WW
0Xjzq3gD8+yUBlTF0yRe6rx8a/maZN5SgF8i8cOC24YrqyaBin0YLm38BOguPnj3bsePvcjdDS+a
lTbc51vLm1/EuXbTUYWyiUvctotBHFju7kxpHeuhfb8+T5+nD+//Lte07Xq7HoAMMdZrYtovYWB+
tMaSK9lw6fmzXTVkMieAETdA4LlQlRU7XoRgZ07H6z//85Dw5koClhnApWb4+cYZH2pZD1EFJvtK
RCxN/+wbVLQlLwLWNHGXJ/Ab46UV2bj+D456tNw1RMDCCOYXwx4ou6JzscYaRpN3nZWNh6rltx2V
vfmFUDRD3U6uq+IMZjTbdMz+qbUdbEx127kJMKb/BoM/JrhQg4cdQ991gA9h+Q/KUjna0Wvzs7CB
5jICxjSFGIsEG3R8V/57Zx6rZOUe8bl0re3NmeqlNVaV5dUDhIx5C1BVof2twmIjaxNLfw8cv/lR
O6r/KvUY7JKwL87F5JpjMNp6bxeps1OpL4FWBLXBTaGa4lbkV++j9ANui/N0fYsv6Kfghv3fKdYu
jivQ90lOvKwADq/6rn1uWOEFm1ShxeXIIjuWCW9hWDUw7x6WM2IH4Ll/9mF90pchA6V7TL9aSbXm
krqQzOck/ERMIoW2G7jldXLWqr9TWfhU280LTaCCr7xnEBKn6PrwF7LtnJBfhAM6jw7KDhd1bcr2
FpDaVJIdAVQVvZjrL1mI9HA2xYObTWHjmuSEdf7ddijTTtP0IBLxGxzqlXVc2sizqpa2dcEnacJT
yM++ZIeWWptsFCu5aunps1yFSi0hcOGyLky5cY8KaP1Igaz4kUz1WqNt4RVzkr2CLqWwtW+dPOzt
VvkgcPvpQZGW3bYKc549FPpJOgU0OTWgn2ytjt+PAolXV9VxBPBz5S0LCXdOtGfwKteZFCCesPeg
/0ublRPO0vRc9taHY4ElCrsIoRt+6uw7DRP0cXjNcIa6vkEXavJecHnrh6f7wrOI6afkRBK48Fqj
49zBmdiO4L6bIt1ktto6tJK/Ia/l7yDvzza2KcuzpdR0GCc0ycAYgmh6Etgo4wOWbUIy3XRF8OYk
9DyxCse2MfC6bTYQUty205MnbnJqtL1gdujtQjuv88vTWzC4sjQSxYmSf1Zm9RJ7/1/mgf3yf2dV
wT8+gUQ5fvpQ8KjNp2ETODIqkOh5K/dQ9G+jNsTdVl8oN0aRHVxHV1AWC4lt7hPswiqABa2dnKjs
H5M0i7QHW+6c700Bi69xZbcvvGXOEW9lSXJXqSzmjRNZsPF9Ajw/2Kee+whFchkxQ1baRgv7f267
W0CGqRCsTiE44ubHRHG1D4z8UzhgWV9froXInUtn+lnmNQCkZ7HL3uVYnElQrRwjl377LHYbO2UT
XKiTk1PTn37XVPsUJ2w/adesWZdecPn7h/CtoS5k1ZokpxEl801u5d6jtJv+JUmq7MbZuczah1cE
Q5hPrEaGkM2xh2oNEWud8aV5n4VgP6pOs64E6L1Evb1hOt9KDgLW9VVln8fgXA8gcSAf0Y/43YZA
51F2yTfieD/7Mfs11fQpNaEdGQuMFRUerr9w4WPvz4Je966oE8sKT0Gh29Ng29/8onptWdNHU7Ym
Qba04LPv8SS8zksDJwF3Z9y64qV0O9hNjCufg4UD2JzrX0CbwRMSDbeuKR4yp/mnrLpH+LO89QS+
M7nztfJvq84Ad/TfbeVbBRCrBgOhjn+vvWTrJ3zlw7Gwr+YMfzP5uSOh+HkidfUsIBoMY42VTbX0
6FlA5yxveZ3D39PJcD53oAE59axbmf2FHTsn9VvMknVmN3lMS8ZfUTQuvA0Kln6wqyXUyRjucENE
9Nh801PATi0T5sYz2Jzpn49aU6sxMNaAbIXn5/AsORvjvt0UGXN5oIqbQFkdBtZNMDgp9x6pNoEP
t5twrUG5EBZzcaA8aQeDtcljt+zKiOujMiDxaYhcXh/B0vNnsV1IxRla3tapyb1TOTVbnbJnlrOV
ruBC6vBmUY0MS+vmEtXw54lkZkcN+RFWz9Zax3Ph+XPFggBOCbhqIq7LsqijJiNJVCCdV6F8y7PQ
vi045pIFDdxZ/sfZeSxJinRL+IkwA0KyBVKRpVWLDdYSEYEKNE9/PeduuvmbSrNazVjNGJkZhDzh
/vk8gi14gmvvaOds39f07f323/oBl23IH4tQkonGS6AWjpy6CZfuKFtcpDvGB893/7FPuHzyH5/A
vVY2mcE2Az5dpu4thz1Y8V3PnCvHtI0N0xpbQCrHoouDbRm8r2enTH7FmYfR3PRHp2w+wYxzTZq+
MYevk8905QyMqBgTK0KZNPaXi7j1iAlnjZE9PpV5dmW62hgT6+SzZIawTUxSnuh0D/1zUIJDBBLO
x0bcGlEA5Z/HZyDeTsIZ3nKBBKlROS+svfa+N2byNZ1gFFXjxbOJT6UicMy7YWW1z+93pa2GWY3m
ZmAD0qwxmp2c+oDn+K03+wKBpB96/Dp8KdVFXLmNtE4zo99Yj9JIU+gEfmLMfO9/wsZoWxvroGni
3LKxgGJJhr0bhtO3qdPBkl8Dy2w0/tpWhyoCdUGliE+ybl4KgASnQVyZhLa++2ocK6dIsSxiRzwP
JiT5i6doMKncJ/rp/cbZeLvk8vc/JgoIvAQATDrBFiAd9gaT0omORuzq0YqvHBu2fsOl2f74iMGB
xV9djjxSPjs9Fn5+KPkziT+4iyHk7+crJ1syRYU8jW5349lTYMfjlWrFxjS3TnqeYHrnc4lpjhec
fkbiXRvMc/q7TnoCsZ/TPhdNmV5ppq1etF6Uc3AuhnnAHeJYjbvCKtSOTuxarsPWS1iN4innlaZd
r6PShhrPJ21h7+1ap34NkeSt7rziSpNtfNDam5Zxj0rIdJLIk7dO9yizhzb+xuzP73fX/9b4f9Qi
1pa0JTeSM2mS6PPn+5O1u7/NnuiBHs6jD6yBD7pD4AaVf46Dn+A7+JZPg/aA66eAhNhA+YPfhm3o
RCxa3qqTODQ3wLPXfh08A53o9/7P97/lvwcV1I5/98hKDkOCdjZRX0lkB7YwGrXIh6yGa3Fy/25k
sfZezrprTcdwYTGWy456b46BugtQMe/tQz/gfyblpeoBIiZAomYQ/1Z+kf+g4po8+t8dXaznYxBo
nKYfSxM5WVHedZZl9nmaqPD9r/7vDYNYT8bMyEXpcRyiKVbQOn3OHAvQZMfvxJ7G+2ShVwpTW7/i
8mr+mNU83NPCq1hAKub1AFLQoT3neWXt3/8VW09fTcspN4bAEt9EPQK67vukAKMYYK4rbbTRfdaO
ZnuodeKC5o7UOuvg4KSEO5LmtmqQdIWU62vq641RsJ6X23keUr3MdYQroGPFEPm2iFj7jpl+vN9I
/z5hivXszOEc5WTqchg2kno3Zw00BSURelciMvR7Xqc8kE0NXhEgQKROh2vHs60uthrepOQofhVJ
GVVVK31YoH94XS2CZqlSnDbTFLiAUkSpJa8dpbd6w2ryHmPE47Z5x06e7cR+UoGoXo9udUUbs/H0
9YxNi2TRekA9dSAQr3hpU8FuncoPLWtiPWEPgw1AxayKqBJZsmuQiXuPK/xrxZENhLdYi1+p7AaR
DBCuEDP9dBaKiMeSPWhSPDlZM/hjDhJAN96Cm/czt+jH6sVirXsdudEWCnxlFLOzBiact2pvCO6S
piOpPrYzFmt7MSjTXaE7lkdIBEnvpzwD187LrOoulW125e1sjFH30if+mMWSunFGmyONM81ep3jf
dBVKiMWVjffWw1cbswoxI3NMrEukZLKAsZR3YZLR8tZwde14uNV33b+/vyqrfmCtV5+dRt62CT95
gly593b/E7r9715DrOWtBOCBBbQUD545Y6Djhn7pnsRGLf5Q6P5BVAlgNvnCg8Xl1SGheiQ+7UG4
mVXShbC1pyN4hKY9FFnnfpF2Q/rbGZebSG61jWmOrs2Lp3G0pB3Mbl78TFunMsCHVc0dcRW/QXgv
QzJxYczZ4bpCehjrxsCWMgNGLBXB0nhpMAMIFkyx5z3zspsmv0ldet8WHFFTS94+2BBOnAeAmm41
a0REAGQKcoccwDFjj4WKs6Do3ekTsZm3R7kD63FGnBcUTHsf6nh7HyOwWgZ0HNOXPM3obTsZetfG
rhUSp+DP48Xviiizb16WxN9ZW+F+yHYawIZs+7Bwy/lJJ219moaafOM1y/eZpShU6sxKdzYf5JPj
GlbdlUwh3iSrp/5B1bVzZ1tVtS97EM4gG7CkDJDrPINPGEt9wxJbyCCpWN/vXKC/XrPEcgAyscCb
WkBmRNJSl4eYmdsDbB726CuuFTmbNq6jxJnJrgLw5I6luXlC3ZFGrDbmPp7d4TYmwPrEyNIOxnpm
t8MkvcfU7vgJUQTFuVMkvwVeh700tg2dg8LFYTKBBAeUmPN18JyiCMhFelCrpAhy1uhTpqt2H+dx
+aMYRnvXe7M+CsmykzPX+WGY7OYgFjc9kt7xvktqgTaTMlDgnIaMu2mm9c4aOKCBLEs/sbirPhf4
KUtgm8GbYCvvvXPbjcxHNVKUvjsxif8VEmO5ZA+Spy6ushZCgpw3GmHidcmzQydn71hWJTrfBP4T
1a11sAkZjwTvzq94HB/cdsGekg36hChiZ6dA2boxAGqda56kd0Pp5UeIMz2/ojUN7YoYJOumzfgm
wR8CL82dHhOzyP0Yc175k0uA781Yw0OpSzeEYSo9qwLAsGoQCNxGkPgOIWMcyWu23OeEJQg/bkZs
EoZlNyII293NNSIYOMMCawHdd281CbB5lkluPTtFqHiJ1IwcgLabCT7zqCYxOElZNZrAoGrhpzj8
D0BuiW7P+TDtmVDzl7aAW7FuSHuuW2FODQBYvzyl6jtjqjENXNnFKVbZsUWy0ATlVzABUST9slJl
GzZLomtQoih4h0jq9ueEL58W4rq7uLLp89Am9C6vHbXr+VycVVosY+TNrLSwSBTdrsxSG5e0Lih1
fY7qaAtPllun1TOfdXYoitIOsKlU+xHq92fHkfrgxfDd6zR5SjAIfbZIEXKlnPPiMsuf4uQ3R009
IPZgiZABIx9q2c93qKSI86AWJxCQnvhFl5fhdBEfdchEemg5sllPDunlL/DdgWWFUYnLYCglOSBw
rfM9b07CCaZVOEhi10Ek9TKByIx388OZMxNKlVt+L6BUyxSohmJIARPD0EKGj0F57sRJTcHKqavv
iPUqgmmYslNDqNklNm9CZqr0Vyy68UtuI3ExXfLqWNB6/DXBz3TLpXa/F63Vnyq7KgOuKT+mfbHc
IwJdBjNp6tAAbnab5Wl+SDzZ7pcYbFRgNRlpghSmhNsUQUr+yFrI05n09L3Ssdg7TW3j5Dsx5MnD
Bdd8dy/hyicL/yh86U3cBqttyJFaMLrqtvPmtkIc3YjKu3BER89EZKhvvr913Vga12reoZ8dmGcQ
ksrHDnTLUk4hbp0Lnxbwm3zsIy4f/cfSjswSmqdd1ZxVlex13Z1rMZ+Hmn3shLLObxMkEd4Qy/qM
CA3iDyU70GG4prLdOKCsDc2o+DJM4nF9lvZLhn41xwi6xIWqsq5pmTY2DuuYSzLr1gidNMC5Vl87
z7uFifqKHnXj3f6Pc8UrbDvP5ziCQ4LtpkF2IK9xvIay3b3/ajeaZ00AmdspRvpFGUepmQ60ib8P
DQFcTfU/ULm+Fk200UJrCAhvPJJncY+g9rF+uNgngfq80kL/Lqth9PzdNYGOwjaWFs3ZDMF8a9wg
y0NsncXHkP9inUvbFQiDWmrmRVNd/HDd31TxDxXDxTqRlg52abeg5p1LcO2qPg9Su/Qd69pBb+vF
rrfjduFKrCzolZo8qnY5Mihd4nb+RurkyrZ267WuNuUmHa0ed2dQR3WfWfYiyu/v98mt56524hWA
idAApc25bpZHMEzfnC55ev/RW62yOm8PSOtAFm1szobwnStvdFqcPH1Xjx9L6xD/HS7/mCqRp8Ld
RaFNsE0GGrkQh4lduSjbaJa148j0dcqQf92cPfd32TzjkuBDbbI2tFRYo9rEQj7wKJ5RENjbDva8
XXwAzdd//xO2vvlqkGKBtyw1OvAA49DuD1UBXmR+zR3A5aV28Y/Dlb2qaZi+GZO+gZi0iwdr7yY6
eZt0JY89GfP96MCM19butGMsrZxgYXn6mFcwAxtXqCRgIFKO+8Yrp7Ns4u7BynW757Ry7geeiC82
OKHfCC/aW5U62QsUngUSvOmFDAzGcGHgVM2mvtqxel4OkGUv4KAbcpuJFnlmxADD7S9lWaf+3A/O
r7my6ks08+8iG+fvdSERmalwZxLaE/Az4WhTmmKTLdsXm4Oc4OcNay77LNkLnHd1eVqycjx1DZSH
Adxz012aurkE59fUeG3cRuGaTMDeLgJGx4mkewkt+tPgdo3fdt3Q49mAO5WUDJaPlIQ5tCY67RLY
QlqNyB+rwgmz59Z0x/NFfF+Inm5mWP/3gjdz4AwXWaOTTCQJLZ7mO8VHdevl9fIFSF8ZZLKruV8P
RXFMByBHEWvJyFfdO4sCDt6a9jprcATxstwGiVi3d2A3xXfpnHmHfHbyJxCV+9CR0D35nsgBcMZY
TfwW6KJbwbT5OhpZBbLT4phDlxYmrHG+LzIdfjA49/cOxJmom036ZcaOM3QWwJHrfiYRjtXkh0Os
/Ox5I3mN4dIPG5NwtcNGlu512micY7sxmXeOWLL9BFROoEU9B+lc/cpwBv42jwNO7p5Nnwpu1yAt
ezSwLTf7knMvC1xjibcUfohnOrUA2mr8opAh/eS8iKE+cfzVL4GVPedFzw5KJOIZdPUeG52sPkIb
m5T+6FjSC4uGpt96GyhXrL/yc+O2KZjJNc+0bw3lcAc4annQyKnyjRnBZMmK+i6GTh3qs0qc6jnG
mWKKgdwCcteQM75m7px5wnBeHJRVVEFdibHcgWs52zsjVXnGwmkiztj0OE1Jv4Mfc9mr3DQNYL8d
YowqhFF8cR0K8oIC1A3yXQKljYvB++ZNJb+HWQPLrcP01xwByL87O85/zKhY3qMMCH0n/EA1GNzl
9OIUdk3AXogXvWdE8vsRPhIceHpTw7cat3eojrRRzy49YEEKvAvUwUNfcTuU7cQBc6/zPejjzo6Z
zBhfGJBo3Wq0kGo410d7iBtAF3IdkYKWCofPCSGg2PpFRlrunkI6tC+NsQOGU1qIrQhDbaIxRyG6
7mbAuN5xB1QIjoCcA4uXfFd4Tba3Db8cMpTZlXOHA7nq3Rsk2OAQLezxYCajj6ZRNASeuQPaWXWf
XU1TXApXpRMC3YgQMbudhsd8TvIgE0v3eDlWPGCmWiI1OzOcDzlJoMlZavRcD/x7qTtwYFWcP3Ex
wjmKBpgP0smgMUsT2Zw0wNfg2S3tbem0+oQToXxJcfbfFxizPxOKKQcnmd5vR27hubiaDoe2rl9T
KdhXjWiscKjy4bawoZxyRYEMYKtL2jGYmhivvJhAJi7kDGWsIgRKTBfSpKPl8Dmc+tnadXyYj0pA
1dxQWkSq0UtAvc56bHqpBQDmRh5UJ5Zv4DhDQA48/D4mmn42YC98TyxMGGBZ1gfl2cuzSuP4zV5E
Djlgavwy9ViNYgPVN0ghEo/u6M13GV2QGA3GS6hsjx+nQSE6ysbrbXKe3Bd2OhzhWXV2hTtDVSNK
b0emhH+XCBbyl2HpvgFFuPhxRuzEX5qGI8e3y8BTqfMdIoKqV2uBt9n0xORBWckEgl1b72tK7Fvl
lujl9ojTK7XmYldPZbzPc5K+FkgMRHoGwFdETET7s92M2BqCOqiVxNESFdvGTlkwAJBypDUKeEXn
vUgHipPKSi4Tup0dbQoFQSWo9yArPrb+wlG5QuarbvYGzNuzQ/PpwQwk93G4nu88OE5vEaoxFSGd
BN2PlBhUWnh6NMTGaxkTemNXo36JY1u/9Fpj9rNLFnLPzV6p3WmAWxJ1FtIqcY1qJ48Foqb2RWlA
+wDyvPhktYCbBAyDL7JKiroE1eYQj8X04xJsj7odbZEfYcALb6x4v1QYAm5RqgB6C34s2zQD/ssa
Dni7DcCBme0Th7iBHrCX1RmAEkitHpdT37YWRm7RqIM9Fgg4cEcBjx3mkyy/lPMB7EBABXWamyrx
hk9jzSfsoGKJ+DaLg6zKk6CaZf2pBiFm5/RtHsgE9/9QjCefi3hWN47oAViIq+GpvqCdk2khx3Hi
XQhcJ87josuCpHTbyEbJHdwad8K3ceW841TRfVx4S6BUggBNVFSdfVOYLkCyjI7GdCJBA9DgYfRc
BUs/5hbLW747LU++UtJMOxD72A7/MUZIoedFbeMZ9CvYv5jovRuFvdS9PeH2CvVMy/xMdTkegaBg
b1h/3DPcjGTxnQGzyB43HC+ONSHqIrZrNyynHDhZoVL9oLpx2lcV4NiospehiAfEezRW033D+KCf
W4n67DI6JnTpUD81Y+ue4qxY9ohiYRjCZg69mMxPuD45pmWqD9gtDeg5Db3B2KUPxezxHx3qfCFA
5/lOqKo+ouA43HuaNMc8jklQQth5mOZWnsBhnpGjxay7tLbcIFaddYeNqXMcgEQPeTu19/BQxg9Z
nlvPjXKb1y5z9Gs/dWXUefVDCoiErxBoH2JpyA42LdvLst7fIK5p2U/okkfaUhtV4XgIHRgoAkOz
9kZDkPzF5FgAALafihvtlN5tN/AeBycQoafZ6n4OLcpoWNuzB+W47H6xICx3UTt/a6qq+KZQ9PNr
DwW1uXGQC4DYkEduM+dR5Kp6ACAx/zXLrtoLqeUZtPInMM7zXZ3Q7FBJU90ks+s8A1Jk/Yxh8X8e
poIdbDWSaW8w09whdkHcd9qZfI86/bd+lu5v0Us3wg+edraJ61Oax/QJxQLv4C3z/IqkJ+vAJ5f+
HFg5fylY6+xkZ+I9rqJKv0Xs3228dPxHGXfqliHw5jVBMRYBD2k5POdDkn2rh7L7jWUewSge7t6+
5VlbPw4Zh1EFb9d94uoSvgT2zUD8ViUoHXrLBJqDVrUmO5oVCl6WIS5ROKrq9IgFu0Xdy6HlXYqz
+l1nlHdXFlZ/Myvq7ir4nV6bybHuR20D57QgEwWlwJEXYUFEH1WL7ENq61T4vOVyDPvJml6RcF6h
r1c1wj2KNkyRW/KASwuAoGpswQ6ZZaPoqd03xy5QeZiQ0yBJBc5jWhXB3GrnsRwmfVvyjhxaTbBy
5RW5iYuiQUywTO6QZIMbEugYDqKT7EG5sXpNJg0s1cTNsEvoyHaesYYQizMB3p4IrCDCk/6EQvHR
TJX3MHZIY1UgA6JcP1XzDu3n/YzTXDyjbj1drmO6HQOz5CaHuw/gSeyOz/3g2Z9l1vX+qEcn8DzX
PcmWO6dBd6mLlzfPO7dMknuV2QVCaIyccLeChHmk2ZchVJT0iY1glu5clNPvs17wO88gZYDBO7jL
OjjCq5gm91XKsjuLW9l+QfLHTysjFcSK7sR9TA703jZWiBBC8CYykT8IbDjvBhzLf7X2rIGdT2vX
p1PSATiPWjFnDRjYcY1s4gRbvUc9xcBeNZZ6bC3PpWGKXRXm+K7ekWE+ELgxD25cygOhc/OIcgV9
cXNjBVqxZZfTuj/MyCvxwRZ1Bz9lFrbtTlr/6uuJPmQ6tRHj2/MnRKZoHcwJyVhIK+8aZeDflTG+
Jkq4pUGBP3brM1R/QTt/xt2gj870/nl16+GX2/o/DvFkdOw2tUl95nENJW1Ump8IKH7/2f+uQPC1
L79FCWu2Jjy7Qz/E1B8g10MmYd9dMwj/+7DN10b8qnLtjg5ec56ZFck0vRdTH77/3bcefWmvP9ql
MbVNY2OhDuzdYdnHCeRKLWzrwZe///FgJLVSb7JUDF+whbwe9loX2ZVi0r8LhHztt8+aBlcLE5Ww
9NNo6vgnFesb3BVoOLHISxPnV37CVp9ZFa0kzQfksqTmjCJNCCVBAG5Vfi1Kc6vTrMpWqM96OBsi
bQGZLP7oQuVkfakqGSz2tZDsra+/qqHMSIWa29QFt7vE+ZGQdNcpcz/awzWjwBZb7H989xZCvMyA
ewrAsgGZPhgVIPv3lX8RQYfDWsjnK2XJjcZaW/Bj+GPF1JbNWbewxtW+wgEJZs6g0R/jFPC1Bz+z
9AhcW2LOkmGaho0JhxbfcRdfyf37I22j165N+F0rx1I2qJjFYuyDiiRRmZljXtl9aI9i8kWGYs77
H7Xx5tee/KJQRNQjdA/5AOXTcK9LpOlcC7zYevhqYBd9Z+ezjfJ8Ez+XFLfErEUMSv2xeXptVbdb
ac2OdUm+Zl1oZZ84RWIMyOzvN8zGpLT2qFepQYRc5WBDL/udhU16K65RyzdACP9fyvxjwivtGHt0
1BtPuWlRQkGxewnTSQ0jcn8G9hVJJPxt8eKxDrQ2BQB4ZYYTo55PhiBOawf0JiwMrttiTztaP6cC
l/gp9Gv+KKG2SNsxvtIGG2NpbUF3ndyelO4JDEp3Tq+CDJPDDH0Fdz90e8nXFvTGdWtc9EsniidV
3CDSCyJaJKZ/bTJr+uBvuIyxP9q6SFxaqL6CULeyYQk8lULiVRIcQT6kU+bi0nh/fEBsM7etJ4K4
IAdh6uqn9uCibHxtXWmjjY64tqLrXMgEICgaGYFSRk70MWuK7+938o0BKlYDVGRphaNI7yKo6Kmt
+mD07mcE9r3/8K0vTv5umKFtibBGvmDyGh6L0nqkqHR97NHu348ukNDlJD0qackoPy26jLQqwo89
erXYkh4wv6nu3Ajn5l1vCRTVjPPt/WdvNfdqmW0bKQdhuzgT9qM/tMZvW/Sa/EqjbIzWtfd8IF2C
Uz46Cir4nhZhjVJFNjwDq3HlAza+/tpyntIha6fecSOUCvyCo487X1p+pW021ry125x4CRQ1cU8j
bOtBrKIAOC/F8OJxGlWs/G2U9TGLLUQtf3eeBNWJmUpnibz4GzQeQXyVarj1Bi4N98dUgOhY1As9
5kZQ13Z7XBkVRw/Ho3tnwCm0yOIivzKpbb2J1bhdlll5SDRyIldKL/AsFPCIk34Wlrf/UE/lq7Gb
jSBK1G7jRrgvDSZQ7pa7qbq2/m0102r09kkt+hqBfuAuBIZDm1Z+zhvuNxX/2JS8tpwniRYSJbsZ
UuHSAx9D7cqY7bG3fTW4A/ngO1gN5qosADG6DOZEFkHnLb4FfM1yLcl8YzisLeeo5S55o7Gq2OXb
3KCgdSzzPQN/CDdIV37AxmtYW807bU3Sjj03KgaCO9IkrEy6RygdDqhXJoytH7FaeynKFY30MjeK
O+yfkhcvT+5T/TvPu6AR9Nr6uDEY2OX3/THqWlL2g0HK7am2FPbGdCCR52VgcBHRvKqycB/TIp+k
PwuV7aEFGndWnuK+rSxRzUEdHtIwpRBftyC18gYGGOdUqZRCiyjbwFyusnwMBgrp26AXaMNEg7Jk
h9ALKJcCxKDVN7ptC9BFx7q9Ka2yukNOtQpAWGRPKGODbQo3FrKJuvQNG5we9cy5hn68UWkHi6hS
oet6HfOdEQHG0Mgi/lJXZdSLFPR1XD+iHtsX9MiqtHvjbnwNxrX1alZTlYOQyAbXri4ucmAP42rf
l50/LePnCqJEM3yQZ7k20DtEdpTMTn025tigOpvD2QAZ6ZUevLHDWBvoUetzh7lZ6jMDld+Qcj9V
H+Ot87VznizTJFHCbs558iRhnlv6Hx+aWdlqf9FlmYo5LAXnVH01Cep3uCnt6KePPXw1JzXFmCa9
gJYuprbvZtmuFi+cxbsPPX1tlx8WIO/7WS9RN5ytyQutHpkE2ZWHb3DXkBn09zCeYfPJMrnIU4bE
Ux3kWU/3AMXhOhY5nAFTXX32Cg+FY4UcaCuQADPtkL5ZBG7bdkDtd96+TucmbBnSij/2g1fzV0Og
uW/y0UYW1/JVqxyekMY+WLgjvtKBN6Yuupq6XCi8SUUxBVsu37XZM5w/Yd3+ev/bb4yOtbXeYXac
VJftWoHw84aQb6ytf3/s0av9B9JkjXCz1o08CFTi9MHpr7XI1pdebTxkUnZANaFFYnua/Upg81SC
rvX+195Y8aj7dxfrB9kOChyJCGFeCM9xXpFOe8hBJvbzsb3yGVuvdDW+e2PzkkIOFPUuMqXzW7gg
/Elds8JtTNtrv2asOdS4FUXaVvNdL3RXI2PdVP6MZcbKrrzcjVZaezZzKMNTCSVRJMWzkV9V6+0W
YwKW9VckZxs/Yu3bjElxccS4SBhpVANLL6fHrLTtOMyRc4PFWfUO7nrE9P39t77xRtZGzm6pW9l1
CLkklJ9txXaIMj5y9eX9p2902HVKLWicrovgBByK6OCX7KtDrzx462tf/v7HtoZCTN4h68mJEH0s
9rhxObN2ekiNZR/e/+ZbH7AexJabTFmB5LZMDscl6xMocuR95jj795+/9ZpXQ5nlAErBxDZFyVDd
DthN+Y1DnqsWhzmSfxf8GnR163NWo7rsuPLSFGOim6d2l9b6VuQI1J5BYEs9K+L62uXNVoOthvbc
gwmsmLVESzcnu8Jm8d6zPLFjuqAffCerBTzNK1ch+To5V3qMLEE/6SH+mvGPOQH52qFZeKNTMBAM
ke1TI7BPhnCevUKIfGXuI5cm/18tJl97NHGLXNl5E2PyA/shSFpr2GfQK+7yroPDY4Q4sPIXPeXf
RDs5Z5yK69cLq2AHxVpygP8uK3xUjPqwXhQQ1emA/MsC4vrjVJWeFyqaZNBSwd12axXJDP2lleK2
orC6e4XkoE+ldNO3ZWHLryTrqz1i6sZHOIfdiDnQKeVuPYSjcCG4W4Z5/PmhTr5W0JtRQ1cakyaS
ZtZ+WnS3KpcPzOv2+Tj8FiS98jmXXdA/WnYtou9cIlKITJpoqqwvcQFpz2BO6aQfisILeD19Hqm4
8hY3ZrS1qB5iSAhvaiCAE8cNYYhKfEdfCwLeevZlzfljUnPGqcGkwEzkLf0x7yWSJZyF+++/i43x
udbUzwUtBicHbAD2PhDV26+THvfgMV67EtjwCLO1R7iWFtxRdZxFdapwG9cqN/P1lAhMOlkbWRn+
DfZLnmEhi9ufnAmAtsSS8yvr5r8XZrY2C0N8zGqkyidRw84e1T6tTxM0LT3TV978vxuQrY3CcmyR
8OPxJIJK9jCaNodcQbzSGdLB99/Qv6dqtnYJe6OikC9YeSTUyPYNEJxv3QIbIwO4vPXzmVRnuBby
a9Pdv3sbW2fjxKOVxbIZElREh3vmzsccipGP/ZLVooMj3MDyXGSRptl4nxS9HyNpeK+gE94RiD0u
i9+VdXTrrayWnUknxB0qC5g4wPVqKHI1Oy0wFr7/QzZuZtnaZdR33uimCzr1IuWuW5bXrrRkpAW/
re38tw29FCyzha/S8WuLvGgf2gvIVmPz+f3P/69z/e/MxtYzaJymMYX9CBdtFBN//UxgzTK0P1r0
J7w3vnJKmOy+yTFdAtZlEZQoB0huoKuHuxeCIpdAVMuG3cVdmmT2nojqNjf1XbqAFdgfB2/5LDL3
Q4QDtp6FNWxjrWJOFnFlfqeZF2R28/39dtgY3OtZ10lpXktHZxEYDQCaeMCltGEBxUJT8937H7Ex
+tZuJlnlApfKeNPC0nul3mrZnxp2tOMHW3xwyK3n4BZ3pkMCIm3kLDEMX+Mpq82Vr/9f2NG/espl
mP+xeFzC1lzHSDQRnF6SlyFiTA5j4Ya18yUm6mvRvUC07JcTGJQzDhK0P8PmfGVu3Ho/5O8Pn20t
ZTfnKoLYrzmaErQ9pCoX+zqZqijOyubKr9yYs/4bpn/8SEgzbclhyYmqfnwAEiYa0vLaXei/ZxK6
Vh+BlNlRuGpVJIC491NE1wQ5PhD3oV1yZYbf+ohL8/3x9ZOmNWnJoMVHqAJARWT6ngzmB4GH/v0+
DN33v7dCbJ0dJVCiVS1bSFTOTrq3+3a+72RSH0vbayHAbnPkBtvI9v1RyxYyf8z7w6mPF/vN9VDY
jDyLNMLv2o68MWGV8KDX1itxTfqsO0vAaC7dewYGQCBIHr8l5aLRVCRnN23iqpMpeXzuSzt9Y0wv
iN411f9xdmZNjupY1/5FRAghBt0Cnp3OuTKrbogaxSgECAn49d/y+W6q/abTEXXV3XlOe8ACbe29
1rOioxfNeRb3rq3eJszyvQR1abjphefWh5BA6Mi4ygf0sGiYKDYqzCRkwVt0TiiBoI64qQRbAIaB
gILMijjKNfTWXgIHjdz2Z0dH5xqxzUgTxXwq+3XDFuDnwDI+z5lnX6yROqW3EnC6HWL76i0qSgaH
jBximxlIIXuchZJ2mAHtUsx/ppOSm8GZh7Wcs2gPWgP7OSEO8KCa0XmjM0wPG+1q9VPPzNnONux+
Ircdr6jUkBRDN8AXwTAk0H6YxehQRzI2fuWkLh+yezeDeyHpZBv2SV0W+S+J2CoeB/7UF9Apwtne
Qrkcw9iB3B6hAWAUi0U5U+TxQP0sqXG9qoQgvuaXZYX7fRQj7Bd+D/uVU8OxTZf5t116KLgIHfyn
0Q52NfRKsVgFsDyFYwFrUg2AD3Ko5h9DX0BhrmyQpUgx0D+zSZg3Xk7zt6jM3WfZuNUT81u5zlwR
vk92hGkiJGWVtvMSbZStp59BcU42d3HM9OJ2tt0977q5SgQ0sCvYPqYUOcYV9LojhudL1XHkJhdO
gjjDdkrgdXdOGr53LzFYNHC610GY1q0giAKvg1ffgzUcuksgEubJfkdUZXTkNZ2/wDXVrdyZm99O
kfNVC+YApLXVmNahoa9gh4Q0Qb5pBJEnt190yIMDfhf2VIPloOJs4jOaT72/JA60UGHS5KW3d/tK
7HDt/Y0rKX/qYK35M816sTGDERKt+UD+XCbPeUB8mvOjJiN/cLjGcFR0DrTujDabIWPjEEdO47px
1Qx9KkcLGfKQw8EgVMR+1C7Rds01jmgzFMtgztYlD1OSTYiDEhG4DJvChzzOqbx5hAevMDuMGqMn
jfwj/J/9KMEcQr2w0FFu7EA0reNGMLVhbC4Stwkhbwkr0C1IULYJYPV9GXd1hhfNwmyl/ak4Vg3t
nxsehZCT1P0DPFrBgJsuqNwVd8iESPHBGd6aSo9//H4kgLmNyJkM5yY6Mof6K+p2dY3EpGVZI3Rz
3och7rpCWLMtpfu1HKS816YxW+pL+y6oAK2rZuNDaXkH85RqHgaGXYlIbBKT24EjFS3A4XB/2lcK
SGdquLcPO+YmvvGC9YTwp5NCivFOBfUUK7d2vF2tjbtyES/wo0XFBaUPTA0mlB7iapomdiuYePBJ
o68o2tp1MbPhlAugGRYJhxwbQY3SJo1wDOIja/duqx0DmgzXm0oV1YZpb9RJDmsSTz1j+Z3q6yzF
R/bfDHGfOyXOBjLQiGvuIf6j75p09JbyjiMNQCaD9cZTDz/fipRAkpsWSmOwl/ts65Y9zBy6MPCY
SSilV4iNDHZRVdEtrKvtH9I07G1A6t8WkzFYAAYz0RUSWjWMV2XYx3mp/NchCpot7FueD41bNm5o
1cE6Mo/NkXJDN6BGlCvUqwA/1GGOeV9uAfTA9AQHvS5xLVA2RZ45CEPk5ZJaUUcAETkSjUw7HqFj
Ji+zXzpbCxc9Un8tiO0hyogYj95qE5VcblgAvPRaVQOJAxIVsVVOE6teTWgmOPTL4qjwwfCcfWd9
2JRrdwZAI864Gb5OpRs8St8tH5xukJspMtmbxjziLXPmMOltqeMsGPD49Eh9XCy3B8PqagvChlhr
QdQqc4fwQYVtvmZkLt6h+c7vjM7CdAhCdVy4JHtRg0wjA0bv87CpsXvkOqVdK1INY+Kx75zwhB7H
3AO6UbmPmjCx1VDFn6ICmsFiXvodDD5w7NnwXXcm+K5x4IMO5QxCjF3l6efGCFsmGZv6NDCODFJ8
NZZWg213JSDGjwg3Yfg1vXGNLvS40jIrUifyzRdhWPPUiaZ4dIaJbxbuEZYo1yXxBEMnaK+NpCfE
P2RPqmr6n00TAqnVwdexrUN0smWXO3fGAvtCGxyZA8/aBg4hCRTzwsLgHEAjDgUL21PYtv43Rksf
Nqm6+tGIqtg7BnCX0sNMSHS+u4sQnbciAvGeQd1zrP9QtBCHA2dTgXWYYAm1axTB2a9pwdgYhphp
fByyiB8zVNrfBYgq2xpmPxzih8L9jVDa5sUg0/MUsKG7n4XjfZtrNb450TnlLGt9tYI/LmBIZxlh
UNSyFbFuPfIlBJw5xpgL9iFn4W91ZvolLUhuz5GaIUInhMc3qq6qu8yHB3myAght5P+tiOP4u9Hx
8o1PO40mhgPXly/hFYCZJfZFDZMw1AdJB0V2CjpkucLe3f0YsUemg541ZuAImo37oc03E62C2Mu6
7K5jyBV34BX5FfHFWevJKzaLhnJQh7ifTNfmX0OX5OkwVuFrjgyodDKZSoFuKk4InC9hD2bnZG37
JoJp/KG9jiQmrM0vGIM7vYavo3pAZ5+8274b7tiI55BLzOLEtWcyeOwAXhJJ5qrhW0ult51y2iBD
u3WX4zQLtJ55IxM09NqjXii/t01EcCP0HWYbnYTNaOQuTp6AbcTNuJBHFgUFTEng4FR5Vf7xgtE/
YD5vTj3YKqd6drxk0cBKw+fc5XZXqcqvUg4q83xqimHZNH7BvjuwiDxEMIqem0T+qtd9uAO+uX5h
vjDbimWz3IZMTo9o5Hhrmg/dCnVWhdIJjZ5ClDQl7uSUMEUzDrceKi8eQ/OGq+Z7sIJDWzFuWsRb
PaKBW5Gz+7JGTg3cJ4g2rqZni/5s6gGklYS9drY4quAUVi1Nkw7wrLqJcAu6pNq36t2wCsTqaghb
PABMx++lpngI+n03wtWa5xxyxoJ8Gxs+vmYwYyWG9+09sEbsPE/0HZiGirxSqyhzm02pAeuPx6aE
nLChy9isx7AKdn7UOFsFB7ozIqUbxj1Ye70ysQ5BlIKy3QYTGl4nxhS+TLWs22mN0sj/4fRT961d
CvaoVBjBIid1BYllSduHIsII2pDAfxRdwL9PHa9/T8jLTnNsgHkSzS7slCh/3kegoAXCKAr1xkPC
8Mytehcc1arxztPx0b9Hb5fDwUsK+y5LGz2PhLB95PrekxgGCr9fMNCVESZPcbcF93UURnf9LOCW
m0s42bBjuSijbEhOULFxvbJdaXA5er7mXWUeonpRv9lIAPCpXOX+1qMJTnDJtX5SD6Nz9GjAzr+L
V8F4eI73gpOIbGDCV3tv0dUbEFLyIMxSplUOBA+qpnwPZKSG4V24+lwkU/D9lPK3A7NTE4cZHhTo
vrvgUHkDWtK8hiepdSJkBTEHR1rK4P9OZI5+DTYTz9m0fUnW1uoGEJjAh0upj9irxjLp5LjPkS+0
xVbH3+Ed62BHnmBqHOE4/1Z3ATjGbuhtelNDykW7/qfIBZErHVV5OqpsSTKjlx/FAgkQSCQWMq9a
OfyFmyqcY1ZZ+bVwnCCLgeGkd33l13fan8vXWgbzCnYHCuu+V++rfqjHdClNkEAx7EIxUebTbz/r
ypNnonYF3xHYYPmG+749+dWCaFBeDRsA2uYygQGxwpAghAZpdtzHmo7TpqbMiWJYj6dVF2bjnppw
OPA51KsRjUXwzlB/FB0nh3EaMnhj5/CLBQ7poY4q8lAwZnY1twJWTFiPZNNH9+dn6N0IGNNhchQy
80JRHNvaBxKhdkVzcDUQfbE8+55mVFAVbrcxPBBmgHfI/XAFJOT4p1ANPcyNbDahUPNPBPCJfYj1
sPWEouui5vKxzpXdujyoYSKM+DocSpNQB4bvclmC7wWgc48DznkNPOOOOQqeqbPCf1zBsI0b0hna
Dm6CyActDNr5xcQexEj7SbTtAya/ze++NTheyErMMbGmW9cBWFVZXwCz5ch8+MGsUGDbK1ukrPZk
yoUYXmVZu0dHgRyYiAref8RTLdMXaCxh+G8K/lOefaApCu3qqfSJPPltk3VH5DNFW8oX9TgBibHt
tdabbmEojupoajqYhEl9IGiyolRvAdFTHUAzjBgxg2ghdCK7AmdPwMF+4ImgYWWnA6bu8JCVc5X/
dpQP3O1IKtjZC9TxYyZzZzX5ZP7dwnX5yBpZlxs7B5BVywnFRdJVfXPMMKSEo7tomiO+pBslfuDj
1oRMK8StrzVQQIgOj2Te7zRu/8RlZNiasvYTOmKyAb9eOe9nPA13nh9B8+SWGi5CRK+mDX76Ng5M
CcyFKrsqLXndvZCSFCmsc8UTAATh93CuQBLzCIkLfOCnwC/or57785Ouidi2AGweTJ+H6ymiLix9
w3n3dTToBbIY04EWaIoo/PkL1OgokUPQH51FOF8HwNN+CaSGv4SOY4B5DhnCeXhrgUGbFxQFeDh7
XjqEBaLaCq9BDGI1hs4PTUmPcneGRxRdHElW7QAj6grBowC2OV4DRzrgh8u3yg4FjQFSKFZu4HsH
XnoGpxw4H7GhFDrQsekCvXapGnfoa5JYFS4KE94Gq8nNmp3BiauAxA0m2Jj0KMkWS4KUR42464AY
+uFNHnSJyjby0MyeXnUFjvLCem6Ktrh78HCrr/MQTr2hZWwjLTTWcTDmIaBf0ZICq1x75+lw0yVV
OQz3arbDA/5x9eC14aBWEENWEP6wQH0vFo8B5RbgVoGIYO/TSqwCPeD870+1OdTzPG9l37SrnI7+
TzQKwABpB68GE7CHMbsO22NDdbYCiyJMswl9Gpi/A/QdpsCsUapEYWJdyn67BcYqtaFy7U2zfJDh
SNeLbar3BkyZo41QvJFA1F8CicO/Gkfxo50rvdJGhytj7bxXOGxOMfNZkQ6R67wvFmSADP2hNBOT
RLYz8EzABTD7m1FHwRsTGR/W8vbNzgvZG6cAgtanpTh0I2iSDFFcKKPD+S0a0K5L8nruvpZtr9+z
rJrCGCcc/04FWqYgZkrs6OjccGxfezJO0RHJmwG6SwyEGIke+ch5+wPGXtuiRQMCBZzwuvwSeBqm
VQu7KssD2N/rbkpxrm5To5BIFQMVYXB7CGfcLP44neRU4akuUHhNdpG4im27H92wfe7mqfo6uhHM
HGYZ4e0PEYzZB3o5KE/5BxlWNCnpVH4lUzhBsjf0b2wB+EBMJDjijK8eArzMN0dY923xw2CreUWP
rpOj5xO4g8cxIw699SCiYsUNGeFEJrC/nhsdB4iizyuJVShUgF8pkqnu/Q20Zfmzr6h4ZhEhyGXt
l53s5mYLAqPddBrATdwpVepNtLiH7SZDmmAw3WsJaBlXlqyBraxP3thFC2zFvN1aEFG/ebOt789F
XuoGsISDGUrcXwMop3fDsCBUZGY4Nioerag3qTTXKLSQSV7gVFdTXDhs/e5Q9hsHvq50QazruwLV
eh166KXFsiPtihZt/hzm2GKAUVYJ6Lp4nEHSvIrC0k1nRwJaAHOgf4BXyKxNkCGKEDvQureAFjYj
kNK6V/YO7mo/B66nIa+ZDlBxTQJwlx5BUxvQDc9MvAnwwgW/SohsvieCeqdNB6vzE5YGTDOdauSz
U4oBVaT1nSc62eGeV3xOwpKOr2NROZuq0vLYk2ZcK1qoTdPhvBUTzvw9sD6CxFDUTt8kyuAErmxZ
YpqEUngxmTjN2Off3cE1v1pgUp/l1Ki0wU+bTP0od3mAOz8GggCfuGJD2aQ59lJYZx2mH6ui7U+4
g5dDyLth7QZFdzfD1r9jlbBrafxsO5TW2Z3Phic7u2gRAcXq4xHTouIaB2eBJKWf24QGwbJhKhcr
AkwFemrw8GivB1fULzqb6sBlP4EItz1WWsBfbFEGKwnMTIousnzwdRncAaAEninvQ7Gmg3bQlkbF
hFuvvxN51gLx5APPkEelgkPcyx59UxWHnOParL1I4VtFVJLt7CyMphZZiCvQiOVdUCL/QwFbtlFt
qTDz8M0MHMq5YoiU+uaBz7BijA9j3GJ+egwy4+7mru5WJWq39zJw1F1nXZwGMi976uuheHHtON4h
TYlsgXPKcXn9ZcHZa0CrOJvhvfcmHsEpLtSOK0B7I3QLoXum8jhwbdNpqvofaF3rJBoAFlATaaFO
GhFNOjWyRc8EVluwUHCmV5sZgXuvXq+6jea03I9ZYLoE/ZX2K57z3X2zGLYDAW88YFraHmhRsxPp
luYeDaPsrSJaAd/JRCp6ZNC4KitT7jQGW5/2H/IIB6sqk/5bAL3rKZAubG9odyybiHnOH4qck5V1
PPxvSEer39jUii5GrVJj/ovMzGbppkft1/oLtT4YLxbLfa5tewfastgUaNOtO/zLaQYazHpmaFv7
fjidMt5/5zgMPIPuFaZ4ToUxR6b6OgKI5C6aW/fodQ5PO4hU3pw8UC/o6rCj6pmf4LZqGBCwbTmt
LZ/yNKwq6YFeOkd3rORoFQZkIRv0H+poRSaH/kR89IinJFfsHqk52n0oR2CKEwKr6VMXedlL1glz
P3VT/5KBIS12tTd3wdoD2/291Ni2E4+PC06bNut+jqArPRRQXZDEW9Dcjie0z1+IsBQBdiMlMe+z
ck9xtHXWkcq9L5DPmwnHa/IlW4BKqwD2KiavegZirBmAmkVnji0OOK9j4Q4bZ6LZShGUOWnDesiW
Ftrlq45NJMnHJgJcArwWUIYa9TWyZnhGwOyEDPeukt/LSQzQMQSB9xgF1RmMEmYn2ztA/eBh+HvK
2+qbX6sJZbIcXie5DOEKD+Txa4Fx6RZ2AgPAWrDcGl5dG5BeqK+0osb0voQ8YVbPjYvQMY6tDPMY
EucS3BvcxDem3hzjsA9GmZc0v9EdCMCbjrNrcj7clcucozyHmoc7xYhYZ1s/tk4ld6BvV8fAb/j2
8+lZeOUbXtL+ZuP3GJ2JZl8CLJWOS+UlnldN6QJsb1qJsV4DiVEDSj0Z6H4IbYt1D5JA7E6UbkbZ
jWvKwnpD/UohSNXkZTwXbN4IHA1fRul2p9mVw9cWsQbJVPTOhg7Vn5FyiuIs944tzNSHTmow7JYh
S7DloLcgEbP91PESvTkxlvWvOgQo26+KDAjysliwKIZ2WiGxFX34yuvQoETh596hfzVLNOZdjXjM
oXD+OFUj/lSoeR5EOURrp8t6tg9LYdGwMd2CjQctJNCz81XQYKIEvk27QpESHQ3IxXeAa/2mrWee
fGMj3Gd19mjUUIG1RtsvfYcKnOdZ8E5Lt3lt2wnTJobDjcNNs/FGtC2AfFpOsH1NBzo4dpO3PRwn
ZJYiYRF8vAi0ZQmrzFec/7K4i6gfRzP9N7OQT86/9l9D1zFHvqwocoz3WOvsTOTmadFir5wIMSvK
ASTD4EXekKP8N2f9aO1ejHhnZ8hcbIHArXkDZQlOD8OvfhpYAtp1tQps98tq9HrjhfrsAHQBihGD
JszzGJL++fN1fE2JRc7j57++cQnIJp6VtN4DybJ2GASSpO3h2+m3GHXhUBeqL3y0q7qsgGUMXj5/
1yuj+UtS8RDVjcj8qdyDiNS/kQWjmqr12I3rer58H13WC4GB9V1MRBjJ90AdlYfFaH8dEW7vGSbI
GKCV2U0Z28fvxPjFxVsCEP0UmkB7LbEPwZF/FjTwiAbpFDHz1FZYPw52g2TBpp5af/KBv/R/4qfs
EZsn3GjbWpK9lVU5PuS5YehFhf96jS90VflQOhK6rXaPoNJ3dKCbt9ks9h9/wAsl1dwJf/aLAOeU
JUcynO2CJ0Kb8YYk7NryuNg9wqhrI0+fE5mdOoYoPAFg/ob45D+Jzv9dHOwSeNO7IW+J0e0+cnTw
HoEF/URwE/w4a1wBx3eCL54HhiENCndrx7aMQ4M5E5Jk0S0oAeyS4BI9tNQpNsFUIjzQydUNos3H
OwrjZ5XGX3fiiFqS5uHY7hUGAUneF2+FLnnsV9kz2PYkEcbcAvN8fIEZP//9r7fSvlmE7BpcYA7Y
WocSnv78/M6+plq5uPeMgc2vt+hiDlGF8C9X2u9L5MoXWMvZDZ3dtQ9/sbAjjMDmYDLBDjvQgwSN
RlTLDQr2tZe+WNa0rHnQKCyOCT7Ccn6y5O3zy3Ltt71Y0fAgYuhbD3I/LMb+pEHOdl1Xs8dyQaoi
RDHjuEckX/9Phgd2iYhx/SnMYCoSexAWgTw9MfzHwm9gYa7IHNklF0ZjC0fN3CsknTkVIKacHmyV
m2g9SxKAq4oRzw6tPjEjtiES5RblRXYoMI2hOw+ToRHkhfKWdfhjBRNGgP+7kDEHaAbJkZVI0NlP
QjSo9aS/1M24MWGwa6N8PeGhf2PhXfkRo/Pf/7prwqAAqz8o5V6Qbjs67hNY+14S1ssvH9hLB/Px
Gw+pK9tKdP77X280zIoiZRKBfTOc16QVGwTUx437g+Y31vm1N7jYtxwl7Vj3GVidTQkhBFJqsjeg
naMNchv5wTUyt6vPF/6V50F08aRB/lbYYewv9lQ+iP5IzQDc5S19/ccv7noXd1W51CgEy84ccmDu
IEAxeY6u/Mvnn/zjZ4F76fDgYx6B0AaDZjEg3FOequbGC3988d1La4dHMPrIu7Y+ACC5oH2khXgY
+oz8aRc3fyzAp9782ze4WK+FgUgRgzPETJAHJE6kTe7dWKDXrs3FAp0l8BXoz2qEQWwxyMXMlP/T
PQa45P8ufex6M7O81gdRPTMFFZ56FqD5iKpcocd1402urJtL8bxvgtKf0EY5aCR9OJDpVJB6GGgs
Pr/uHz+UXEr/9ztof4G4gnj6kI8c5csdZhFOyZII0valKOMWY5HP3+jjB5J7mYZlXcw6IG7Wh1FH
6ZLtOgEyMWbOCyI0S/bw+Ztc+zYXN5lWgmYRdYYDiYS7a9RcbK0RfE0c0+4BVtBv6LBGEMbxfPVP
73ipYy/ROtAw5uiD7ctj70Yvo1cchU9sUokaaVwunltBm37+ZleW8qUQvYUng6OrBR92d0bCBWiO
3njIXvl1LnXo4F7NmFjh9vMlGe/QuukTBEaZ5NyDTUxOqnWEjtm3z7/GlV/pv3L3ry0Dem6QzMJO
H8IA2PUlK+u4z0xxFmzViSuRV8TRXX13J0i1Pn/HK4+xS316FTpNxkpXHyDEkSdaz82DUMMCBa2g
6Dfo6t9Ww+WR3On6LnSm3ByCKO0wOFshC2tZFfeQdX7+Ra6sgMvgH7frrUJGlD5gbceji5ll+evz
V76yAi7P1rMMGtsbrK3INrsSqqSi6LYFenqbUrnArmbjjTe68kC7PE8LFpUOEKP6wMJq7WvIRZaU
+pvPv8UVnoBLLoosDCPwcyLc7SAwb0sA5YX+wG3GI1QNalcucJn4Gj93FZ3zKCYePIDI0a5h563T
bnDtqjWRfg299hae6UrfxL1MCgqR3S5ZxodDBq9gjMS8zQh8NFQhczyR8qtyuhfoO9eY/a84gYjD
0qW/sfNdu9KXJwRKZ8BYcFNb1BrEe1DTayRvuNKuLcSLJy3ivieYPrDSh/ZHVHz3ihvH6Y8/M7k8
8lILDRrzMgwIIJMK2teahDiy32qZffypyeWxdchyKIBALca0voTibtpCUZ3eWHkfP2PIpc2CBmoe
aBiNh6X1J2g/oD0I3LI9eN05FMA3ar0Ualjxls7fz/JIbA6USYx8RLmbWWkTWjTQ8AC2sYIkhYKR
LOSPzz/btY92sRBczEekmHsDlAasVSHZ+jDIuDVUG+4/LQfCL5bDQAlZ+snBTV3ve8hzb/lv/qtD
/m8LhFweD5meXV5qvPCYDCvQpJ/EwbzAOZHW63xt4iC163YHF9kLO0aHfiOTWyHH/9kFP3rn8+71
1y4FQXmdTRNHZXT07qMNeMprtbZ3EGM6p+JOHYZ1sxMP9lge5Ioe8n224i/tjfbK/6/cP3r382P6
r3evomCpc9iYDyLviAeKdHEOhhlfJ/S2XWC/UGnkQSQfKHIcBqjbkWUTI5tOQoA/uF8d4UBUHxg6
niIj2REmmYKsHBSSMoGIBr6QEgT8k3Fos7c1wLvgWzciBhseUddAx/HYIBYlGUip4qlZvMepxhgO
MO0ldcgIoYpvCID1LcHDlbk7gnAEuCGp+dIqTv9wNxNnVUL3jiFXm/oRmpqBRexfCHMSHBrCnJxW
QJshQChH3zp8IVqYZDwn6zUYdx9q3YDkDWXHGllo0wrjgBY+mHF6bcE0Bz7z3HwcG4TAjBSqoJkF
GKbMKliHfTXfKUQNrSLWi599WyCV0liFr6ZshdK/U/KkoI1/brzSgbTS95zvGagmR9oZNxZ+I9JZ
R3SAf3fMf4WccPQ7OhiFWjGeqqAMIUJAxiT0cz/8JnTfvJyKuMvy5SGs3Gi1yMXGiwcF8OQaJCZm
9WyTzHGbvWZQ5yNFQR8dtmQKcpza2UTEDE8zmTFHq5i+h7EMMlt/kfkGIaLeO4q8LM4IxZrGlOPQ
d3mVhpDOAmI+y7deghnftoU+RawOkPiFZE88k/kO1mT4TriErm8Yc7KaIRny4MEp0OOowwaKvsAb
01nSBsE9vcC/pqHLXpky846wOrvPSsHBBPV1zvfe0L0JZE84eC4J5FFCRh3t4dxx7PrzJ9O1B/L5
ifXXMs+hY0KIj0LUWvkK0cYKSe43KqVrG8n573+9MsX+H/pOx/fBArIga4dVWyHeaAi2//bJz9/o
r9cfNAHTHRkah7mw8q5u/HfMW4sbKLv/6u4Pbv9LgnVZiWGmGseKLPBY2iKe6PtSnPVLXVftwcGf
1iKTUFDC/YD4BomQ1Iwghh156UnbMOdhKlWflhIbERkmhM/6mt5PoplvfPlrG8rFqRHapA6Ss9Ic
LLUZatFyI8soSnUEQlqelTd+wiuL47K1xByIfJc+w8kd7qaoOGXN6+e/3ZW1cYk/9mHejHrbevsO
vv24Rkcdov86LkCT+/wNrpSh5LKV1HoF5hlD7+0Zl/UB2QbLNsB5Jl3Oac1SjgeI/kDChr9sC99k
Glno7IjbIEoCGlhv9pqNI/6tDERz8X9X6qxFnblzi7152RXyS62KWAQ3zo1XFsIlL7lBETj3AO0d
JnXvgSfNo2lna3eTjdGNReCfS4gPboXoonjJnXCC4gerwOL+erHAhR1V1rg7lSlnG3EE6saZDtlP
2M+WV+weDQ6OLpKj/Bo+lFnA2zn3w2OLJlCKZ2SRNjOyqpu26ra1C5UMlNnFliNBBha1Dp5ehVQk
louzjD1atvOAmGPIMuljR2Ybo3Qf106oSAr4oHjjvjPvoSXqNhVk1ncRz8pTTQNvWyiaJ2FUypXy
IG9VvmNTBGXwQ+maKA373D1RSMEgZMtqKLzw34xT0i0aYD2whcqslmFiCZ95deMA/PGRm1ziivsI
FaUzooxCsJJc1SoN73Dqhm7w5kHnys16CSzWUQlP0lmJC3HIqZqCvYJq48bddO3TXzxruxyx2T3H
Kush1QDwenR9uSsCIZ9BDisQ6QMhqFwLwdz3xuN73XfQbOnirRnR0QfM90dBKhdVkjMs+8KPeli4
inAD36WXIHvuls+af7xQ/YuSzS7UGs0mffDAekwRdtesigkku54ytq0mOr6RlkM/GuavVNe3rNHX
nmUXlTdkhNCUtDUg/kv2fWqLF4SMviJT/MbR4drPev6yf21zNTy2rUaK9aEQj2H0lpUvn/+m1173
/FP//boVRXWLWfJhGOQaWJ+VL27FhFx5Jv2ngvnrpcN5xkQCEbeHAJHMakTkfdfCuGg2QadvrMgr
Fz28eKTmzRDo0bH6IOcTXDox7JUwxZL1v12bi90VM18ukBWOMw/csqW31d2vz1/42pW5eJTOWQ79
GsE96upxD1XuTw39fkRFiifNjYnbx20kEl4sx7HL9TQK7ATFEHN555xd3c093EJJj+HNP32NS+R1
VsBvbWuvOOgleA7m4rdi067KxpNX/mN1dwm9VsgQy+3glQe8zwxn+XIOTjL+jeVz5Xe4pF5PLtT6
Ti+7fcEZkGKDRpZQZNlri8y+L0vodjfKyCvL9JJ5XZ5tmbMzYudvllUktvAUQ158Y5Ve+xLnN/3r
Ngssk/+Psy9tjhvHsv0rE/WdPQRAguREV0c8kpkpJbVakm3VF4ZsyQRXcAO4/Po56en3RmaZyReK
rogOSzZBYrm4uDiLBlkNkymu2MnuDard05ccPph0RLA9P9RrX3AKH+8aARIEwY1jxsL/pK9cn9eg
E3r35x++EoOWctfSzXp4z5l9BL5sDF2l1gMZrWQbOfLaqy9WMQVsXNRu20cen8NuOgyzHSprI8Fc
6/zFSqYGx2W8ixJ6Pe2dGWi9cBA7cJM/1jGLRYw4kSQ4fmNoTy5fHMIO6mPjuRS4TpAvwikLhfgu
+2KKN5Cj/V5vdPhK6FkqW0+qoyOMzhD3gW9FrgeLT3W6mB5RBQU7XqYX4PNP4fku+v0AsGUh3nDi
3OGAGx/T5htXgO4DGAwEeZjQLdHP388ftizIz7hZyuMZaMYymyEdgul5k9ugcVQQg9goEP++x8DO
XqyuzgReCDDxI8ibUercuPySQl5UgIEHbv/5jlprY7FVxgk3BogmMijaKAmx6TwfQqcq8k8Thzut
1JDY1qhDbWw/a522WHT93EobAhEyamvgvbC7eZpfG0O38TFro75YdgWFVV1uwjHJbSn4d4WXXM2g
Me0wVtNhknLrNnytncUCzDlBoOsZPapm9qBCED9OLhQ6hJFemZAZ+8jI0GWpnZecQn2iY0dw0Cfg
u8VlBvUts3cOami+OFCcOd/O78eELovuvFCTVjP02ZNavQE3FpR59gJI+MvHHn+aeO+2iMmoLUCW
pAmeUeq7YvKn+jolr+cf/vstgi6N1SrR5Ko1xyoyR33Mpbgwkngjgqx1y+nn7967Gbxc2ia63xQ9
CrYo3zj5/Bx3A/lgA6dveteAqwVKwxC1iJjGvUL9CbQVP3M+dE9DlwUqeK5JABPYGJHkhsISHFau
+8LYKvv/PmgAKf7rq6P8KbJpljKC+qG6oFNtfoJjsrwieWeFLPWKvStT5N3nB/n3q416i1WdoUqK
45ntHmdveO0ovaJZjnK7zZ6dGFp0H2tksaQZVdBQcsY2gmrYHiwbVJZBFtbe+N3unY1rg5XZurws
geBx03caVGcY/NyQXD9WKdko9KzM1iWQrnA725aOgv6lAOxgQu28BCrYfjjfOSvIbrqEq+HEBgUo
os3IEOlTw2l+tCx1SFzzFdKKQVsQiJepXQxtp6moducbXRn2ZXnRS/MsaVvwyDL720Ap2FgO+HEF
NH6ezjewIl1Hl3VGWvR5YU0I48ZcxZAgg5zXkMvmkTceLmYy3T5Us0GOsElnh8bj5iO4LhSWK9T8
bBpVcadGs9rQMHSxcv5eRaPLgiS8tdtuLlkT9WIMbKuF3+ngD+0Asul8TeI35W1EnbVeXez3TgHk
cSUHcmR6ruB3wXec9U/xNHyJHeg6ne/ZtUYW8QG1fRsqF1DJ7hXEKHzT4N5tNoDz6aDaDeaegTr0
+ZbW5v0iNoimoG461iZOOXSAbK0OJ5Y8U7vfSOTXnr8IC2D1drQxCQFd2UQhy53i16qC7XUCNvP3
85+wEhWWfm49gDyTUhU7trJ5hZAiIHbep/OP/n3JC7fbv8Zpo4WDiqjLGJ4+0NiyAN+ZoW2XjuoW
J6p7It1I5/qN6fzufHsr+8KytMNLNskunuZI6C8Ozg5UjYHr3nYMN2rOl4+1cZpz77ZNuyqgpkeg
9Ds4UxgrO8igv0T5j3TwfHg878+3sjLuy3Lp4Ni4tklHcsxQlcdNf+Eju/vixbO7kd2t3JxT5zQd
3n3HyOxmLAe7jcg4QmsQ+hRpkHW0ehK4r6yDCWh0H6pgCmpCrMn9Pq/ErRKE3Y2mrnPfkS08s+3G
PkqwqyMPxMsHj3O7hV9MXv3lOCq/hYxFkQV8gi195Xgp6lUnHbHzHbQya5dFnoFWRmnr3jxmJMOl
ex+yvN1Y02uPXsxaSI0Tm5uaHr2Jq9s0x21BJ7J0I9KuPX2Rj6KoQMD2TOtoFJ512StnuHFpE2+s
gJXIt6w8WmVdt52Jo7mEHbo7lZBUcxKwjckjI029MXdWPsFZhNdYe+XQ9TCUcQvV30zC4ie5tq0d
Ym3qL0JqPqE85J7ckEERvEzc+LGCIVEyq6fzE2fl7pQuS5DtmKUG1aMJaWEAFJqiBC/OpnJPKucH
aZN0b+Q12eetkoC3FuwSJE/rwhpj4+CNzWtupXGYeDmIpqVu722vZo8SmkAbEXNlH1666Zi5zCEd
345HWQMlCDEayO41j+Vo3UOlKURBHOqKA7LP832x0tXLAqAnDUd1ziQjaGFcgbD+OpT1hXTqjUPA
ymTkp2bfhRjIo2jouVATwsjmVQLLMu8zxHEvqEk++P6nCfquAZLIBrb2EH11IfP1wmUPUgr8nI9s
KKwtgPXaRywSFp2qAnSqoYtK4wr6kvcmuYKszAFmdRuraWXT4ovVlHRpkdKCjxBFmC4Uf3AgNpKa
bsBEGTpaH84P9dpnLFaV6uYqh7cHPaYKBAyzJkd8FbQbCn102mljb1ybT4tsxU7BJB/isYvmTt91
DEJOEJ6oynx//htW4s6yOkhdNbjprKaj1jbS8Bzgwi0Z6ZVBWBYHoccphEeALaJJHkLN+zvvXOm3
hn4roYAQKMvdCD9r++7yGnAyOCQL0gTqBn/1X6GWdtyPl+pAohjp4zf+aD3w2+TOvIJO9sVDcS2e
0m/nO29lbP5miDcrA7ggtGuUj40HSR23Dd304vzD10ZmsdJT6oy5IzvAalX2DBX/Z7JJIFp79GKN
K89JqoShxNLC9mnm6SeogW75Sq31yWJtQyrEzIiYANbLVLkThPyA4tseC1DtzvfLyqqzF2s7a02o
exjlcLT7At7vMZs/mXk+hdU0sy/JBKntj7WzWN1aTw68ANomIk0eeZD1At7tCDW6PdSzNooHa321
WNsmRPeoOWUYh7YLrLL83LL6McvoFhVybV9eWr15owfNKFUhq7D0V8Dx4XTzwx6yfRrPN005hgZt
AyRkx6ETTcAFCK5QbXEgY9ubNWS5B79NcZkIDaDzXboy76xTpHi3t8A1oAS8c6zB3hmOLWeHeB43
ZsVKVy4N3kgBmXHpIcPRPLmt7PLOTAxcvLGX82++9vjTz9+/uQVIXqdmFVU9MGAOYU+QdJOwodma
CivB0losSdhZWHSMS6z26ZbrKxRVLzwW74kQPkBZ4ce+YrE2kxaqW4Us62iq1CsAqlHD5tupL/RG
7rA2voulCfnRGIpeBvLwrNkzcHHsbMshcK1cZS2Wo0TVfG7mVkVtxr8jLkalZzwljLVBDw3kpp/u
WdI/thXZy7LdonSuDftigdoJVN3r0iwjd5Y72I5fTR1kk62tZG6lv/5mAJclZRnjQBfVlQ31HkcF
hgfxmQ8N9tL8TY+MzcPUK0jJfqkmwI2d71RvLOSVIsTS6S3J87TvODa+vB5wAwed3vQbtnoz4N5M
vndWL27NgQ9PrIH4tSHouNHuCrmYstOm8G4dagKzMzG3ddTk0Otub4HF5e6A6jG8k0yyhxTRTVoX
R4miQS8hkf/BWh5brH9oZfZFNdQN7DhB94QHQd0Ec6F3pYBE1uwn2bBRnFqJA2wRB1LHZYWAHETU
gZn8lDjgZWrbYN+rsrOPc5YYYGs1WzZiK9ObLeLBHKMOxpRTR/MQWVUa8KSHX8C8MVhrT19Eg4ai
qjadnt6PXzJLBgmqbd5min8a8d9UV9kiHihQu2mVYGvD9my/GLB7v7DTkv/waJrBu6AUGwOy9hWL
EFBQeEWMJeLOQD24W4PMpNKdXcQb57mVELCkEYMy3jsF5Duj2eguASvb54xu3B+sPXpRc2FJy9GT
rIw8lJl0JZ81XJTOx5aV9U8XG3meEoB1CsRFlQ58P8xuaIIaiaMKuUpm477RjnEYZ8+GgJ77wcRy
acplQ9Y7H1JUSE7S/b45qx8dtHF8pRnd2L5WptSSXByXU1+B3AGkMPRp60buC+e6H90jAOEbLaxM
piWzmGWCw8KEDFENdTEPKFrvAsJwGw9fqXP8ZNW8i432LN0yZ10ZGdVfYwdxclsFlgUR2PbJAdvP
pRsrYm1eLda1KuDu2hYe2rFJMLXFpcvZRiHv57T/zapeUpaNlI1mX+H04FmqDxUxs8ATDDKqHhEQ
TYainR9n3XjtNA67gPlfvIdrl/Wl8doe/rID96EqP/lZl0C1gJT0RwF/OJBCObi7kM96iNOEPXtw
CbmfqqK/UmYLYY2mBJuIOdBfTHMF6Wqk+IMes6Dx8uIJRdju7vyiWRufRSTppO1kKEapKM6LyReJ
2Dd2BxOA4dnpeGTnxIH4G/lYwrokSeuZpeU4zWWEzDJoY3tXwkYp22JFr+xSS1a02yCel7FQkXmy
+G2jBhc1o+WGSQEuEN1IYFbm2c9Dzbv5PCmDKygtK8g7P/diX6dbMJ+1t18kEQ5ERrLBrlVk9AEz
32xPAYpxot9cyK2dde3dTwHg3bsnnhXD7yUdosyDoknjmp8Bld+dn0drr39q892zIZVC6hFeOFGr
2OQPYwZhfBBj/G6AiHVsWdeQQH78WFPLBCEteIGbUhUBBIB6NOyHMElzcCZ7E7GlHT440ouIMlS8
9sq8rqI+b58Np9zbZv+xTXDpYRUrCEIbUG6Pprb/0nfxPiPyY/nNz5PKu3HAbQ4kbz3MT7ua6x0K
geaBMzJU0HaX8UZAXNkwlvKFGnhqJzaw0ZpQtxSGd3Cr9i4pycc6fqlSWFNnEikDbrubGMxEaKj4
1p3AygpY8vLh1dp4XpkMkdtKFYheV09gjmQbadPKVr3EAtZ2Q1XW5UNktxD+k3KnvMlPC+Wnesvk
dO0DFksYQuGmbZcC2xyMdpz+JAGSm1vJzNrDTz9/N3dA7ENsE6AY9tMD86TvyS2459qTF0tWgdHc
NyLFLuOot7iybJBUHTFuMS7WJuRiqcKjjHSd6YJxYcvmehin/BGIpzjSNc83Cp9rTSwy+071joa7
Foh4ffLF1Hk4YKn5qocD6/mottZFi43Ys+M8mwiO3TgeX4m4f3Slfv3Io8kS4Ad1/iE2YCAcDRy+
YHkZtFvR5vcvTZaQvjzp4YACi5UIpF+I0oy+5B+KMWTJogeHHN5FHWiV0B6MUtxcma335CRsd75L
fj+c8GP4daqnLXOqoQDkm/XYYM34qTgBfyDhvjGav98OyVJkkVhVx6UGMRL6vLuCv+WjeZjhDWRA
S6cAL/hjX3EalncLlkvAljhksSJDq5vesC5gPfSct8mH5jxZYvtMmHbRqbE02GowCkrpRd4fHbkF
014bgsWiVemYzwJeSlFcS3DKCQzbVQ6fikJtqTystbBYs1KDUwQrniQiVfoiMh5VZvZtquXD+d7/
fbgnS62Dtp9ip5f4gC5OwWwp4C7BjWtmudCd7R/Pt7GywJZIviSPy8IZa4gPMBjUVQc68o1EYWWG
LoF8KUSIU0rxZNzCP/Rwl2lc/alL5kOMzVxX47yxm//+VE6WiD6HWTUUPYmONGU/xJReQrUaljgs
vW075wBHG+SIHodhlSu2UKMr474E9I21DZuAGNiIGhtPAMEBuK/1PfEHAaOR8+OyogoBVZZfl14O
o/ocRpQd1GsGCUnETh+TvgTozOvb+BNLISSv1P0I3bQ8hGA/9Pxq45QlNT30/c3ac0gQmynEGmJu
m3C4oLApMxqVcqCmiup2grnTt8Q0FTxa2WwYvtuTbFc6om2hyWV/MH4vcQEwmJ3h6zRCEIQOj6T0
bosp+XS+h1YGYYkJAFrOcxsofkfCoHdW7F42vXMPvF54/vG/P7cSvgh9s5N5XTGbuF01+8+C4dYg
jm/KFhaRzD6doKzslWoU+8+3tvIxS9RkN8FHcsohvkaYnnxXkieJiysYLW0dn9bW+SJBmk0ywZ8W
DcBIy6lA9Xj+2IsvgiyA2alRNraOZnqVZq8qu+qm1/OPXgl/Sz42gZ4zHHTaNoIPhKx90uVG7Xcm
0FqAx0GABJQtc2Ow13pnkRslzGT25Ewa91Cu34w3M5T2z3/EypOXmEgXtfukIXhyXf1lw6l4a+tc
e+5p2r7fmRtDmEON2T/Teid0es3gKHb+lVf6fYl9NLxTpcZNYXYzjwLFuvxzW9UHOwU0Lm36jai9
MuGXPHEBl9ZaZ3l8bMFHoMS8hZHUniZb9eu17llETyjsllBQT0Cr5Cq9cIZJXjW4yNx4+Z/m9X8v
2JEl5DFlXsV1q7BcS+VcGGIWPhwFrQCGXcg0JrgYpHOsDN9wDQHJ+5yEiuoyKHju+ANksX0l5+F5
wKV02EAp33djhutIw6wm1C9jM7QUk7eeVZQbidZadyxWv0jrxvJm6DKZnZSfs9zLrvs+a79+bMIs
YkAl0jZv0qQ/eoVdBxB6SS6NYe5D4Vgwt8ihRfWxdhbpFpkyKAoJbCawMAIV2gGoJfU+T3DUCA1c
sH+wlWUsaIqxQE6qI6e+7503SM4GaXNJrY1zx8pQ/A1uWoEm2xiYOl39lmbfvPJjOFayZBKDXzp4
CQS7I9eOkAQEM9uSB19Zq39jEc9447meERDc8ikzSQdRp+RTFtufz4/rWpcsZudcGXBpxHEpssxb
OJHD52XrzLv25ouZKebZzpqux81DB8+wzM+q1G9L42ObNl/MR6R9MHc2Jbx2XXfXjqnPTBqirPSx
XlnMQ6hVJa1h4t1hYOEPxvWotwALKwF+iX7zJDGMCVJXkZHARMKYgnlodir7NJZb++lKvy9BcL0k
SJG7boh4B+EtcUVOOO9pI+VYmS5L3FsDBhv8mjoEM3h4iunW7L+c7/GVE8sS2Aan0JNFDk4SjaGP
nZABaWFqVz3AFzecm3hj1qy9/qnP3u3cXovSA+MoPDiZ8wAD7oC25f35D/h5Dfybfck+tfnu2fAH
GOps0igiwdLI8uHOZPqqSq1whFVgOCmCe/Wqd8KBn3yEoRepDqYFY4Y8abJQ0JpceAlAJtSzob+m
PeiF4SwVGW3dPeB+vvXVT4OjCVyF1K3cG9ueZO43ksKCA/rN+7gQLiIlGW6ck/0XhR3ZzoHBeliU
HjKJlHw7/51rE3ixNMwMqBgBp68IzkklXEzFvu/dR1vAyZfheP+xgVoiqB1pNcUpqB4lvAZUit7c
QgKv8LXIEqHm5MzwZrAlj/D8Eq85pOWSIH/rnmGiWNzkz0wGcelv4TVXJtwSf4ZKuuwLicZgWwjB
9Id43uBArwzDEn2W0Q5ATQlZatg7uanwW7v0Y5hTlKMOzw/0ytneWqwVV2ZGpigrIqdLXjsNMKtK
PgF9nAVpB13AJL/sGuNawk3nfHtrXbVYP20xwI81xdq0pmeruSTjVshdCYjWYouTE2vVYCNm1W7t
7RjttF+zbrwsa7ZVMVgbDfrr2m+Gom0s4eZRWcxHbZdz1Ddj98MGteIaFf16Y0jWumix6cVazKbL
4anWQ3Fo1N5lZnWfzvf+yhfYi06qvN5mbgY5GjinMr/wuoeu7h77GbT3sb4838bK6y9xtG3hmlPn
xh2u8bM7u4tfwODYWA72yiDbi66ZOmyrmjc6gtPgFLRWbu0AFDAC2xm05YPcUsS+gNFO0MO0dtfD
7n4/pZnb+xwemwBVwYgP7qTqCVbw1ZWTwfcWXnKwbRaQ1GwhL35fgmr1ZNrUDhMNryz0SrNX0+TC
5lsBHCZpsk+9tH1KCtUdGacdnHNbNxPQayTVD0tV9GFuWr0Hb8LRsGuFCWUVT3Kn1QgDKmwegY1D
Hi2/mI4RlwddcCcE4NO8gZFje1mbSuytiuX3pEvMH2WS9F8gdqlvKZ5x6GowmGF74V4gb4nhXcfs
W1ia4/pCzMAsb8TklaqMtYj8NcFlGlQ9UMaweX9IxNg/jY2YQsvCyRTANwh8Dz1sdqnXwYz3/JRZ
mZZLvKIyEk5jD0ftsR1g7SEJ7oVh2jCPL4nSH5uWf4MtdjpvtURKNpHsW0rEd5heb+02K2nNEraI
3Xnisp6LCM6pKigN+VjNeSQq53FQ/TWDSeJGR62srSVM0RTwUHQ6XNFbYwJfJx1J1/xYzrdEIvY1
1PlUSnEEGZqwJ89m/O384K7sMEvk4YlBPM8UenXwwnPfCtalezjQgy8P/967Ghr7QZtNhp+5HG7m
LKH7882uhIolBlFbKeUQe4LAfk13gNfuE7gBJsOWmtFagsHor5uBBiGApxBsw22ilklQg7Kx60ru
Xo8WfET7GO7wtUnSfeKq6mZmsXNbcRLDFD0t7ydo2dxAMiJ+Ov+tKxqVZAnRyooWgHzbwX07PG53
uoT1M2BK9cmuc7iYKouHBqLxrgZqclcXrNgNqUEubBjZQ39YtX8l0il35RDnn86/0EoQWd7/F21P
5qGDfk+bqw6SaqhScE4vWG4i5RddHii3+aJl93q+OfJzVH+Tli9Rm2UDDUbQ/U43Ua2IjJjZV7PL
VOG7TTN/NeFTetkID7J9tU6fRurwF7dwwA5kE1j74VBaaSDnEmQ9VjBnx9K+jsxYNZc9LeNb5eVm
aJrM2RdD0bzALUtfw2bTgZqxZQ8+Ny1xC0e9bG9Qr/wGgxKWwQlRp1e5bUg/6efsNusn48pqBNkb
EMG8M5V07qbKc76NQFIfQACdOtziGG5og+H9DM2H9q6vU3vXNXL4HPM0fRLOkL6SsRTXVavdIOka
85BOc9L4BSmyK5Ab5werruDfp5r6ife4J04wK95cSZ3KFy3JP+GaYwyGch4BLU4m4B0ddtvPKfMz
1Mp8AonzG1slHKafSVOGtUIprapgwIfqcxooWd80MFX+nFYD2cE83HnWFvzKC0v2ewmefqh6zQ8a
HjOh05D+65zaNqxkXRLYjWkHk3bkMTPLKsApsA+6FDIFpJiwf0Jd4HoQjvHmxDY9CM7j0IBQ2NVg
2rFfDuj7smrsCyGgtwrMvHMw+sT4Zna2CDzbTkKaWUWP/F7Qzy48gfdDmdVPDsiM/mSbcObhAP5g
4tOLxCRJ0OeALwKGJ55UPhdwOyynO1QELWCDSHWXMwanDHhQHphkMmxhk7eDjRCq4uC7CJ8ZsR0U
MLSLKub9aGs9HODe3YSc1+1VJb3h4GgH/M9WFl/nRCWvRUkbv8wG4A2FyrcApSvbwM8w8O4QOjDQ
E5raQ5lOmOkVtRt2bccfs1IjPwPeu4cTmNXSVuHo51F5i1MtlNSqdM8q94M3MT8x+O8acMyha3Q5
ekevui2KWyHf3GkjQVxJJJaoLLPiTPYTDCmyGWLlUCiXUA0f3Soctgg7a12/SI+aiVsgnCOyzZMC
MijNvEusKHsjbq5sWn+DZaWYWzDhglykbYauZfsJuLFktIOfcfI/v4//lbzJu/8JiN2//ok/f5f1
1KaJ6Bd//NejLPHfP0//5v/9nV//xb8Ob/LmpXzrln/pl3+D5/673fClf/nlD7sKstbTvXprp09v
nSr6n8/HG57+5v/vL//j7edTHqf67c8/vkuF+yg8LUll9ce/f3X5+ucfGJ7/fP/0f//q9Pp//vF/
iuStTV8Wf//tpev//IOQf3iew5hHLZfbDj1Bzoe3028M9x8cdrYwRDQ9ym3CTlXZSra9+PMP5vwD
QtDe6X+Aa7n05E3SSXX6FXH/4XGXWB4ulIlrclxr/t8X+2Vg/neg/qNS5Z1Mq7778w/7573k/+5o
DnWgxOAR27Mh+2C59lKWGUMbt9iYjnIwGpiMtWYHJKY2RzuHzP040WFMQ7eOSQt3YxZXTXZIvDkf
g+T0uQYWrzcYPbuh3mQ+l9OQsF75Ja9VB8Jyx5LyqwQCyIMrs5VOZuObGX7WvmQCGOl7x0HIxMWL
gjA6/csevUZXzwIYbbBTYHI9DqM/C1tYT05aDA4AIKkaH1gHmhy2VGXrcJyRpO7c2XOw57jVSbIG
3sh+Rgot9pM054cp73IWMu9kA55jywuIlQOIBFdWmJJrqcVrwtyiOcgsM8WllQmjvoJPvMkDbVEp
/bnLbCMk42zgEsqt4sxvPKL7a0C7DBwMLauC0P2z1Y/1iK1AtDO/cKji2WdLgqTS7QrtDOTBqCe4
0HW5xZLrRpXDY+HVXndhGX3u3TWQCzF3ooezvY9R5+Z+6BWvLkq3NoM81X2+h5gc3qUQxFY+rbC7
+k1fFmWoJLMtaFBP9cVYn3wd4EALKZ1atg05kMlyk7B2WKUPFkxueWCMvcFLGJKPXOl93+IURPyu
wcpSuxLk/GQ+Nkaq49rP+toyj4WdjkDJGzYOZZS033IYv0LhEUeEEsX4UihIU/U0ncWJNceTCYwq
g5C2OybUQs4YWIlVjQ+Q5HKSu7LF7/ZxYlhA+Hv5WMHyeQbqJoTrRFPewHUC9cy+bumwLw1vYr6l
8hyW2sgfTeOijHHb6Fe6RGpSQtKyQj3ddeuLElbxJVxNzSbf53x0ZpimZDpHcanx4KIwdc0AvQje
3TS22xkHGENY+UHjOeMFTpm2ew9EwzztigJF4zDGmbwJOg3z5WBoSrAEPDpVTxyZ+H1iSzjw5F7v
BjDToE98Nkf4r+dOfTcbhYtNOJFwbIjb9noSzHV9ZH8MBvCdNWW+smuuwplyy/MJgL2feyiuWZcm
0vQfjoD14mEiDuygYV1ooUKW0Rx2gtk4ytAUXcEvuDuhb0VcelB3lNy45YaE9+WQDSmB2XXmVUe7
LsRXSPkPdNfjjs3cOYy7CiUMiSKEXQ1AEIPE2n3PZxumILM2ZI7pWhp3qPP3VZBQsLX9AtzKbj9m
BqGocNT8L+KVyK8bnkBZy+NDBS9gg005hHTiRoMlaWPMIEyhTN8tBReBzBJsKqdkC6raFuEvHdr8
qsfS+JFD7YT7LCNJGpoOLQaQUAeoACUwq2v9tnONZN8kVfbJk6VSYe6mEn7g4yieURVziA/1dlQ3
zDFNkx2rlfdijI7TQKIcrht71EiI5ctYtgfbrGJwHrUqPtuwcSAB5JFBEcNqRVLFu+Ylc5HMF6BZ
wJenRsOYuMPOFLMF1b50bsxdXlkEae80W7zZg0SVqcOsvDE+Ge707ouAU6t3hD44dCZ8aUqC/7Ow
1obd0BawklZaZuZtXA9dce9Ott1r+OjEFWA/nu5LuWtRzoshagiuRhwkcW9AEjRliRCvI473LhYW
+KKB6MCthNoyR5nZvnVFmo9WaBetyS6Q99H8S4dKfXXhGbSxfAN+Eu3DaEytvROxjtMIEmgy/0vk
mQuofQ10WPOQC+YUYauz4hRyLQ2f3EusT0RvxAt3ntzdiIwMnuAdmabhWKKRQkKAHpk0BOo7xO8d
YLmGc6w9Htef40xz6wDMkfBuUpgTlKGmAC4hZxG1nL5CTohVECopPO2T3ssH5Ruxa9WXI9IP54uT
0h4JM0JvGe+UC8xj4mfacZPXEnq1INwN82TAO77UBvdPREy2F8AwVLvUtXInyOqszUOGcxX3zaGR
9WVfVe5Ln6X0WQ/UMB4gC4FziEeUdW/FXA1301iSFzEbOSwFhzqH4KseNdmxnFDxlZTE7PbTECsa
wKeimH0B8xoRCmUPxY1bG9NwUJwp69FzVevuLMmBRxusIXngVJHHAuCcESUGFCaDUY2i8NGCA8K1
Cyibn1OWgDjTO/EVfIIG6LhAByAJLVJDvaCpoQXvm5VdN1iQsjbC1mry+9qiAs7x7Tw8aWmLdu+N
VpNe5lkhPH8eNBYYzrhpvKNKjF1o0Vw7OdALjlOGxI4bdhkX0rNOhss4k/p9XJPnuC0q9yLThm0c
kgarJyjSomkP3ZSYhT/2eVz4hari2be5Nc8+3HBiuVex4VFfVIWLXhGy+CSg22aHtpW2e9MaxuQw
gGyYBE3VJslFJaymuXRySR5t+P1YIWlwV3ZNOktZPtG1yw6MFfOP0lUN9+24JX9hHkMB3AXWMAmr
Erbjt0qTYfZTONBkR29o6usBJ7knoxhlvoe+k5PfTNo17V3suJ7ofTMVpNsJYaGvTTOFwP1ctu4+
aRoJOGSatRMiYAEUAOxukCA9VDm1cWOTwVIGRZMeHtS8tASGxdT6IeNZ3yP8W+SHcrMClzhGMbDQ
hHPQtKtUPVp+1ibOXZFpUATr0rPzfTMm+hGYkYSFoKNWDzpr+V+iIaiiNjaHil6fTWOOMmqFMQJW
k8S7xOLg/yG74WKXIwf8VFctoMUFLUvEN7cdv81wvnP3FLWGezKijnVUdeXKHUFWxXeaQg0uQl41
trdeOWMjB3dUE+sIOY8xfYFDfNflO8jbxm7sZxkM+55GqN5lh5zI+PssDVsGJqyUH3viTSRKYOFU
3fS6btR3OTrDDysmGFItIPsaFEVuiLBQ3Na+QpW29k0kMl6QQfHrAlfodn3oyrbnYZ2xqg0EaB7F
fWxNuXEBFeLU2btaIvObK85BbU5YqfddMYyOD2JOA1s/o+nCOC1piDXc5gEbqhF3numUOn4pixo2
puWgmkC6PHkhpTZlWOVt214kLTSLLnvPyp9rOk/9LSlqp/4EIl3fPhjC6P6buStZbhzHtl+EDhIE
CWLLSYMlS7Y85obhzLQBAuA88+vfUb/edEe8Re/eriqiypmWSODeM3Y716u7H2H7rU1ZRXOUgs/j
6hwNsmNsdjfi8hjSlzlIsQ8ggGOFYFAfi1Cv4gvCS1Ei9Wx16+umPUPTgpDO/wB63tsrDR093nyN
6bkoornsJrOSlJQNRgG1UyEyhZdxF9T4NXq8u8QbC/eeToHsMN/EqCn3+lPeKf2D9i1nhQ8bVQ87
CugYsXhTRzcIPevhsemczYtaKy2Un5rzPHJDVJREg6jxnwAr2oaj8jrqYULXhd2DImZn3LBqizH5
gKsgW6DeN2vME6arfMBd7Y1ulMs8dA7AGrwgavt1beIJ/XKfoQnDLl78muaxcQIQ/ovA9Bz3YxN+
NbnyYLKuBxiikbVENIarEoEbuODmM6KJustY9Vgm89ydvjC1rEtWKIViu21l7S+OJfKFt5txYqBe
8snYmS5JHeTVht7TcuuTDhjRJ07EdogmoZwy1RylVflEcBMjbqSxmVco/lFAkT/iYGKQVoIgIH40
eo7+8RY2NbtmKvsSQV2se1sWzwwx2mCgf1O2NDQLZVf8AN/GwTC2Hm6lQIRhuHd93shkQ0n9byS9
zSgPGvO1jTtZrbca1S8VDuvR+8st5ViA5HzPFwEYU8S2lm0fORxcI4AwpFPESgXbXpYT2niCik12
ZxziFrhDTPex1nCVxw6tkUSIOP8KMUKqZV9DsTjfKE6FdKwu+IhSK6sxpjKI9cfI1gFMQQKLhor+
+/38XKDUrK9/hv/cvv9tYb8039Vt6L6/h/NX85//5f/DPf0ejvh/L+rx9v1H/fuifv8f/rWph/8I
fazpwsVyLRx6JxL+d1N36T9QU4jhHEgrxzJ/T///16Luu/+Am8oPOQ9C32fBXSP/r0Wdhf/w7xs6
Z5CeBoz53n+zqFP+H95ijr8RHknm4wfhz/HxY/+dEVilCQl2+Souujq81ZW+9PCq75Gv/KoruPDb
VWBq1fB6dQUoym7kX63xcHKsHSrgnBYiOM8cLBE66cLfDsOhAHWHBEZvGtafpqb2IjKwM0opq0ef
iQde6io2C2i4oOKPiO90Ir+vD1u/xGzymkj2y4Pt+n2DvTTaRKp9+NpFfe5kfSYVtFqqPgu//BWU
zp96zvds6H56Is78nmTd8GeFXI8RGfL2TYnvekHC8duwIQ4hP8r5WOni5IavpvUee40jsmU2vqsr
83UnGqTFev4f0fzG3y6e5NkJ8KLm7paWRXkdxAJbv0lDXURF+2an6rCCnQ3HzMvlQw/vMmfQzG+3
zZ4pKoEw9yDblvzRxnndgu0wi+3xXiO2tOWeiJe5VKjf9C+6+9wqP27QFdWsuM5KvPfqiH6w8wrZ
aFDsePCbKUh03mTZ7PBZzgB0RXFeAI4Mx9bZ4iGs6qj3v1G5+DIAHMC2nCcu6V86+RVij3exD9hb
XqvYUr132yVbXZpUQX6d1Zb6iiZh55wVa/abI1lUCuaf617vAMf80d2yQwhhGU2Ln6zLfAIMelG4
K5ZV7aei+G26bDFfdWO8yDhlvFqsQKRIKNpDZQNbOYRDE4H45sIGDQnoXA7QATn6CbB3olATaDzE
9F47+qZFgYV2jZv5aoej1ve1fMrWEf4FzKbqgOz+04SpOjZExhjwnqUtkDx0RSpoqriX2A4eh2C6
daGBw9hfd71X+VGj8W9kLT+XGjYHHqxPEpGwHkoHsEmHEULZMmfYRLw4LGtm57n38eluxnx4YDhi
inGGbe6P63wzrBcJrafzqt+cvtzJycY9NEbd9N54gXsYUDOjfZM42sxRu9LXPofTUAS4xBE3v3Ls
fQeBMx1bMZT2rY4Rkn0J1rMXjD+aL4+9sEnV+Uk41Kguu6tjP0sU6E3jnPRh+VDc+ajqYVW3rp2T
liIMwP9aR/vaSbGXOseAXSa+g0g83TRRHZ76YYxDz02DvoAO6q9yt4y59n2gI1z/1YHiapiQU0G8
7nHQJapl/KeeN7Hb2INlZD978xlA1x8Idz/V6uI5QJPmvicNZIxbJMruwOq3oe4eJhR41dVR1nib
QwqrDYasBZqu0mHXNZj2ocmf4ET7URIYUzusRcxmZA3L5Q5c+I9I5R++OO3+iK4+qn9+GwMSxbCp
FRMgcMLKKFDtMVz1pyL5u0AKY0R876cXzrdLnSkqwkmkoJIikRep2vQDam/TsZMJwoSuYlOps4RP
y0jarPSROYtRocrcebmhxPQTM/aWyNbwC0FENqaa8KBq7DYrYhIT1B3IDCvXZeGiTtype4VHMu4W
nAqO3TtzDZLpE0bnwkfvorkii2MPIwhQDe9WDH/cfN2iodySAKPI0qjfbtg+Kr5G2Mpg/x23IjKW
1zGGP5w/OdsudvSXZxyic+Ly9eRWeKc7FQaYjbA2cvqA5sz2VityKpjDDjjT2a5dX8fKxBuj07WV
/CN3yzaaanYz4IwxehcpgxoS4F0HgDTvb0jRBYa60qeyry56CeQhtPOYBbLZ9nkHKhX6zyDbFN5J
Ps46RQroL0N7sPUihYf7goEbynVzClED/+KXzntn16vR+kFz/9Gt7uENDxBFbAnYyu9BkedtzllU
iOC7y6HMWgAboIZGq71YKUtnG+pjxxC7VvrLdRp98ukNAqhHAK1SvPp0jCAZwNzWIT0raIMEtVoc
6V/5KYf96bFo2yXCVNRHDbMnUGHtPh/WOcQpWg2PQ8uKc1HmNDICBVMFRlLHI9OBhgA8ncZ7xXiG
kvHcCQ7hIIIbRvARoATGOp8453zN848Bk2eGfbx464Zmznyw3094MHTaD7I48bJYHiQTUNwg5HUf
2L6Oq7Bp0atNMFriZE1AumAhW7SJW3c7805kCOzClwa6lIxqJz0S4zz74zsAMdz7NjmiJO6GONo2
BZEVphKIx8HdsKnQ+m8zyBvUuXt0wdbZSp/7O46VswE8Yoe+5g5H1bXjBV6XSQTVY+exIfNgM/8N
l/wQbQiBdw8rh3QEowimW59Wj3xG7zlCElqkVyPafg1eUM8LJEVzHIzriJld/nj3C0/SX6BMHcTT
00TMXnk0zbDsLArmWdEA84ECFnuoOQy8YuBxt/LuZ/0cFuVkSoeYTIV6x7IRrY53ktg5D2zlt8Ks
1Zlxbf4MDvzMDZn1MTcbVE0lioNbvTTJ6iK8hLUixCeDRkcAMijYLQsMAgH9XWqNmkTp4oENWpuR
ur/6GHBTrOR5zBoypH5TDhlIYPw0D1AiAnPKS1XRL3TLLju/QW9ur9S+bMOXGSFDvhPOsVf7LWJQ
MBrwN1AcYgfC2YPQA55EUq+/qW5GnA5LASk9GsGdPlz3JtjYfnSxSZL2vC47Z8OctP3IoXATrAVO
bIPufauqv0jiezLglFMVljgCqD3Dt/DqFf2hl+tZle7TRnjmedV+8McXaH8Tl+Eqybc/Cze/6hYD
Gml20KklRWF3EMTtgMQiIiXL2WlZgsSt71OSfyx6fycMFubCgLFA62OZxwg0BHgRFlHdjTubw8q0
tufaN0exlMjQHmM7X9re31cVeaybZocVLiUTdAU5RrWeuSkxeDWwRz3is8focCNMi2NjK/5Z5xAv
blg9JaJp8PwrZ3IvlhC0ZZez3qKSO31syg5Q7+aw/MAdN9wZiQy0rpqWZFA14ouGGQBHCjOBUwJG
EzZlW9+0ESRI/l5yXsWkqAsd+50rjm3j8QfMx8Fvg3axWDl5jTJ19H0rOTg76JnUU+ByXImK1jbr
p5IkZMsRRiGtyGgJngANjn7q9RTVmxsupAoY8AOAc/IM0FHvRtRk7UcFQ/DU1frXCtz0ucbKg1Ki
DeNRDwPPDfhmfZce5DzCxu6xuGqX6QIuzBzaxnf22i7te8eWDYn0XgDb5VRM8Uqqat84zfqit9U9
d8IfERA9+D+lC0l5PczDk3DIlz9XuExtq9GrPHAUOcsag0zZOuRRI18tG4FrvTjjjFUbvzpE9A5/
AsfHEz1J/2BdDtJGtG1ak6mLkWkGIMtTXhLM4GNndy6PXUFxa/DWWzOcH5639xpvvwCvPk6i+KA9
ij8zd3D8dxeqH+AGrkp6PuorvLKAt0QJsQ7OaK4i3YT5azCN4gCD8IYvFXnWkPhhPlmrOXbLnjxU
Zl6jTQvv3dNljm7M3h49b56ruCw3zIjNyr82iC8ATLjyfjj1427m5XheKqI/OmHDw+L6i8S9WQqM
lraZ/m4WadnLRFhM1PALcj8HB6JHEk5GdqZ1+FwIf+cvqHqSIAW6IMzaDlEeDjm2cqpikE/lDp8k
iTxJzhA8PQIWe2NmQbDC/EiXmuFRmpblAQN7n4A63GIIvTZYxPNfHpsz6wZO5JnqVCCnWSjcgGto
D5DGvIRz+QoQMgPLhUtpwfFUv+BeRYd1mDrVNEBsv9h7zeQnGV03CkBcLQWkTa1Tb+ms+ysdLQDP
sYq57xcRqE9oXHR+RmneuXHVQfRfeAbr2Jq5SUUg32oDfhJKH2idKSY/pz/UtVJHHRoBdHgCzkS0
jKGzf99mhwKapvjweRcbGv4WSwDcDdL4CP2FxVGvrHmh4BbB22/sZbPFGPsBF1EwY+lj2qVZrd0O
YFz3utlNPBsDXLGSaAtA7uyx5CIZCy4zgA71pe0gMmgMHvwQPnKgGegbXxpylJxltBHPq/urLvzY
a4bYn7pd7qBgfFhSXvY4Q1g8MxTWyuFEwc8EGgOloFCQkmWHeI04dP0f5DemIOKygYRHgxZjp9Pn
1n1v3Lb9Cxr179j7OgoxaidIZesyW+DRd32HzHjLCqRhBvgAsAzM5gG5aaB7oYQDeWTGZMQ8inuD
lAg2lcfQpY+S9OOxcsZro2YX2LEf7iwEsWhqVruGdInfszzpdaC2CNFYC4jZEr5y2/Eqw23Bz2by
zQ4e6wJxfJ737nQ4InqIhWzkmj7IGIrJHu1QBehgtO1FecWUuq5FR3Auw4d+pHgp0PtRwgFpdVY7
lu1D31NHUtjqdSFEpCx01dVStCAMYGLePXRd7QKn63bA5guCqoRFvLeh3K5AfaZXHaz2hiQ0undQ
bZCNaDUu4tAK/x2FIrDNTS2qDioibuigUHFbW0ajPnQD7DUzZO9OUb7Pd9BN2qr8Wrgdfk+YN44D
op+PTgC8HCiYO7yKiY+X0VRI2FWh/RVIs9gYRRxgjCEDA24uSvEo5mD4GHya30yn5bM7FriYpj7H
vEsB3L4gzsn7tQUMpfMhMtiraEGJATj3ZtmPMIjGFDjrC9zqAOEqs6CaDh0pm1tgF+N4UCGfgqOB
tiSpi46cKybXA1za7WNukMUPiWGDox/h+7AKD1sbnHAJbA8bY1jfQr+r3geDe9P11zWeUBF/E8IH
ESp41yWeWvv3UaDQPGPbQt8AISyHTmqWInCuTqFYPGwDKQ6LvPv/4cqnz9DIwZhYYchNaLUafDQT
LuqwFzHc6urNasbSNqjkVdBJ/YxsEiDQJTMmyuttxKPFVb7b/HaKaU7dbBuheY046P8HIyTuCGHC
Y79MebTUVYpATC/Vc3VSeGoLscCtoGOv3+BCc/vELIAl2BC8lARiPcT4RjMkxnEO0Zoe2c0pFfYY
kyc2x0bjLgRSS1iKI6/a3L/oIwDX2uUJAKDirkYrv9cRmaOT1YciL6e0wqaejr4byZyEqRHmo86p
3VGuslmwVHs4w7kpnrQPfZYKZ4xh5rOqFx87Ov3oyvIRUUYV3nVHvoSssxG0dApOK4SGlZzOcVPd
zYYz1kv1swEtYdyPptF5H1V+ECP0oahHieChmCAs2I6hk+fJYL3jUqFepJjvZlw7n2pqs8lwpG9i
C/MatPUgDhZ75FPIDYBRsGD7IIfMb52egu1VI5BwtYAdgCiBJEzqUb04xQCUwKvrBBPrweH13u8g
eRhnV2Lrc5szbb4HetlqTF7+MgPrLbFlNzx2TYDcqgVyUjID0uBtEwUhGNyHAlIH2lq8Q8UAK7v8
1m6V6ZJ/N0thX6uSnPtl7lLe9hizypztXdpj6qbYr4xuLtisDvgo/xIvpBHK+kgq+yEzcvlCw94V
hxzO/GGD6qH5u05V6jQfOdnWOABuovNpjqsam8HQ3pc08E84EIy/A1+Kv7474rgk5G2QPXTCLRZT
NOuO3YasO3QEZq1Suz4PRNqFckk2U6LduwRe6IPzczqZsfDk2Uxq/dkG7kWa5g9RYk6KEXeoJGaN
LehbCCVrtsMtBKmChRS0A1WfKQU0pV0bLy3rst23eIUg0aj7J7m5oDf7EEcLYind/sXUC+w/IaZM
U791sk0EiAXGxBSD+Sl2rmPOk9mLkd/GgSwRNdvZ7RzoBICta3GWuePFYzmYfatbKKLzHvpVrwHu
gq6v3DqnUeTBI87sOZUVUjeKaYvcrkb6qaCImmMitr46OQCE0kAy/SU3jYcwaOv3rV5+3Hnws+2+
iDqd1akM6aMZ2FFIkQDU+LJF4ZyYDE5QgFZA0FwXhEcgzsvsLRfQb8gpqZuEqvWhbsBoFyPFreT/
OAE0E5aLc4DnIOL8JsAMvXnzxlNmAeWCfZ/xMUANsYA0jKAICaPBLv6JAHq6QVY2xbKdVTz0w2Nn
tl2Abu2ywojvTfRtxe6dovXx0aMSn1dVbg6gmTtjg4rzEioYWARfTe3ZnajG4AEeCAzwlTr0W52F
OZ5SWLGvri39lxI4YxF6JJPltsXMKr6r65ZntF71TlfcIpWoDp+Q/PUHHrormj+P+Ju84U48k17i
lQ+/hK0AcK0UR6HG3ZjL4uAXDMEAkD4vDYS80Cpf21wAZ/SRIBqaYkdzO4IqGdoUSqUHgQmorZb1
Fy4rF7N+kUKFFp4Q+AMYlTo6mZ0VsTOF21wwGpzdoX8I7u/FhODLJJz1kxEQJ/S5/HYnZdIp2P4E
Pux4gSvD22I3vPamfgKOhkOyW8ZM2q5+CkxrMHvUUHJDyBFmvdnosfEb/7SisfNSE1rse3QwZyAO
gc2sVR23zItxcV0tVBBx0QRv3mh28xrCdsOb5oqLZ1e1jti7W+hfBoQuRBXOYO7rCypyb6Hf4rzy
/k7N9s9bCd8I+KYEj6iJLUabpNLtq48Khb1kOFHXARw7lgoNdnRs37zgV8GARcvF8S5qPMgcCg36
NCmbWucLoZPOLawhGYe3vD26Hfye2MTYbaWrgVRjQ8tfDsHqFi7jRVceSd3aHLp8c86+GtcUTqZP
iAowKBbdWwtcDEA7Dt6xquYINSoShq4mbtpV4TddmpN2FpMgZ3SORqpgR2nypHIuE/WXo4Y+KULj
VxTyKaUTAWLapk5Qs9QovBA68CAcI6vFoAJ0Fjp4I/KD45LzjJabCZxFEy4xLV4xBNN46ui+7YhO
oaVJEaN93IC/vsPC1p9VrxAlUnI/horNjUw/7TqcuUa7DRIlwzam2P69ct8NAEmaAIzFh2kHZCG3
tf9QwfsI4nlk+4oJBQQBY1c99P0Z16UfhdOKe1A3P4q0CYQHLaQnUHubZtMQBY1I07aK+EfHgJvI
fe5k/VD+oZI/mLY6AbLzDmY0Hx2kFQ/TGHRHlNkewO03e2jUeTTm22Qi0JoJWAtQuWPvfoeOHXYz
HU/2/rGTEm+J17fHqbBDCkkOOH8Pn2WHwPJcg9XJIR+q/PkELptGRc6PIGq6rAzZlIASlsfS7f+M
lvcvOg++VeUnk2THEVDyrCqSTaPCjSTFHI8autOoGlD8tZiy/92G/pdpWhEbMXkvTYiy7qa6jmVQ
JI0nvzH90FMjBhTrBP7D4pMHOekydiSgYLHORVp5KN6Gtil1LKT1LkzMaiTzQTZeFdMNC2Vdemej
lyu2hksg5TtBglFfsnLnb1Lv4A6D9qiooq7FLIBGJoSkz0d2r5aG/aHCGg/sDMjnGC3aw1GFhNhS
H02PyjVPn9V45OWem5fKnCEmvGBtTULKs3zlAe7+wGYcNrMKbG3FCY/arqZJiW0YGGIWNt2ZOYic
Zu4T3DYWpgZIKLqNYLgRF49D8bPNy5IJ+43WY7/Egw/5F4nhrjBxXfR7zxmuy6Bv/gBplT/OF7dr
j91crzGj6+NoQBy1zl+4LXDSF4W/a4tBIuV4ri98lHNkgqGMNx8kOorkE8t/OZ3zg1F7zwkU5isZ
M7KGN9jnTlirLkOOKgRWeKewh6qwQDtCSqU/X1YiH7oVG13Dt/dB+pDmNTUu7seS2CchhwjQYVxs
ULB5674aGIh80e8CyOVn0YsEHz80sggD7dv1CSKbS4M7b3ZeW44Xs1KxLuddaXoYSSzq6Lv+hq81
wqBUxvmEIanPxXW9k46NwMns4o0rO3Nh9YbCN5pwfJtSAiCrNtwaPFd/qZJnt8IWjLJfAMK2Pkhf
vHNcm9EAFpJ3kKnLa3AH6V3yPvpFkKJ45AKJ3ZaEHl7+EbqBS+HilZq9Ok/MyP0DMJYP0dZP9YTf
BcUdh2oEKyV37Yb4IbWQXemLTzhzohHP9OwZsJ7j30nhfm6dpPMz1LMgAjSTgcoEp+c2R8dIqzKL
rbG5qyTdT0vdJS6D37PKf0ncbUEzpxvSmKn7snbnoCJntoxHUMNxCPHqOPFLUeQPdR62uIq1xghY
wGriuGkH7O0WwIG9g144TFTbAo4LoO+10C4LcLwvbb/4t4avOiaeRHVbPWsFEhENDxEALIQeErwd
VWiwquUlbEHY71a4hhIPT7HG/gHEmvUJbQcSuRs5QLoh960bfosKR6ML+jaq6GYTW0NzracV4ukW
+gWDqFbK1mhqdBhX9yWoGSt7aEudiGm8mAIxaa6zCsyBtsfuQ57M2B2JlU8dzKpVyC6KWHPsoGEj
xhkihlhMSkN1FIzM2RLKd9Ooy9qZgwvxRNLYhaeA83gkASyhe9BO+HyWhxKY4quu2x8HSrNo5dg7
9YY/gMziBoPrkhT1ANCrsmxHkCL3QOiwh1snqaftuaQ0CrGpPE09009qUGDSBMHv1BQYpqggp0b1
WWmGy9ZC3waZLim23bD+GfL24vjPVZ3vx3KK/dJij+vACds6oz3dsbV6hsAnooPAPve3R8Yzxvr9
EEJxAv1acSi0zqpx2jkizArAb62EyZcFGRy1mDK6qGocmCtP2p1iDhd21SSKvQSmv3g4zqVqHwtK
kgWOWzTZIDVrI+xTeFWfjhCQx2gNoW9kQO+nF0jsMvOc5zzekG4OfSrNiuBFyTU23Ruza5b75lEx
mcnuoBFrtJx8yIyY/AP99eO4+nGLaYCsPagbqLHtD23uty1kk0akvik+AuT6e8MfxTLHaz6s7r7y
lVwhuITMwIODWcWbAiJkyrQbTtZQSMq+KmXjBuumxjHcDpkO+nTQuOoAytjgsywtjosJqhgtYsyA
R+7j2+eOTeABy18QXj+CxweSZ5jL42C0zmELsWpHeRM4z9pyeetk316rEgBhs7XToe+QLgxVB42p
1xW/HZGzXTXiiYauFikMXQ83Gbj6e8oFoAXwkOhTezBhzu5qAvyqq1rPDewKx9yr5t0w+U1alxV7
qwqK5W3pcdRrCnxRwA2eLqq5MF25n1ANFbHfrAOAXCt/esblwTE4ojVz6vcR/uYV86pa0k6HzfNi
8wC1G/pipRtGptAl3jUWrseF6xI/vr8ajAMvC4Z6tLnaxHN7EHv+RyvyPS/rm+7IK1pSMWgL+5mv
8FjWDlgwi0O0puNT77AQl9UbmPN6V6+sjvK5grUNa0JVkDgIAxkBq86PKFyHYjq3f6gOriDv3ujE
DlSpnxmitKFvVDR0FjAhNvkxeB7C8Chy4LzN4l+gNJTgJr2LU+Bt6YWQaQMmrMk/cMoXCeLhgRF7
SYn9ZfJBC/Ic5o3Wwdsyqz0K449wU8zw4g1P67zcydLyCp/3fhPeo7Ts0vr8F6H+szeTo/aG02a7
nfYhDKf9bPBVbmQvjb5CEsUxF8rb4uhj6Q0fDLdrtHaoNBqY8veNJRDKoq5YMHVrF+9aOioJCVDq
2vPieQH/OIK2gX01z2sHKOH42zc/nTuS2MFwH2NLhZYEkK9nlh6lH/xnUMCzcmhQI+lZyBiaJBT4
h3XBcGonHzph9ci88SkcBpAwW77zFvMLhk5IQ2XzPebqt+fUGK+D4tgttNp5Fdkj4nCASH7ZV8Td
eazN+CaPIgANlPs1mG35oHPxhsHw0XOJxoRQXBdHYN5cH2EWitYc2chFWZ60h+u09pBcNCBNOuD3
M9ktkyBXST6va1T1QEjqFr+oyc1Hs/FdqKajy5Y7wYgqmEokTt3YXeNjZcmHX2tTXtA7gLs/VDdH
BSRuEV4QTPnz6G2xY+mviq0HNowXlEllElhFrpofFCc5maTiBRLKCNY7gL087Rx6z0Brkfsdenu+
Vms2lIuXbpqKWDGG69qyxwWT4lB6V+j2DoEuuxjL5JerSmQaBeSXO64MMKP7o91VxJUOj2DB4XwJ
xyvSEC65WB6hO76QOU+CfvigpL9UU5cRvj5z8VuMWWGdR9CHUOwNJvUDDwpfGCjs7McDdh/jTHur
i28f9KhbR62Ld9KZZEwhWCfu2YKwZpBzhyU9QK4dL659XsdbyA8rYm7Dqnxayhs1JBmG4K4H8CVo
M7+LsaRibcvNQYoFfn1uUjVTP1rgY7qHV0GZ39u0dfOLhgUNvB9Qqw319XGNzRaIMoZbZ+iXrGn5
TnPRxajFfgiEVbGjLXQ5ZfCXbOUJMpDbvdCFbC4Uj+gSgSa3eBp6DwSNXjO1ADefcKdBqzl82GY9
Ws7+ym44wgv2DKot4To8A+NA4SPeYm8Fz4n9EtnMHfpuJnhgvXZNeFXv1sbfjaIPwQ11KB0dRrqr
XAqAnUwNHjkwkhjDLBKEptOICnamxyhk3mvblL9zXj6sYvoebfuXkBzmm1wmAWQFMR27P0Oon4jP
gEWN3XMIh5GagkPRwO5M5UkgVMktLbT0Ggzfj0OGKWX8uzfhK7L4HuFQuCNeJX3sbHsahuGi5g3m
3W6CokGUMeSxmIQ2dJkikSOqF6i4G20/MOQenLb7sqP6gCHG22FzfFhm922d2p8KxC68VSUB/E1e
HLzaLgCo3bZ+b34/RqbGKSlpGI8hvN2laSFLYmNaqPaKu/hIw/UahjAME7a7qzS4dTOQ/HPCSmRb
bLACwynOd/5KT7oqL4DsoDw2KK4Tc3Mi/8PeeSzJjWRt9lXa/j1oANwdDmxmETK1YAqKDSypoLXG
089Bkt2VEazKNM6sZqwX3dZV1UUPKPcrvu9cFMv8lVGsQ2v6EXX0sWoi1XZwu01q0qlNm3ITGMFF
3ZR6k1MxWzV2i9OigV2rOyp4xWSculVvrhyUMrzK41kUZAUWNiq3CFSsXcnUc0yAmIuSMFxzj7KH
Bml3YRtf5rZFGRXed4beWxGMQ93HIb4INzyPwonbV9IlC2xR8D5a5zmNh3VdBSBQ6pJ6N98qx4Ox
L9H47Gunl2vfjn6o2LubZEdxOrap22V7L+g/t3igXHmRl7RgppobjRgak2D9Oa/HC0mewKwMOfkr
WSLRcNSj10YbmqaKKkfTb6feiFZTHj7hd3pQowzPEWjbm8RO1RdhmD+cHNNIaD0NGLpJrMtPCP8v
oolZ46MdLF2pL21jf0KIvlZ0UmPwegbfAqqiih3u4+whmxhSgihhZxf+WCFsiE6la9/wuM4NmFpL
S+kmTuWmNHmbbHoSKRqIFK/cFF53zaUXXo3tI6YPuWkd5zS2S4xn9UlV9e/dNC1PzZJPS1n+vWod
xBIdopjJQtboDWeOGD+quHKusJTpDR3du7lEE86kGvBFV22k7yubWyjsHXDfHb44or7MMfatQZQT
iE9+cVsbiN5Kb94ZwmcgTEc/KwvfV9SmKclhEPRuLZSNbTB+CJz0czWHYt8O8V1jJF97lIe+/i4I
Gxqavvh26H+oM7vdG8O+TE4nVaJeoAubpJfLZxEzXwiBeRA/dHa387r3EfWAYZvIzVST15o0Ocp4
NVMREROaw4maUZtF9lmuOvPMHZKLEHKN4Zrbh9BbW9dq6bhnOSXn2woL2X1Uhf57ZmXWvAyNeWZP
bfRdJ/l8knXC+J7oNNmmIUi3GR3kDxG6nDB2u7MSTqJsiMKrKFPDtLExn9B6ndoPkDKHKwS12T4H
HITCoIvPJ6N1T6e5Ejs3zJuLiRDoIlNJ+MXPQ3BeBnmr8GuH1Gk0d5lv1ieGdvG10SP9OOBC8D20
LSp+0syT2dpt0dBraWn0GNreogssL0As1ZdpHCZXWmTmqdX0j03ObTR9qqBbYeSPukwUzXIbX4eV
YtPsuuRbjXKcPXcbBsZuxjozds4mzK3rogk/TG6PmM15bCI0plaEcYIk6kbnMOmNnP1N0Gy/r2LH
uO08Cp/iCYdrtS4jxp505mVcJjeMG1sFnX9iUIA4oY5k7Okw4+OUszjBZIoNVb9HyBa9H5xywwAu
9FPYTs9qNNObMW3ClU67q8KxPkYRI8Xtr3FnrqOeDITODACkoaU/D8whmYLVSI8KdPVH17wcfG/V
D1hqg52m5xI4N4XuT2iSryoCO219NwZ6i6FxEnfGZhLVZxF/mT2PGvIj3+2aerCHeGj+jC112nXo
/WUANzu0GyQ17jQ/Ce2ftybaU+UUztqn4U60qM8SHWyXqR1BXJ4qTCzgGxAO2tGH2sMGQfZSsaug
+4+brRwJm+IceZZxU7hkDGx8doSj6rTIsptKy37nRt1WpKb/MUHnuBOLqQDwxjhAFRzn4kOY7/sy
Oi+i6TZeikljnPtb/KnN6dR4ZLijScW5v0s778LvXQ9ih5dvZhdvrc1kvG2q6091pp9anxKwXSdf
fNNwH6kNhjsxMyxSl2DPvcHc9fnSCUDJlpQJqlAp9MbT7tZKlqilhgteLaSodHQ0XIxhXavwMkjm
XT9aH+a2Pm9aZLoMbIymAMFy7H3zbDZJCizGJ22NjMQKVXAZOxXFeWM+N4oBfNS0T/DjkRkn7iqK
ocI5DSOT8hk3pPb8b6FND7BF8mp4Pcbm8EK33+G6IdUBj3Mi1TSvuzF94tDl4xnQwxXjx5yRlEWO
2tXlUKdZnqwGDzh0XxGaZdZXHX8FVogS3fYuB00G0PEXCvHoShFmp2XdrkuzoebK5G22ksHdRqIM
r9DWrdidPXoRmtpoV2wDL7if2qDYuq4AAluX+cak4rYJrPIMAcBlHZmP9LhDBjoDjVtZKpu2Sdpk
/AoatX9uuPh/zUrxDEz/Zy/FdfZ0QEh4/r//dFIo750LmwyggOV4nm0tpoifTgpl/8c5YTvvhOvY
DECDJmKa2oW19m/EgfPOUaaUpo1C54+dE8/Y3BeEA6HVYuXxkKt5aNakWGAYL3ggUatJuGNXIbV3
6Z56jhLJzggiU2y8cbJoKc1Ge9r3bl9hWxipMSfdyPYyFQV1V6OssToYoyh/lIYPPsw0Sv8KnjlN
/Ap2NP8dNmRebWeh38xLX3114dUSVAc9dR7fc5PyXCVLxCgYAnJnoJZ/NKcqhMBZFjG46NrO5UZ6
JepSfOzmbdsaIV/JjA7bJUmPaTO75ogKPCAqkEVpJyeY7CFcASEJ7dXY1CN1FQ8phT0iJ0VIqyuC
w6qqrZ1ShpNu29YqOpp5sTpTDKH2F+KOxOnalfN8Vosasb6cGivZAvnJ5GpWaZTQCosice8VCdi0
NglR9AYi5n+P8TKUPpgYXNQGlbJwbnbzyZwVOLAlvSyDASC+nWySIRR3vcVFrospmfGu6fqNMY5H
41Q1NXeoBJ7E4mJaCt7Kwod68WhT38IOFjtywzFT5ic9B0RFtp5lA8qA1LmN8cBuOHORDkBVujIb
s3XWTho5nO2DdhfvTH7zwlH0i7DxkqhxiIbRwqW35uHWsLSFVUebR28bHsQADqBHr5z60xU6bXxu
1YDtFtLdGboY9w3+2N+s53lSSxa1Xc8+ZsMNvtmn9lyx3sgE1K6to08+Nr1NRljy1bLjev/69S2/
/+XXBLXYtExWo+nBcsdcsq4kCbM9ZualAZeGx4PyMzXptR/56RuXdsjAWW4lS7GN2GQ0kpt5RGNs
Cq9xLFOgwp5id5sbY/E1Gsr5rSnjvy3D9uMpyX/bTKnF6HX4EkVELvEcRJoUy17E3HO1C4NZ/zwC
DpA4L98L+2gOiKYvaysMyRBdoO9yPUeXkwyjHKJ5oISL/QAzhEPeNG6sYBDTWS/aqCKgTk31CVuH
ZexzTR4FD4HhAH5cFS7NvrAmX16lUtE6NMNkHK+XEAT4POog/1MsA0TegY3WcOmwlvYiO4G5toIO
FeRYcQvju8fxnl0CGTf6k26cnQ8SAcK0ncn9XfQgsVsHK0ZvIVXI6UzAiUDhTN3MHebsU2jJCmFe
CC8DhEgyBmx3dq7qeCcMkd4NwmCPaBl2mm/ilFxkHzWNL2+ZYscZmw3awQTiZ6FAOKzwSJ4j3RG0
IJTRGSkVxZ4NWAHNVdrCmpyFajpLfAM9YJA4Oj0xcjUFO6BzlEos0P3ZlTVnuUWu1ZGhESTAWDjv
aMXxJmZZAlrWtNp41+sI8TMZ3jD5F3iHHWbgVpABr3ycnM6DA1ekXzOjIlZfoKHkVGbspqww8DZN
fm4WOUpY4kKqv3MRdcjKbPfrHJvprWKSNKLhprKi9mbOEyN+BJAc17cQqLv+fkFLxCdulBTR5Zzk
GPAbdHioHcBCOFG1iZUtrJ1s/Kk7aeeyry7wcMXJYxBNMn6Pa6iiMibqMLqau9ywz+d47KYvTO/N
+SmtW3nXFGj9aVNlbh3uWNEtVslYRrANIqm+TEmaXg5GQDcn7Ets23TPm/KbH6RJ3MN2gRl4oozJ
E6vZsRqHZndWG8aD0aWefkj44vC7RJ2b7goahXIra5G1Dw3GLnnXz1Y4ooOLgnzbBO447ocs7ee1
5UJOvcaRnAfGqvcxH3+UvRbOGaMXENc5RmDln3kWYZCehC3T2IJNpVVvPwEe0Ua7L60xq74GUPOG
YR0EVH3pInnRsB4C0RsrX0RIVHTPAYoGcxl2YwxJsEki2efnqaCxtmJgZYPKHyZRelZ7FFuacBDO
vpRFzpzMsSNYb3m4YHh6KlXIDwxIfC2/m3pGTh8D8fGM3LL0kuLThDnJXso21Bs7onUMhQMI5hUV
d9/fRkmn+MSGCVksEarfnrmt7AnkS4ULUppGRBXLd6cHd/KDCzOXKWwNoaIZJZDRelumlpFhqkHW
p3OsS7kJ65HWqwFeo153BkCKTWZTR96P+UTRI/KgB61gZFPSdUphBhekdmOwM12rn05gfqvzmNFb
+T5PKu9zVOigBJZR62Bj2EhbdxWZnXPqZBWoBLggDkm1pfDZtNrAwM2k4/wSegRql77tanUfUjw0
TgqcGD0yODO/QtuvS/ajskg2NXLXe9lzveiSDA4Xl3OG9rfVxSKbcULWlOA3DWX9jJ88OzxcfnlK
xu92eJ7CCDzRFQPhMvwGI/p272Tk3GAHknNQUzrrcKIH1VmFxs7OkPnmdFd2qRuBCDD0XGZyH9Ha
ALP3R4cagHRJeMiBY3HWmMzMPTwC8twP4AAgUA6HXF57I+4Gp/NRvcyW8cah9syIe3GAPq+FbIWT
gCOU8PboGCBOK/nk9CKG7nO4Saj9InegUmgX6nFSXvS+FCWkAtcOrnzXMLfF6OFno8DxBqn2KHJY
fohl0pLG5u4Qaouji/ZwoAqcQHhAsfk4J2ziwRfJTkNzwTe1d+EipXHeuNFHZ60UFgcsCm5FkITN
cOGavQzYYj+3pCEl3rmKKk0L0GK1UD22rz/O31ch/MKmjaQaAb7jkXW8XKUfYQWUvTVtiqGXW8aZ
xPvew+/zx6vYrubOcZoT7R3DcquCiCLNommTh615WzdUDAaj0V9fX+WIuaq5ZVJroTCZEwUhjDqK
cTnd2rzHorwJx7hbBDBO4suruhZVsu1K7ZWP4JWG+dR28jLamwYmsJYd3IMXWfXtBWUf09ojrDPd
tUXp0bsKYyT5D6//ykMyMT/S5haQqllA6SDdHX9AeHSGsSIj33RVqrfKqyTdUWrgXuFxQiyS09BA
CPi86C/c369Y+4grePSX/+v/T4yBZfOx/nPufVbU346y7+Vf+Jl9C+8dWTUkP5OKMAaqZYT2z+xb
SNCB7Dh4H3g1ybj/ysaFeCeYsydIoVyXnXCZKPIrG7e9d/wNQbCPyEIQiP8Zx+B5MsKL/c/mi3Ge
11dsPqSZy6v0Imfrx8ijEt+1OEh6GMFs8xcksna8lRU82ZO2NlL4O4EZn8omCaloQzRKiVbqdVPL
9pzIfDhtLPGIX7s6HSJ3vEXc8qkroo0ojeEq76PpAYq1uLeNGoVt0Y2UsUU87mALzBfgp3DsNGV7
I0xdXTYqcwCtDxb97HRs+BXA5TKILaXIMNdGCd4BN4E/ImlJ2lG6dsy6uexMh6rX2nXyyEcXbvnJ
91SlqnjyEWOhjRJIsrAFBaFrUBAPp2A7jT6xxwoHt1O7m0IG7LKTlk26jsy8XIlB6vMB/G11XurQ
3VL/j+lixBZFA6C1OZrkLPM3RRBgQqmH4dQtcntx7OL8s9o5x0Hr1Kik2fi6bZ5EVjuuy3aYnauo
oUYANg33BbKI0ZHvfYaB0CuJTbe4DXymLTbtKIOzYY4savfM26TvRGwWBacUPrx70XS+OWAMdFAV
r0UcVks1gwq+ZWSfqmwc9UValfkVLl9SiKCZ++txid7iqR0eXDOz4kuA1WN3hXiUP3doAf8IlXvq
SXQc+egx2DjuTWfKszNnNjoa0+jGgyzYUVbxY9wHXZ6Vu8U00YfbDIyct6nt0X+w6iBUp+iT/CZe
Q1x2jDN0K80Mnmj0Up/QX+mvgZOY9rqg8qHPzd5FSW7zErU02Jx0BDzW5e7KIo5K6O/GtIkgJtLf
UE3c7UpIoZhCU2fOnjAfWYSJFtkC2tF0Et/hSYGuCcuMtu8wWTUzJBUtrSHJImAG8Mf5E435a0sC
Pm3GcbbUOvel+WkcFAC7DG+FeWdjyw72jpb+I0DA4CmVM6K0iSAXAleUeBDtaCHcoQ1EL6DcKZUc
lrow18D/O5qFZuxybWXRnTPOYeCRdJ2+VrIEDOk6Qlw3gcbULg2FmcPqq6baoMSPTv3BlT/Y0jNn
ZU++e442Eq81Jgm/ZyR1mcSk2lJfGIDNFWUk7Z1A9J5jRJcDqqpZGwgn4MbS+AJFfpmYLubRdE7z
06QW2COoacsaeM083deqDsGODEn3xY3KNt7wwPW3EIkXagY9mh/ruZ0eRLkQh0oxFTmG+5hGEkJ/
LPyyIrK8sHOIT5cdUEVvr4oC8XYb+nl+HpCvtStM1hUqi6nyt73MqH63lRkZG5EFbX6ylBQuCcyb
09h103PL0B587LJD81jYsp/Ru05MJAlcExG+X+fVckOcssBZX9f2Vkof+kTTwwzDSQsZf9O45d5K
7OwRFzpEgVn3vG1z4mX3ZutFhIyuvHLMHAU+6nM04win8W1EjhlunTCsq7VUZqdv51KP6W7UonzU
qJm+c6p7YqdmY/wYwWJ97xb4XVQ9CrTyFPmRuxY9PH6XP0jv4LaN12TdVLugT1sbC9rBuLVJB4nG
4Uy7cjf7Y5PshH3BKFh0gXQk6qzFXTk1NIrMXsvgZ7z134P4f5aC9T+fw1cLrfd7nf/r8gn+b/70
r9Mmfcq/NS9JwMuf8AswJJ13nL4e1TMibv2iLG5J+Y6/hbDIE66kqMlh/gswZJvvlOJoRgyKXNAR
9l+AIUu+I1+xiQipg0qHJ/sngKHDCM7lz19qqTYpkCAwp+J2eCxbRoK9C2XRTWLU4O4M67NOiOLi
3EQmnaPIC6kI/Qzg/rEmdhinL2tqG2KR5dKOVY613KqXoUDZuDoXuTXczD08Wk7CGQVslr2R51hL
IvNXxPG8DKmAAAxALO3xn8NlLLQfBAsW9BorxGyHMnEO43GTwuPYxAYTgsLGDi6TITkdc/fOoYL7
Rs3U+u3m2spl+jO1KxIglEZHqVbh9t00z9hXqMz2JxKO7G4oldqZHp4up8Hfn2XL5LkwQBdc9fap
gUWKLdlLTxJK/TQ36+m8C0WC7cUKUNyXwRfh9G/N2lxepsM7BSuB8p7QtG5I0cyj3NSkqR47TCa/
geQX7hykypATA2M/5Jk6mSEMIoqbG7n2BCJVYySHnctPVhjG60zO31pg0l/pxour2ET5nvnpeBly
hJ8AT+t27SDEvgzcGP6wV55IrLqDMw0fLVzXK1fRTggbFLEJlInPmInvXnyYv1KFl+XX318CXm1u
P8kJcaxNHHz4EuTZRIFKyPRGeYk8q3IE3HpW0YU5BJiZ69SkD1ijFPCzYRvmk7nLvXTcvP4jfr+9
LlOAUV7THLOpFR59Y0XjDMpVcXIz5K19nqbqQxzY+RYnRbeb9LU3g+YVTh2+9fr99gEo2l8e/xE8
POrpR4+1herbO0iTbwY9odl1rQ9p2EFkiEFb+3HjnWCTvGM6QgzFOKHSUlNxe/3K7eVTPvgGERdR
b3BIY/niXXn0DebWImZ3cu9ax0Wz12CgN0zO0O+DPBq2rq9TcNV3MoBpZlO1nIhbmggAoNXZM77g
qjhPBBJ8RBDTbVK7JxSS9nZu5Bu8Yh9bXJ+tXNUaK9zrP/u3DUpRpZBkLAwygfFlLt/1i1wFA2A5
ACL3ruvI03eTGvptu8Qar69yVBJig+JPJyVatnBlmVod3RxQBkh3tYuRIc5wI3fGfrR4SV2m0HaJ
indWW49PopRfog4K+ox+KOtowr3+K57fgoNHRLKoyN2X5yM4CY4KDUZSh3lfzPZ1joboyu/8Sy0o
4/at597gUSeogx9nXdhZDHUXqeQXpaplpk6pAaFmFWVTpXBkeUOxnushMDY20O4rNWSfTTsPbcq+
1XKUyPozkj/x/fVf//sW61iuholDPYtzDKrI4aMKCumoOvHM6zBTF7URBZ8awasVQ71nkhfzmwNE
zUzNjdG8X6Ldo3E7klOcasIoscO7jkxqCq3PanCaSxcSAkAjMQWXuW/Ob32Py285vNO2UDS3lOBo
p6pzdO7Z3mK0gjNxLeKsem/ja4OZ4+uGXscywCUA7tvn+jyfyvEhK0oMFpmFzjnqXXbaKu5x0Moc
kVWZxe21oQFg46oDafl8S/8b1f2PRZGKZ/LPgR1x3Pd/FT+I6w41Dj//vZ/hnCHfLaU56WlLa4pe
5tLw+1lo4R/xBSmqKaYA8GXJpaf4b2KkfEepzKOsDmHyMKBT8h0VFtCOwB2lw/Fg/UlAtxwmf71k
il2LtiYTJly+aHqP5tGmUjOLzJ5bujEZjB0GRj2N1OZXHlHSqgXqcaupiroQ4LZwhNQb2706PHGe
Fyc2JTD1FLRK+7gLbtqGl9kDuXwQ1PG6GGqrOSVe4JVtSv+U2UJMxK3BSpxlYdDfwoMB2Q8id58y
vOWscUUCSx6bWbZWsvNwRCXpeTvwN6mof+wn4NlhGFbmOeGyjStRW91aJ/4NPrDx6zAYxUgKWUBI
bBivE9Sq/YAePZpWbpy1Jxn67W+R1Q/jumgEcyKinr1BGpGNVCidSjSl9XTh+2gmsymLPrezRKeL
Bx57RBMM4yMH/M4xUvXEtO8oXWFX6BCDigzbBHXPeV3buvgxtZa6BD5FEv/fr7Kdlhkrzquf5PZr
9/StqF+mVsu/8Otb1OqdxbAUcgiJEpPY1f7Pt+hBbzW9592WqIvcin/061u03lGco7LpSTKwpfj5
n6Knod6ZROrLcBa0oUBi/2DGinUY9sGA1ZpqqyJX55vmD1OHRxO6BShV9mxs5wScOubUZU5jnf3I
lTxJ0aRDKe/IK/PHVF8shmnLAUo6FqcMGd+P1O1Cu4aOOL2RFnGzXu4P/CriQYHmiGAMccJzLvAi
tknJ9mgkA6bpTBcC9JhAI2joTjYhoy0j6h0/X9x/TPae44cXGxL5rklrbSlN08fgURxFof4s457C
jsNYsxQNJ0ZiBW3DmR0fq0JSChw2EgXxkBuchA66nnAVJLlx11jxjJEYzQRkmaBKYVFOYFszeBBq
ZXYU61aD2Ri3Fg3ODxXYlJoSKGillXBMfODVKO2P5YjScoVjbf4Qxq36jEYUcL3vAb/e9C70gLu8
8RhTmtkK03xMxOnvlitxtk2KN5vPX6pw7wywIValV0fumYBmjRI6xhzJIBO7fe835B9IneBKlaPV
o7Oc3WBvYHhQm5TWutyldgguIwtMB1E9rXGoPVjOogqO+mrs8vhDoDIhVrYM4fjkcb7U1fqh+1RJ
2ueruCEAZig0m1Vh2WmzCUvtFJsokVBfczV6gD0Rt1JXx2LbrkKw2uY67ou8JbohOFojzpq/Ai1E
vYqtq/LOkgDSwTpCMYneVjS0d/NgmK4b4Xbl1rEnbq8UMdseE07w9vSuzlq2Uw9NSY73HeUkU//g
NZqpeugYSzqtRyDtj6NBkLce0sFqGYlWxoigbFAcL87jm5+vzct87uh0W14mzkdatnQ5GIKk+ahf
RuZGB++cqXYCIKrAPGSm3pWTViZIVYMO45rUszwFqgXCPU07LECA3XBMvP4bfvuuKZYsk5jMZYcw
f2t6UTQo3dRyrG1Ro7hjmEJLPX/uXTs+m3We8KYYAyQBfzQR+480hJvd6z/AIsJ4+Q0zT0ouPU5O
WVJaUvajpHZuJqPuQKUyb3EQ911SNTdx2AxAiLP6ouu7/NRLg3znW5EHYS5yL4wByo32mZI3I8XY
hH37VhpxmDIpghcUHZQRkIVLQoCllPXywWjDKRn0FFub0PLTS0/W3bVH+eLh9Sv/21WIrEhrwQTQ
eDxcJRgDO44JGDboJKDtRih3Un8WbyVmR2EMF0PGzGtm2XSTPVMv9//FHlnFZusXPheD9sG98VAo
ve/qVn63JIr9mWqvN3kf2ZpxhaBLp/icvFWSOXrHfvsFRxfqWgyxiseEGZKjRdEer3CBjnsdIyYp
nErTKPMnLNtTfv36DT76vn5b9+jM8qe4kFGUWThwuuFsLumuxJX8XIVVt4xpqspdGQfTtyl3ItRd
ZjHdvL7+0en0vD4pqGlRL6Fo5h7deQOqYBngLNzwUgOrkzC+AA11N3rEo6In4Xx5fb2jHHx5bxfB
AJ1TZVu8Uu5Rqh8VBuyf2TE3tgf2wXBDvWnM0n4IU8ekvTRi2k8T77Yvjf6Kbs74fXIyfQcFYWzf
2FZ+f7eZFreURhVBCZd/9AUVEICriUIBpRncUEsJ+L2spuT29QterufFabxcL18oSsSlJknvfnkB
Xrzag1swHAORxAbHcnzfemCvgbPpexXOHtJn3nDw5ql/+fqqv18b0GOHEpR2EVwSeh2u2jHZK0lL
XmdVtpyzzEbYzosB6PVVlpfz8NqkuTR3PItuLnHhUSWDaoqaeJw4UHUT7sZsZL5bz45IMzL99PpS
v7+nJHeeTd2eEQE2J/zhBc1uSIxF5W0zh/1wmVP8eDRGBGdJaUgyqyB+Y/Lk312atk0SuuUEpIp4
uJ4xjirP4XJQFCuqveqBaM/JgO5ihK3x+qVZR9fGtsymZ3umJI8ksD4eOBBqpy7NJHDgvTb9vEXB
53Qr2EjFFzH5IO4Kx05q2qdV32+GWA4nttkUkEqCqpwuMl2a7RaF+HgzBMBKtrCITXkJRxNDWjAY
nMmv/9yjO8OvXbQ+S4EXdRVTGo4igi5opYYDy5wWhixtRDsVm6Sl7W+K/K053PbRufBzLfe5K7PI
uJ4j/hcfjwXqD6D3BKnT6czPw8zgtdXgq+ahzjs8u82Uuwz3ScJU7CNGkQTrJHAlUsh4mNauJ816
1bQJIFMHfeVTFnO47GTiu+0aj7S8x4aHockpGlsymUT5y2iDKbVO//h+ETZJeoaK20UucPgmJYk3
WiqPxNaahHthp8I9m23aDLpPuvevL3W01yy3i92M2J4Wz6L6OtpbcxwSSe1wPEvs9HusbfOtmn0s
ZZiKm62Vm7giq7h7Y4c7qjkz0pJlqbAtB7dkL3COvs2ic01exQwwHQOm3sdV5TPOoq6NHYOZALm2
NaCwNa2Q8bRNRmvApmhb1Tr2w3ZcJYyZdNDm1hZyBX92ziIHlcq+66JorxBjMOO38aL8zBowoJ6P
QarzPZqcKmYwQO8ys8iK3WHz+m082jyfr4caLb0L9k96fkdveO62QzOYZCl2HbSXXld6Gz3O4Rur
LDvIi83z5yrUTcBC0KvUz42UF++2X2ZDVo6utYV2ml44CI2/FU7sBNuohd8i/KzaJWqYL/JOevcd
B9MbR8TfrO/xJdOGRGrkSvco8sg4dBv0GuyeQX6BzO28tOUZBMaryom+Z53sGAahH6Uov75+d3/f
7chNEUcJkwocLaij76FCZ83oaaaKZaXot8lcN3h2sdE5PVNSYBroP77PLpsVIkwaMzQHKfYdHMDQ
2B0vMAp7m4xdfeGB6bvDLI6KgjQ6W8koFFum+zEMCKrWmoK182sK0D8m5MchD0+a1J9vA9UBoZZ+
Niy8fNJRhEtPV1xxOPh3TI5j/NM0TK1DirugNgtL91QhHGvAYZ44TB03UcFDGhZ9/lBFjhre2MJ/
f8Gp3VBMXaoA3BxxdLjVISEa3WfY9HRz126V/xCzm76xyJEPY2m/sQDKTQb9mMgq0bMd3HitjBYz
LiNXzSRm1p0dOOorhBJr3Lh+Dvg4Y3O/iXIMgau0pYy7Abvj2vvBzMMfzlimuCU9EO4aAwXGMFhS
pPMm09hwRkTNTsRRblPCKaxsLcM5/dAkyZxBL1nG0eC6HPL93LTT99df3iOV6PNFoQFYar10Fqg4
H71NHiRAqHHS3vZptmsC6BswXgABwm37OsMWNlFVpcZnDPHwVI2+6va4XkbGkc7RuEU0hQMsytWt
dI3k4fWfdngu88sQKNB1d1A9LDKF48arh5vanZIaDpvG+dC3rgDtSQXn1g0s9fiHayFApZlGG2ip
ucnjElPXDVWjcRRtNAczU44CRuQCDV6PGgPdny5FroBumhwcpxJ/6OFbBP66nZjR7cLEUOKCOUR6
S+Gm3yud6jdyoaM0n1u45CW0i5gSTT2dBt3hWqlAojSXrIVW8GrmV7Efdf26yyz91cOpvnUFJSSg
V93O7Dz7jJGyCbVoQAiiWwwASSDfSA9/e6hL9M6ZzsG6JE3HvUK7rXMgRZqrh6i1a6xWUc8bnFO3
nn61of5xm3prqaNNQUtq93nKUlFY1GAgFuo6bppTOLlv2QAO45TlPlOftNgWyPRdfABHeYNNf8AD
UOts5tzsb3qznh5xUzAeZZxcMGKBtUnSXLxx3v3+6S6rcuDy5mJP5fQ5fLo1cJzQ62NN4Dzou8SM
jRXDPuNTlBaMSGUIxLrUC2IgnIqtA878gi29uIEoVH/rrRqNHoLB/v2cVvafP2SyGseRS5UYr8DR
njLnfZzkCQMLBvpEEGlaFHN1N+wYL2Zu//RrwnwhuPG0zbTGhnd4Dwb63xKmhd5kc2GeiKBxLhFQ
JFdmodOH15c6PGSeHzJLLeX+5Zh5ti2/THxnZgwWfNks1QCTUinmfDPAYPP6Kod1m1+rUDta4l28
XM7yK16crY6h6lIKX6Pa1wDhbUA/n0QT5Oc41JB39rbXXTtFPp+7vd+8ccIdHew/F7efb6ZUjolx
4HDxBte/DLHebGZHdGcU0qHdIua6xu5WYm8PvX3ANDsGpyBDxOyenhL4R0+BHqpfxvd//HgPg7lf
vwSbhyApo+Jw3Pow88AvvTHXlKmn9LKZ/eRr41TjVTa68DJzc9rpwi4f9GB292XT5eevP4W/+aCX
NuuSKOvnE//wRjDP2YxbCAYbD6vleWaY4nEES7MDeXpP4N/tVAIL6PU1//aSl0YxaGObWYJHX42T
OwwOGjMNNDaFY8dIhE1B7ntaogb/wvE6Aa+3sseBEZlMt3DG+9eX/5vtEjkdlmiK09Rgn93wL148
4DBJ7I2V3viuhS7AFd0NfFL/soU18u31pY7s17+e7ou1jrZms6Sx66az3vQqA9QQtOqsiBuxD4yu
Op+csIbEqgXF+Lm/VXrwr8xgBCMvCueyS6bw/2APoSzCt01rQNMWOHzYk5yCDneY3uCuHzZtxT5q
BsUPgqHx/3Klo0c8G0GO5ZOV8tSb1j51tm3OPAO6NWa1eeMeL3/WX+nYv+/xX1d1FGcwWdrvYWzC
BSqd4Xp2GA88Tpl9HcpoVTpVvHVBnK/TSvuQlCPRX2IP2KFafyst/Nv3akkYKE1S1reXf/7yvaJO
KTkO9Eb0U42F15+BK7diN1q4Tl+/5r9bStC0J5BbKsD66LUK/Way0obtS4Sj3Kc1YHYbmB+M0tg+
eX2pw6Tv593lfQEdgMLLpW1xeFVeWjJTcyQ4HXK6izJ08s+eWf9v2s5sN25k3dKvstH3POAUHIDu
BppkZmq2bEsedEOobIljcA5OT98fXbVxrJSO8lQBZ19sVKGqHEkyGIz4/7XWpy4R7cj9mrnDicQC
+42nybeHBdFGB4q9/eV4yaI4H6iap9mSb6loSpHBZc4nPgBvLUEWTV3Ycjjb2RC/HMUlTNkk0471
fyVJsp1W7cZKKdVpeofsoipAEwyZdS1tq7qxpqk/8e17a9X9ffijKTtbvevibWTRF5TtiQ7y9mXh
yEM6CT0s2C+D6zDzw/tP8s07KyjCUjSg5Hpcz8ZSThYzrwFPEn1/aZNWu7B7OTHKm1OTrAC2vWz8
Kfi+vLPQXLACuVxaXupb9NQsDnqiCPaPT0lo3lxceaeoD1Asp7Z5NFTRsT8pOOdEhV8yQ7SWMgjQ
ifmshH9Txdmym80Rr4J9NhSq+dYKd32kl64vu4Zy7okZ9eZ7gtZpu2iu+vjtR/znDl3P3c1Hzpj6
1LXXtrT8654kpUhNgzr/B0/zt/GOTjx4pqqZXj8Xn5If1g7wvEzGOzFR35ozVAaBW+OA1fngv3ya
gFA0TJysrX2pyU8GcJsI3If+D67l91GOVs6hmqSR4fmIiGBLDwql575v1mz3/h17651no454n+IZ
x+Cja+lnipeVxjuflW13sbgJTKGizafv40L3LKix5lC848wcuF1roLQyR3XiJ7zxctBrwa3q8ORY
uo+OT6WfWxBEKy+ap0QhV1frPm7Jrqpoon95/2rfWGJ89lhUz8Tm3D72mzp63OmzVjOUmVTfx5LQ
4pWSUd/XzUPHJ2xf1rG+f3/MN2YLYxLpohMex+Fw+02/fQH7eYEBujBmkrUYFfLcuNCFeap39eYo
JtORBpkARLc9599GcXEOYRQAHqj6qoo8s362Wqs8MfHfvH0oBvgf+olXOv8SMtziGDypzJIIYTXd
K3YWK9731VXmB8rLxccpN6wTo755aVTePG6ehSbw6AayE7ccovtwAVKbuKbcal8W6clG7vZ1Odow
+UKgqaY2g5PBP1o6enPNlNQMlo6JCAUC4buvAyB4ov7kegVucoDqZ604onXyZvXJPBSNuZz3Jigd
4HbtqZLUm7caD7plsnKyxhwt4yMJRbVwOURT28XjMGUVmdqT2R5IZR1YuiX8XttC3/P+ZH1jOeAu
/Oew2136bRqlWepqbJrcSCxTvzObMX4i/d7dFYPfRjJpt+Apq/ODyQPlPMwQJ98f/60zKF+LTQKy
9Ud5U1/+gKyfk6GsE0ABmFupJc+QZ8KJrFgnWEm4J98S4sRdTfbVo1bSPA2A8Mp616wiwYohXXow
J37Rm7eEggaVHYOd0fE3bHDgrs0GB3+2rchFCMIoyHAvtRsOyd5NVmrGt1nZh7wfyjA343XXCuh4
nXKWO1J77CfsqN9dF2iplmf2eesn+V7PvPxD5mRTBiQrHk9Uht56X2jM0Y1gxdqECS9v4SJKzZM2
7kM0LlboJG56DijrVCTDWxOU7Cj83UwYvN9HD6pNqxb3GcTfriRGuMkmUEI+8d17w0pmcAULMYxQ
A1ZxYkvx+mth80JsdWGqtWzZtqv/bYZWFbAp1+fw4BmE3aRIenadm5YblDGJ3n/0r4sxDGXRTkKO
xMHi+MlPeaMpH5lbpGNkuu0ntWU9T6AjESl5ltwVlp5fqUF3Jaa3cT6lE7O2d/zlksSUM4m7o69k
oS45WtOnRi1SesmGp4iVHRZZWzwRFs/WCY2hfUNckp8EGa7yK5FX87pzhumzpksapL3VNxlA8XR1
dr6upBfZ3ZpPgYnDfQ56p8EWH4shTw56O9qP2To3YzivcTzs+TCaN95CbHpgulkHFMvVu0/syM2P
Wz3ysU9Gjdyetazrvax6rNjgu+YPZCGBUH3//r+eyJs6ngofWgKsSK9aAPSWzSrnlFUILBl97eaf
Ooqbf7tcySibGoN3hW/V8fajgQ4iEr+g5NYpejnV6uOpHZ/w684nlBFvzSfsZCxrJFwzgbep/dvU
9RAX+r1iJJSqzbmbW+a9rlZrbzX4gskKVO0zubVEgArrVCvgzVsJORIbFcp6NiIvhzaHwpZSUCzm
LEdq+TQ3/Y7PaXaw9AWw+JS0B9dpyAHz3H4/ZnwBOzrUlyxqxi6H0pxrcN5FE08f33/EbxxXtlMt
h4NNr8VfHG3+hl7waStH6k5LT4QwB0/zs4MI9I72D0nvglg8FBFG+YMkVmKHOlKsFqxovIQgWrSk
DaWjlr9d/uM32RxZtrP91lF+ebOy2El9xwcBxKysb8p8iAOlxvWnYUMEnOFIElwuk1O6mbcWNgdJ
Kq1M+l7sd16O2pkpLyHRgFG2SrKsTFHtOT79NGbDO7GEHil0KF9gSdsstIJVxUQLenSBXWz0vk+B
M2p1r7zwUCkHjTUnn1hu1FXmZaSxa8TPP5RDL/cqF+pQw2ahBNzmn8xVNj+81k5/NrOp3zra3BLG
09vZicX31Wd3+41MjM2CSIPjuCwXJ4lGGE/DbxTlfKtEp/2Iuzh+7AFyg1CsslQ/NE46P5PFYH9b
zLU/vD81X70yRz/gaAfWTZWXCrvSIqVwnSSpf7+O6ani46slYRuEcxf7aXwvqDRePvR8APAGOVKL
ck+7ooN3UZTwrmbNuurEeDnY4pPouxP7g+3pvvisbGOifeWoRTmJv3o55tTaDZAG4g48h80lCbv4
YrzK6TjEtocM3+6392/kkYf2r+nmedvmmsOX7R1VWIWGbhFsVhy5ZPlHiUpEhHuUiPWFyIfneZTt
H1XtCyR9BIQsZMBdO/LUmf3V27VdNBuGTaVBqsdxBY0YIz9NyDKEV8j6l7Lg0fiEzasa1Xx+/3rf
nDi/DXW0/6K1mSCTYeJU1Wxf5G76aZVGefb+IG89RILAMFtjW2RTejQIITBkO2g5bkmzTONdtTbE
ygPh0w8x9qWvM/r25/dHfLXh4xDLXcLovYkkMTG8nDZavyxor4hbrsihvDTwPF27vVt+LOHgZsGq
8nJfrUKeWAZOjXq0VBXxAHhz6fxo9H0SVpAVPZttkuzb3h8jIhHAICx9fOJz+foJ8nVBCrjZggTS
iKOb2xbr6sypGUd2nrmXtl45V4aRlOfv39DX7z6joEhhiwMPjHFe3tCJ5cVbzRHagU+iP7FGqO1T
m0YtJFti9nz8ajDTFnzNdV5mJ+bPa3GA2EZ3ENxTMtfZYr4cnejJai5rEUcLmNObvvR6NxyBat45
Vn9ltqR4VgT0EEWeup8bWcqfhbuaoUML/6Iz/PRS9O2pg/5bN4StHtYqPACUZ472u8TfQOjsYEDn
nU8+eVUXZ6SdOF/izhjIdTFrcd1WziQj0GN58P7DQA/BBR8vi3hDBKsEAtZXQlC4IAvGDPIYU2vw
LpNNyxYmM3hmzMCNrnPoZ/dTu434kCcAngL8gSDx9GwqYeW1ppOzedIwIhXYmwWhSU0G3d3Sy698
7dOv9F1v69jyyZSk5wNruCeWdQMSVlXox3VLN7nWwJ7HWW1/S5WCLDlbtYseo+672xaEkh3A/Zk+
2mLUPyirI8IJJGSniFjSWNH8HnBa1PYeBGe6ZaiklbSQIjU6Tz8AcWL9xGMxP1do7q/8tej9HYjk
/OsMLw+0GM1dyuuQ4T9bzQJlF+UL19Ms7RdRuPo1jmzSYVvQsz5ubmKYgipe6WEtMF5LmIhz/mMd
ZjMlcWLQBoiKDYmpdVfb84Wrj+MArbQjQsCop2amBp4NZ74sW0GUgic5AzuNSq40YS6I14mA+AN3
fQLzpV31cxQq6uuMNDrfDY2VWZHTeHX6UZvMPpSAA7y7Al5EMe7aqe2qkBKSRzSr8LQzvSXK3Ygq
1RlrREB155r3Bi0iDkYu1yfbyEMl0E6Q2pr4PkssOhuZp9d3RpoQdnZQ7kAi0tBOXR1UVtqmOKHk
VO6MtPCtUI+BSUfCUYDZkjKlQaK1OmH8c1o8dCM9rzDX/bYMrdIm8BUCnWDXTTDoEEiI0ayXRlYA
q3Gz+WkUlv6xoQ/9lE6FO5AYJsGblhpxppGHb2H90nsymcjVANx91jt2O8L+0cGrzDP9oKghLToL
O+WxbWuXfvxs9BUVHKOkhhU1veDUahata8KH7IZ1B4+hXy/YO3vkerpAe6GmLvAg/NRKtF2WGIiA
hnXWnpeWOTCL0aC8YifdLZWWjlopibkwxdk6aPu8jAemujU6N55YVzssld6ZYVrD5ekaWjd16fT4
mVJt+UkXwM2jxXKTT63F2hMYaezejogYe4zFELw5AVjIrTQhi29LlbA9GDuz/MD20vtIekLzGS1C
A4W2rQkEU2Zl3C5NmyOJJr582mblNF61MWEZ+8nVDP58NAQE6Op1XxAwLp1054tZ/27yst1T6Rmn
nSBzBOdV4nTnWafrRNyK2u4i9kfzH/SZx0fL7/mDaALiLNRkscLha8b1s4gTUrg4uj8AM0cHko/F
hhNTa3dXlb2Yd9RORwLVrdhxIlNlOmmwzQKdnHJJ9jRY8XKRj1S4SffN0tvYNon4tgwpLwqt6atD
z1ffC2qRzl2kp9qEWnBqc7rjCdLvluZgssE7gUdBb3kAACduRe8O6ZmTp9gWy7gQkYw9swgIxUmu
bS1fSX+uXPfHpIhwZv5No36uaY4JHNM3clK/wC15RLGkIBtWK4XoonQLyO1SWfZTOxRreTtCkczC
JM01ItL1BRxdyZnOClxCKLJziKfV99Zsqu9GnFhfeo3sugB6A4HTbi/8By+H4rDRzJsN3p2UQDBJ
mKZ2lxXVEFJgTPjGDYI9WWelhym3pjtnLsyzXqRQs2ffWoNmvVBFmf0xL2jIAqMo82+p0DFnp03R
sQAL0f0hx6S5SxDIG+HgOcM3Yygd44zQ1MXdFgblhLB103s9cZx7M1dFv7e9fO4j8LNy/k7VzJqj
cbZFsVuy1PxIxOw4H3gpYn51ZunqR9a1ZIbIBR01KXtZ714SaA8EICbBxNqXHZWpwOhnetx+Hw/1
lpPmamGjoUvaLaQoZ3tsUXUZ6sOsXzjsUkuwVR1BOfwu/aGxi1WdweGDKDWWGhgjz+CUQyj3CIHG
7e2lhO3S1EbgZCbeiUoX8Oy9ZnAfxrlPvtgiQe+19mlMLNqoMJYts04IdZE78BDr1E6gn5soqc4K
6U4HL3eAdGICKdSZUTrWF1MbVXxogHnJ894dFYl4qJz8APEVNBYCbxJ3r/RYZpemAw01TXv92ew2
G6E96wX8YSHhbng5O+pQ9fYU3xeD1le3lkn74zCU6zAyXxKHf4qzFE//SL8uKr1i+qbInqyCZUuv
Cw2r7Y2zqsEUd29hfZU/hyKfpgi2M3hf8gSbS0P50yFxMudeb/31m80O1NqxgtprkFlx9tWxOny8
+YQh4qYYMCyBGaqq/I9Y46sTGCYmaoQIPv1QXZXUai1jAXa3NmQGuG6qPY5a70vqMJQmIrKvO2hj
Zpo9IPObb1aZT8UnpvZUR2nSGGe5kWk/OttW6txScf2o0yIpQvzFKzBaJ05YO/zBX62LTJH1GNSV
NhgsvP5k7yd0PWKH9hIRAQ6DDTe3OMvXTA7GF4hMgMKTrGCd0NiHPHqZnwBwKzozqArJp123B/su
cWLtW9vbI0d2a+Y8oJE8N4YDVdItrrBIv1oVqdlhTUz5vUQ9ZEZA14xn4tWHp8lal++4pCdevNbO
L924IzauqRYX5ulqu7xdmt5crh2V5H0V18QOlm5WngvREyYzV5V9SyGlfDDdFKaaqMw5WsBfDPdW
l2fXQ7VaXeTXa3vT82/FAT3ZBhAv1O8/Uov4pzAjpVaEyzKynXO8fHwyjYmPdaLHzlXe6M2Dqjul
BbNuFMNuhJrZhF49C9infj+cZ9naAsBtCo2I2rIykZcoZMqhPaasnz4kjG6P3cb+aKfV/DmuvKU7
wN/0mptxtScvcibKoGzjlA8/dmBeBxg/6pYvKWL2gFNQlUYLRrE4dLRxeSyGaovczKXWhyP35Vpz
iVgO3BqnOAbzsh7JWJkvYrMjfdyST2REzFnYtLZ2XVppXkTofwIxOXiaM6YQXxtqSOMhHerisvSa
1iPWa8q/17yPQwiSoszAnzdQ3crB1r6R/c1LKIa0f+yWhXx7uGaa2Dla411UtVUPQafpeCoNVHOP
1ewddKsccK7zewMJ0/aQ153e/yFnN9F3mSxBHNueBHqKmnvzoXJAEGSI9TFYgNVdL6x8qvUoX7Xp
stNUeoNkrCoifXDtT1A+SBMW60Zbs7lqWeRsj+3W5FMymU2JD3AEnhfU8QpQoig1qCbx3FTtzqqT
+dLLPT0+5Bp6gZ07JYYKWPlBwhvCc3etrAFtO2nW/rTlrJ49vWVHVCUO+AEMNqCouhHxfbnkjo4Z
yoOwyLGps8LOXLstmgfbdRDHFOoCoxWJCjFoFg3MNhbOwKdnj6tdCKC4S86t2Q5ZxHe8f5L41RZ4
eZDA/kIDhv/fiojHolQy8QUJnalG7mpFjmXOOQasfFc3lwtVpCB2FuuCybyeaW05nnnuMN2KFcLq
XGbx58yptXPioNczXyUuuZlwm1KUs5cwhwh0G0frUCu4z3m+kVgqnVDaUqFZXyeAs0UP0bRp79+/
oDfqN7hKsTLjqtGJpDg2zbfruE7xoMfRJtc/GI6yz21jNcKmscW146s8LGHL37DBTu1wxrB10ysn
PSGBel3AwTLPgZ7z2XZzjwvF7uxP3TiXPoHnW9CvnqtPrDVsx6ul/fsH8xdDHZ1DNW1o2zqn0tFX
WnqWFkb/WUtIpa44RBzKBX/E2rR3Ntvjr+/f6TfqDth6cFCRtAyc5RjK4kii5Gh3+5wrCBIti6Ld
aQRsnJigb95JVMycsBE9kjj08uS/6lXhlTl5uPjC5FdpuV4fePjWDlTdTnpz3h6M4zTqbPjrx21C
f8uj7TLqN3Y+11EHDYGX0fzkk3174gT/+vzOBKGY8e+Rtn/+W3elll2K6JynRkNsPkvduD7zlnlF
c0iKoEiaKSROJb17/4m9LsNRFNtEAzhHedl/tTd+G1SoCZYthLZoWeGcLqZbRJl+kzZXBklAJy5w
m3ZH6wofHZqtlO0drMNHF9hVST30roRM1Jr20+T3G65dDPZnmuR6VI5ZdZdWVvnNVKtxmGthfnn/
Wt+YnZROxdYwMEiUP543kxOz7Ta3mFxzcr+0JWZG18rGP9tx/xPxYeNTN6juibitpv8Xn/Kfj0NW
V/97G+pHzbeb3Mjh/778W3Lg//ol0ePw+OJvdtVAlsdH9dQtn5561tB/Z/ds/+Z/9x/+6+nXn3K3
NE//53/9qBVhz/xpCT/r9wSiX8FW/3WM2OdH9TP71//rHv/IHl/9Z38mFwnxH/SKaCPSAt3sgC/S
2tHbGdh+/jPH/a/cIsv8DxSSvM+/hO0Y+Wlp/JXWboBVI3xjyzHYmnG4GP999bd/TsE/A/STp/qv
v/89ZAWvwIupynuAIgCP8KapNLC6HYvZE3RkZU+gSlCiJ9UONHPkU2b7bLqqzhUXszDAR3QUMUJT
M3X8ZtawfEHAJI3zMddaP6QGUj53knDHBKCptTftAaQvESkHM1050Gt6CusCbTgNcD9pzyhQ5GGf
L/SiiM5OfhI/2p57vXZfrexrOk+vLqnvDXpo4Xv6muVIBE0g5z9jVB+fXEpy+0nMOTVG4zt0oTxc
5ZAHvqcmsDNtRVRM0xXJ42zCoqc1Duwzc8tPnrFUeRBjyT7HKrWQMuZf8bt90k4R2nVh15jimURp
crTLbpyiVrFhFrEjQ0sjDbWJrekjLVvipwu+9VloxfV42LbyFt6c1D4s/TCAvQejNoF35eBx3rRy
tS/jnrLoRVGUfP29tMs/8yKY48GaZmKJ3D4uhmswT9mhhq9wnWsNbN+scsU3dm/ZfG8K1VXna5yX
ly6spac4dcqDneIdj1KPmkNQmm15P6d1xsmYSq/1WeZJm0xn1VZ/+lG0dcHxQGL3LuWXiswJCvHx
RIEFare32vHduCIfEEQ1NK2R7uxxVO34DLecDR+aAlKjerDjQqrY0J6wRGrq1myFkI7PAwMIviMd
n32/Fsmu8xr9epbCK2SYrMCDSI9VZQ0J2nQBTVpRYjqqKOwQDaNvXBPXXRFFP6oui3Rlx+AtOeD9
JNkNd5lkBsFWpZ12PrXKd8JR5LV35SEooErhjGO8o2rkfI0F/VAkEsQTRO06J9S6Js9/VEqsBkWZ
wr902YkNVw3bclouMxVrtWdrKgFtzioBFg4LKlSKU+/1YJf2+Mmx5cjUkqh2vwuRLjtM7LTUa9WN
/lffp4TpkYJ54zSb4UZPh+Kj68ze+MnIoVedT3HT9V/AglIHX/38Z6pTlfnAGa55mFEqZweS1WHm
zFmZhO3s+xNpSlLceg1mvlA1miRgvJWcpfvJLZbDqLxBhpNbTT+cTiDpLuAOQTzBKfeDpKgEfVdj
DullbM7rFBqbMiEcBOfhi3Iq1m8D4sPrNjX65HI1J4IBNbhHmFrnzMx2XQUmN9JIg/rgpcY4n40N
6EHyboS/t9yl+9hIZd4LaNbkx2bt8r1Cyb5ESPvSmrqiKvbjJP2dKLzBuDC8ERT9OnvQr8Ro3bUZ
7adwRF5xn6crxIW2XtLzrl4mCMxUkECCJVM779YE4fqj7k1IVzprTQigdynsX3ACa/uzXmbpHA4l
yh1OFUPzAQoD5ot51Yr1rkqb1ASKzVwMJiqr9geJcZmCLFXLn91clU6oleOSRObUNXeqzBPsOcSr
k92nNl53Cv5AwhpwCKU2TBBMsfSpIwwdPPGgMZz0sSmkfVYbU/oBxd+IZ7jSiu8x4v4FdJpvc7Kc
wIcnYWxMPS0Im9c/x8P9tDqNdduYs3nBDg0YZY0S79n1Zl3tpxK/EAcZExi7u6Z6BjKlzOqLZTYa
rIF650Qzu4YzqVM6ihbOJF9gbpnfaHEhrRhWr/5q0p36PhsomQK/c7IkYk9NSaARca+YKmib0Hdl
xObzXycwvmfHSkNcw8V+aW2VkLHbxNFKfNiHVTn+V42FlVwLn3donw62PKdp4md7r926OHKDfAVy
8skda/MWGVEw22Ml960cMoL0EYNU4RLDp94Dx6qjnHJtfVF1VvXNboXz1SjZyvkHq68T99xs6Y4A
1c1sjgQ9GL6K9NUqZjodLHZmsRNlGK3jPXg50NNaLHUSirONu2AEKGWIm6Wro4/OFUUvwttYTojN
kgE4iulB0j7YZWZrUVtXJkFx3hgRudHkOCdbqn5xc+tOplXYY9AKwrcFQNqWe0xRv5lW27kB21AS
Fx3oKEabu7YjnoBKrq1tSGxu9gagVTmQktndeB7VL7YHVey2K84JWAaXbvKZNK4qvUJnscuUwZ8L
43kEKbZf7L4KWIZUGplCukselEUi54Nnw4WKA6wosTtGSZLMSu1U6lrTpRRpDE83swpKq7eavdKS
CBrbl+0u7w3thwCxpwICeOf2ys55wFpVbbG2QDg/L64GQU54avGjxOuqz1nruxz/U6UPMMUpWtEP
kUP3MffqRF3Rq3Kns1yA/DsTc98/l5y477TZH+bdgCCB2nDXyKdUplC6YsPph01Phq6ntmbzAdhb
ut5p00TaWFfKlTN/1SwVvks7dj+YhZU1l4kN8DjMZx0ORdLgoA+8DEggj6BERBF6GqD7Q9vz4/OA
d7J3ol56o/g2StGAglhIFRk+DKsyStpkCWXYJqc2tncNwEyAC1sqV0GSszxTgBycc8pkjrxKdZWc
LxkLy9UkFYkPKDpGsR62OE/UePgTzVsOV9IK55KzyL6dK8f5mM+JYUVmNpoPSW+5TVAaa+ND6fPy
/mZy/OLMmxbvw8AV+V8g7NUei4w9ipuyjEf7otRHvlhFV2hjGuAv0asPQ2FQUfHInPigV6Tth6sa
QGnn22HiB2WipA49qabvZatBBpdqTm4I/Fk+I9+KQcHbLKMdBW47DWxKNhQjDVOZD0bW0T5gEbLr
h9pV2bfSIJg9bDgsAhfJoT6eS/RW2Ue/SavPFExN8UXLZ3ehMzpyLrhgJQH6V+Ln5oyXGH73bNdc
1Jfak5W/q3M5ppAwhhbIN7O/jy+70rX1Q95MRB96fQH+Yoj7aZRhxhuRzZjT7Na6SMiZ+tGUo9Ps
aM6uKyXJql9uRzmnyQMu/fIhh4hphWvu8ENzeLI807ISza7GWZqdL9bYi7uk0kRDJYzMZLlnrxgr
QHJq3jcky8RXyo+d9ZPhEaR+ly0AUnZ0mXwXFo/fmg8VRej+Vi6iuh2a2X2AF623O1gZpnVQQ8ZU
qQyz6XZismk4UfobCm7bOs1E8RsyGx9UjvuI1aEvxX7xfDWepdCKrHAsXK0lhDJZaKfknNzAFbLh
kansxMHy4zU9H7xmgbPoNHwanNXNJYzuceASLVI+gQH2fjfurEQARs+0hYoyb8G1MU/m16qc8w8m
tJ07r/aWJRQx3iQimSZrCXtnZFc+GHyS9Zr9cZ8uOn++N8LxbEsbgelS+N1X3R+ahjQKRYFpmYSr
7cq1cIoPBSlcxQd8pLFJ0Hjln63ZovUXi18S6G/Oc7af4etexL3uPcZ0tMYQvq730CaxmiLJpHE+
a2MvKSfGrl0ES7EQ87+y4XfQ8J7FSqO9kiu7f651Md83QHQOI2i5FCCAbD6tvKrL3lp6pmiGpT90
uITzxBzL3Rhn+se4W9WHTjP6n26aTXpg6Jkyw20vGWqrtoVTYv3FP1fZzBd8O8x6L4F/FfV1BkGe
IHLdpK5arYkLPDlOnD3icPsSxgF8v4DqevpTFpCQ9wS70QklvUHw5ZWy98/b0XK+UXDML+E1WH1A
1Og0hMUKyAHEjz4/io6ItsBy25QyK/vHlHZR6Uj22VTerzynTq81I4ZkStNfGEEvtk5wVSv3ll07
kU+S7NB8HpgSdBGznpaa4n2xcnueIna94126Tq46W4d0uXVGxcIDtD0/I19WMfnT2PF3GLLobuq5
X59LMswh1UC0bCGuGW4d6GJS9cUwK4P2B0ipOmhnFva/VcighoAnRGBR28IBiIPwjpR1dcdXv62a
CgVnWUw0XkTyOa9iei1lWgapJOE1HNm53lrZUJ+tfNinE7/gZSnj1y+gw4LHACWsg49r++e/lW34
WBLDmrFQNlKPb3pN2nvco/3z+wWTIzPDnxe6JUH+ipqkSnSksVnL7XAyUaMWZL70kdv2kuaXk/kg
dqaavAatVtBt15m7wN6K19poHQtmCqK9O8xn6amws9fXbbvbgdwjo41YlV8BZb9d95BrdVzaGUn7
C2nUhsOhuoqX5OP71/3WKGBTNisS741+PEphAB5yU/b0wOaIB8TYykYjPmXSP64xkNG1xXOBxTGh
Y7jHBWExexzmcg/Nh8NpmmWUrGLOEu1yny9JUh/+7jWhhWBEFx0+WdDH6lzi12NniKeKbZHPS7MI
e97pCAxOmWBfFhS3KUN0tGm7jrcJj1GrvJyZsN8VHx3ejTgmR2Nfa4JdY7x0ijZsU2E5GLL4b5W7
fw1JZdZCAU9oB07Ao5dhK7fzgYNxBpiuf+4yx7oVaTpe6qly7vR1kj9Y9OdQ15inJ5TIL2u2DL2t
tWiQkaCRcsZ0eXm1hW3MCLBXCZgAPTIOh354nsXEDaZcwOo1UHedox7Zynjieb6aPdxkvCt0tSjg
ctg6Grl2dOyui01doSgnVupZaJSOeqlIW0py8+H92XPUQvl1ocLRbZ4nai+aKUc1d7PJGpkZHnub
0eKzM/gzH4a8XJZ7MUq2WYzvfoxFKr6g4Yyrg+jc+CZriuzb+z/k1fSyTWK0yarZEhrJtjh61kuv
56aFxCbMB8rMhGavHCGMjr1UqLdkdQWidE7O6TeessM6j55yWwpJoHz5lLMYxm/hTSyDA/EhsqYf
bdD79RGLliTmJAc/8VZiu4vOT+QJFMur50x+oI76A70q+5tXK56Rd9uZOJUhHoP4UhdrSva15vXP
SWpzhPlbdxef0MZhwTawaeu5xUeTaukdpc+2kRLr39eXeAbQ77We873sizzqPCqFJwY8Wmm3Afl4
sdRSAOYKjwds/HxITRiWYT241EdzMUbl6fX8aNKAAzVp+llb4OMWfvNqpfWyMm18DUpeIZtd5xNs
vKJTdQE0mDlyoPnUh/Nowvw54DYckxUT+/FiS1jFWI9xg6gtsXAhcGD9Sv+YdLRURCqhLpSOCy/q
+w/vaKYwKM0wThwG3mD2JscrQi9cmm/LBlDXpp8xJZnQr9XPEq3LiYf2xkCbQZeqF24OMgGO1oJ0
yYzGxDQeLrwW5IwnZICXA3oVs1j+/lAOWUUcLxjQJxLg5Zs36dOiZxwCgjlu8ujXRZVsT2nkcnnv
374jJw9vN1+rrXm5dYhohh23wsrYEYS4OClIRq4IelrlUQCdhhF2jljzi3h1k49W3cdIaDhqBYYA
MxISebPGh9EunfK6MeZy2r3/s17fbKJHHJuWGXm0dEyObnZFqmaT9wgjTDJ9dqhLi0B6iEn97a/+
/lBQS7jPXDwenqObDZ4gnas0QYPRjveumu5HqRAojfd/fxg2r3y7DKJOSCB4+UzzLLebKqWEPhi5
4OhZljs79+zAH7ryH9w8bJZ41zHGcQ+Pr0jBpxgLL4HwIJcwzdYYnac9hyhv4hPr9OtXnnxnWlIs
1LCYmE0vr4oCS4myCaESu6z8jOoz7/c8qvVcFqwx9DuSa6FV44/37+XLluo2Z9n+83HYdPis3Mdf
ppE4nhiEQRKywvl1qHPWvJmEInu+H5inaTp9XbNOnZce7R2sZ/LETvmN2UmO5hbhRsOfD8fRs+Sw
PHkt0kq+/2Nj3rp6aT7U5bY3kDTjT32eXo/GpeIZIceSXEAMQC/vsZRlg9aphaHRLbCONQrhznD/
31gLXg9E6w8jG5hmn6+gOHqYRg66e0wXCp3r/OtNoJH2j94EQuZ+oVm2cADCD15ez9DUM2miir6H
s44Ye+zlSzurkTYWf/X+RHnjitiXIx5irnBdxxNlGgYvsYyGW9fnF9u7LfXs4p+820wEdAT/n7rz
aJLc2LL0f+k9nkGLRW8gQkdqUZkbt5TQwqGBX99f8PVMs4pvHqd2M2Y0mpHMIhIRgPv1e8/5DvUo
ey4F2s93VFgWFTCKMd8lPOhIv/WzNMzqmCX957+/n78UDjaKSupAqn7OaZzDfr4Qutq0zXraHZmp
ZTsTSXD493fzLy5ysVzBY6Jv/teL9A6ZSTVBywjPq+qeJJTumzfK3Pz2rbiXUzwGXpYoLEo/30o5
1ZLJ0Cz8fDTiW/aX6ij74e/OtH99ALDTQyW44P9YKMzLf//TyZn6FuxtghNUB19uhCb3Nm6JBKZ8
9vKOCv7f39S/vBxKNEA9lCLWHxqzP10OM2wlnIVWqV5Py2MxzeteLrQqCtv5PSrZZQ2kxHIx8esc
pmGF/vLMEUizIMVnVSBDGAJ64aX1Uc05uNcydR3/39/XXx4J2g/EBoB7ISrwr2fNvMzAEl9CgjKY
MhuF81+kJjx8v3kVqkbz4rHWdZ4Hwgl//rKUNW9Hk8v46eVx6+i4hs3i/vYHx1X40Oj+XbZj9qyf
rzI02ajYbU5YGYf2aTeorjZySi+dO2pJU/6NKfkvRThXQ9TBIkTBT+n4yxs7D+Sd2rEUzDPy9Mkw
yPOGtSrvFg0puMjs+G9con/5prgeeFH0JewU1HW/XE/NMlcyYgf1cWkpo9kaw9lzs91vf1NcB7Eb
TwNS4V9rJsHRBqVdjTa4UMRyVMuZ46ArZomB4HevBACbzhf1GX0jiF8/f1voLdvGTMkg0ks55AzX
dAT6mVt6f6dDs/5SylzQ/lRmSMJQ2/D3n69E2BtZVAnvbnFZu0cvn8+pEPp7iTrh1HQGwrBpaurr
xmP4qUAcLUItxgq7XVoMIv6aINj3GZCo+LIMVTmqC65s9A4dvey+TCPNWYaroR+tV6sGfB2QF9Bd
OeQ2PSXeQu+AxufyaJs9glMp0LxtHImokEGumd4y4qbj2MfgrTGf2TLe5x2Thh3zy2cpJiMjftci
AxNvW7LRL6esx3lqxRU99c7wGd6g97WIKn+c1saNr7oeCbHPGNC4kbHurmGHwOHkQcVHImzGIovM
2rDpKwMS+VrH2S591vJJJ9Edjd4ag0W66tNOe80chXLHdQaaPr/9vdN24EhO7+7Sh/nlOb4YG+ds
IKpqiKlhO/iLDJ7+9jn+69uJlpK9lOkizBCslT9/54KPQ8UbKXzTrWknGcUsripvoIacFHGlLc36
N027X19P1JsctBBZXTgoHuLcny9Yt1NBi8hSkJHk3ffslRAPqzH+G9Htv7gKCyn9VTpkFyLPLwsp
pvR0tZB/+O1sUIqnlFmrpZT3//4r+nWz4168S7Yy/Af4On+pwkWR6kOXqOS5VUMNc6KJG1TNghNA
af/tQeNf3BInNF5QSn8K4V/LhTxrhrSucRUME9iDumRbiBlc/nO1+S0V40Nd8tfP+sM/VHX/I048
px9t3dXf/b/9qe1XffVWfnW//tBPQsf/N5SNFBB/+u4vysn/VkRebuA//+P8VrxN6Z81jX/8gX9q
Gg3rH+jiwFviyDLRmV+iRf4ZjIpw0YZXQWsBdxLP/cWs/N+aRsX7B8J0GlOUFLjgL13N/y1qhNb1
Dw08EbsXf4gTCQOa35A16pr985PK0IStgyUEbAJvufvH7/HnKrAUWZaRZ44ncHadDIRrLddTB8Fr
I3JRPyWVOk0+94BQAwEgY1Amk0lVdjepN5DN5+rlsdPb4sHuU3cz50p7kJq6kp/XaKfO0yT+2Rj2
x9rNnW+Osj9gg6z3TdMvoe1lQTXJY2tPR8su9S/dW17KsQ3kKu76tYr45ZqgrseLsUUvfHVunswe
rGPiztLXJVICrt4MeOOm6dpoZytc8GTsFa8qcLD2+Ifyhnz5hcZ/m5e+rSnfRFg/D3W+iTFBY+rT
9gvjSn9mgRsaU4lmQtsOzTQNfpKldbR6jI/HzmV43IoHKd+WxUDqklq7QSdQJzZtri+1+7jMN55R
X2FrMTerWj7MCBDjBvnhvO4aIXd91odeuyCUspGwqbkXjVPX+TJJritl8lvRwdHTzWBIbeyN+aNQ
oq4j+wLp5bVWpM+JmgfSmMkSxIScm2FsN6+4LvDs9aRhgN35UrsuecEHWIVqby27xdKQGzbaGgyy
MPZp7CDsE15AwRNhUSl3S5kbaCiT/K5qk6NZ81pT6B3hbCqRwtoVVJhGYX6pH0ZvJmFvfSaNfUhU
BcnbAwLP0Co3CCbPXl+HZTFNby2D1i2knhgRaXsl8+7Q9M9VfhCLlwPHQAJGSwa15FTvJ6LKeaJQ
RbnjUff6u0qvTs1Efpsx4usBSHazVstX63hZiIp/743zuLPq+T2ell3e5zJ0RH6YBhRQ7Vp+punw
EZsWSGCepYtNrlRlSjCcgjZrmb4Z3DIcMKv9RTdlMGn3OxVEUW0OdGGKAnSRlUVtBuwqH2lLYxZr
s+tMjSv217E4FN160knD2FbTlG5I8r1r7WLTVUCOQX7izEnzndp0V92UDr5ZyA8xaB9VbYbDsuyN
fACXYZNb5BWMYTQsAqJvyoA4rBsmqV9dat1q7fqtT8g3nBg1Ua2lX2ZrbDwdndW6eIHVAMuruvTR
NfvHHIUNtfm9qfATpVv6To/DXEfeiq/aiByR7DGnEXtQvXdDijMaK/DbaLbvaFZ/jJ6R58Gcadft
hBPLax/IWgkNiHcaIb64l3Uif/rPmORMxKi89PZ9ikaQOijNfMOo6sxXB9yBsf6RJwbhCkqL+vkS
t9nUjU0AQnGQufWmT0bUlivPjuavC/B+6Y/pzRofLfy2TteFVer6i7YTuee3nvZpL9ZBF/G2AdA+
blb0ZeNskSqI+I2XHz8pEad2We6rdmvgPcWyHdat2Cxz+6phPPYnl6wilNAopSjoDfVUFc9Gh4XA
CZFb0w4o0eDxu/PKB7l8m8xth8PfaZ5H1/5MCkLY4KY4Kj8EkK+RgRmrhu8NSPxep37SPF7PiixN
Pxer3vh2Tp9b+nAmqEP9hSyCO1ddlOUwogHATGcsqfVhAYdFH2iy6mA9rxQaOXuP9MvkVc0uuIfA
XZy8ulXtzqyuHa0p5UvdpKW2S1JTpAcPLmlZ+2gcG2cnFh2ty4A6Ij+uxYI/tpv0WA9Vhq6SJfWi
9rD72HhHgOZeq16StqGmKONtnwymElBENvs5qwEcGCvyiKDPGI35bp+5yTaRpvFc5MWs+7TVm3YL
AcP+iNVYZVBB6qoRddk4sjpn+BIN325jhOxKm5l2VMDSQGATG9kYdiMhc1GPwS/brJejStjpw+w3
Eg0rXIXeoO7nTFDfrDBDItG17jYpzPil7BCULgUvPIodFUhB7NsoJ8+CxKGCt9xa+vxHsVrFW7dq
V1VWXONuVs51VxkPkCeQchFJSVq9vdzTyTJ96uX+pW7dKpyFeDK8MgvSafiku93s0DmV11o/8uow
mGgvvktv3mGxPCiQIg5y3YCHDPo5P/bWdDZT7KK0QEqsvTaGxWHsdmOWRXFOV0mtbyakMKPnbXN8
bwhzAqURZcRKu+zilSQsLOAi3lSOUp5Hb85CqPcPacop1x/FS2ekkSca5zSN/Iuh+1rNYue4pQqC
INmVqbObmI1LAO/hnKV9S6A3xKoUHoBZw1CYwKk1gzgoSRGKdkIWyrHJoZfn67NBhxlexQba9by3
4+HJRrLQjuNKps2BbJtwyjluzyOvpC6TOzsVZ7eJN+tY3BMhrPoNB9uHeEnK07zMRqCrim/H821B
JOTeLIpj2ea9n5oz/lELs/s4iS3f5naoh8ZvFoT3RfHt5pnmG62W7hhpNaHm5QUxFgtMdseJ2sIi
ALaBzDzz7q2wJ1yRlDdTuWy0sfzGGnsy434rbDzerXrlJi+GuXSbuE6PZdfc9MhoDIScuTH4S5qB
EL5GwjxGo+s9Jcp8apr1zgZ461NfjGHblmw6NtbhJgcyuu7A/n2rS3/jEFF+XXHhcDbXbae1oFlm
5YT49Mpp+yxocw890mDX6YNnzm9iuhZ5DgkkU7ztVGqbJC0Dbz21yJyGagxHyiW2Unf8rK3+ycwy
PLIOi38/YxZQSr3fJLOBTLGqIvAjj70zH8B8rld4txk1tvHJNpaNleo3uEYT9Iogo5S5vCmtPGeM
lD2syVs19lGZDhtsi3uIlPiy1MEXTXMQc/ZyiTcmuS5QargnAifAXuuzo1ubS+TwCTROSvsGce2w
tR3WZTRfuw5Va5A2tndU8uTbMdaoMJX3osVgVvMgNVo0zQVZr4wIPFkGreQBGJYBimy6PDW63KDt
wdSs7WKnfIlFe27qZCc5HMeq4y9K9UU4czCVZVSM1GImV03r/NmwetgFvIuius6ZIPutGrsb15qr
vWHBJZD1bunmzZR47z1MQTO96cQpSXm2pPSVBS2sy2LsPXRzc1pnlfrmcTQFIzB720/P0uh2ONWL
p6GBDbBee6vqbcue3C6h7HSdiaGCSLXsArhFz6p8G0vlw8sTtv5TLUb1Ky3ro54T/9QJ35p7xs7e
dkiVx1IrRRRnjr5FOFo+NZP3rKHnuOeddP2Y8z3a9fFcW+o2LuxvOzMitaekkd7E6psmPlvlHDDe
uksTrCX0E9CgWc2zIgkZQ8IYuQtJWGA6BDV0RRuBpdBlHqzShuuUqzIDVO+9kjqn58cuvS1TK8pG
K/a7dE2COl3jGzovz5abXiHKzEOrN7c8avi/E10N8J0cR2LMYIa8zWZzbHr3yss1ZS/TpvXnrN3l
tFLXIMalh4iYFSwq2m5TZt36Y0rHip0W9bJXh7HU4sibxmhwtnHHRj6qV2avkEAE7ZPhlhSP2SR2
XrprqvnHWtq3BdiIUKnNF0++jwVsdD3ZjTUwSAgSt5jWp5Cj7CXghg6jSQMJdnu3yexLUMw0BSkw
XjPj+Vl08h/tK4K+tjE5QGFqqZKaqGwf64owJNAy5voBQMerWL2W8WTMIxmgckaA2+uYjHQlP3fV
VISyMR/ali1Ga6ybulzml1Xv1m9cAGE6TD7anISxrtFF7XDj9dPjukAwyryDs8p9YQnJMBv/ExyE
RaYheqyTUTibsbE3bTWFluwj6yLZh0aq3DL6632vTManAt13qVNhKQstfPjDlYBvVCdFIFLtWRH2
kZbHzijHfdu3gCMUjASOd3Ln5JSlHniB7Eqp3OehnAlmy66S6tYbrHeRppfN5YecCZcu3Uggic9c
tqdJtPaDBf18t9oWPmqz2COY3tl9fSQ6/qyDeWL1n7gPoQfpUEXIJe9xZl6Xk9zMyBVXmjP+zMEV
V5Nsd82FLNdxvgviDNiP5dw0LpgM0wy9pf8Yy9recXpIgq4HTW/Hu67LgsasJ7SOfHhQX2r8+vmy
09z50cBJENCcMH21zx8wfZyTEianLvbGNDxSCB6GuqwRLcLRkHI5QKGiJniWLggLNbH066ozP6xU
OUysX6Iq373KSaKhEFsi1KLeumVbebD4Q605TKjKdPgBLTo9xULBPIrh0MzDc05z0U6Hq7XRssBq
te+pTb/iWd0McfY0eMNpwIzEBDr9YXbz2cRkVcfebuFrscWuLxYqjlfhbNKWM4FJeVtnNvsrKWSF
rgUZh7uoKKpnWQ/eU7YM/Ql9xs4EUBvIYtigHb1eye5CDS4X9PmcCWNjesYI81oVphbCAL4qeuVN
gsRvq/IxkfMSQOgISFT5HHqyTQzpHLrxWupkrTjtTrZSRcQmw6kxb1wnae+lWW2ytsDODZKCF6K5
LaAwTKsjfSOdvuO15RaFXrNEINToddZVFVh9xDwhQuz/poocGflifGKhay/AHpyGc7lTcmgZeKtC
A5yuXdWjjyysRPU7lkfAYVSJ5hthEKwjnssJ31ru3dV4j9v6geO9ZpZK4IwzvYVNPwwbgCU5SYLO
xqzju2loNoiu76YsjkbdQXGeRfVgfILhxUUw39ui+dFQuBcXDXzHGakqAukevcLctH3xKOpT1ZW3
DPzlnbiARsdx15r9pcSB0fQ+rMU2nZ4HvCPnFqI55iA7e81zt41MTaBmVxJ5FyMr5qRwQ0c1+YiT
VB1ZtovkKzaG9ZyZGYZMta60PU+UUkd9NvAFU5D4CbOEfTIKD7aOqz90KOZvVG1VT3nOsyeFBB6F
UPu5rIohYKKj7nFyLGG7cHgW63rGwiZDs3HsoLMgD1PPJ5yoeYBTHciX7UzddqVHzV6hbiZPfRdm
sgBcUmNtn5eaF0hLzjv8WcUWgMSroifVowZAiQNdrL8XcyGfO0ZX26Qtx42HGXNbicb1YWh2ezMf
6huOsNqtQBq0w1Zk7cgxTvjsS2lsksQ1Ho2kwjqvJIjooLUs+h0eP9QZVL8cc4gytB4EW9mhqWhE
r0qF6t2LdZb5Asm6D7GJ1OHYzusTW0sOijdbi3C6tDm6vB/O2NK068oW04GUhLTcqFO+fKKudvBx
yHnPClTvYzT8+7GOlcOKacwmbf6iIY9pGKT6ZlG9gTmbMz/n3lrurVyff3SNM8eYJWs2AH7NO3ue
p29BPRWmCEIuUC+xA243XyMAXz5zy+PQq5ZLtNRV0QRdFbvAcjJOQTV3Vp/yDGeYVjfrtofJHTht
7G4Vnoe3eOjsrWct+TsL+QGnSBIBlFB3mJT7OWSnmr9My21+9ONoeYGOBvFhsvslmDHLngxjVhtA
IqbYjW6d7lRp6iFtaN6hFi0+vsA8WCvA34PE58B+WOLMzcRm4MM/l1WHODhWkFxrg0oTyRkt3b/0
FxuWEtu4pwkjEJ2u1hWte+d91svsQUVvsllAQmZbT22UTaOTMjxOTOPrrDFO2DnysNTUY66kOV5T
W60iQzH530xq3d86ZqO+xlYyvCSQQVhT+369Jb+SAwn6x+I9TiuKjbmDQ6pT3e4c2dsIvxZjJ82Z
Q2wJi/qzUjEZ+qk0pgQVcJ/vJVzEY4tB5oBINTtllEc/8AQv+2wwrKOSpnHrO8KzlUsokDhAeetx
XaIjIM6itSjXa2k8c36CDaKwyWClgJ1TRb1Y98gdbjWLZ6Bqvbt5qN900W5lKw5T3sbbRNNHwDwa
CJY+B0K370Xfl/7SDXQAaqd23aDA/XVs0pxlBEggR6UZ1g0K9srbuimDXQ7y44MNrg/9o4Ff2eFc
X4U23FvOHpXYeL0CO4bj9JbhvmOEme2Iu3qqki2uSxpzC6Nb3oHtBQRahEM+cNiJmalsFa6zwdSh
YQxjAOa7zvTm9vXzOHrajYIMkzqgOhbGdG4Up/L1vIBFg+vwVltX56yYzl1NVhMzudtl7sZtb6z9
sKulZP7YToNznp1elsDtu+Ee/9lrXmmXN3VKesYgGe5tQ18ax1eaNj1KVbeKqM9ZUgt3bbfNbL5b
ogfcqdF8PcfwEmd/KUr7RIWsRRXIMPYNQ69yPx17edCaWvpD3Yut3XporBF6NwgPV3qeK245vtFZ
nYOham8nlVJb1zlLUYwM40vSlEvlr0OxsvoRQekr+gw/M0UMF6yyah+VjlB17M2tdxBxm0Wp4hSn
1THHXabH+565D2ZGdTjD7XEjQxv1B8NcL6UHiO39ZGoFPUUHXl1Po4LtNW+68yzMbjOgojzpDbAj
lhANe+/ECZF3a9VoqvT9nqYMlCGOgdWgRmM8qNsWoti7Joc07C7ot8y2G+aJdeThllUSnFRyOtWD
Pt3pfcnpfoAF+OEUtYoimTqEA3MOI92O3QSwoiL3HK/kF2qZZLO6XVbwW+B1K1IrwS+ezMfV7miX
6HoyyqAZ6vhgL/WN5VoNxU8Zt7cF8IRXpukZPMtBVhVnSJO3LYuPhsaKnSEguNYdmGqDfMzrjsZi
H99qo9YH5D3bGMPrwKg50NPuMPl4QevXWsvTbdz3+hYS0fTiCaU+FQadtsIpDjprLUeb9NXQQMow
u3uxy+xGm/uHUWjfLCPBxEdJWco5XLkaW3yC5VLTrTHBBqjdD1pg/MgifvRCKyK7cKdAJ0kmqsiV
UWt8yWbFMWx4top45SkV5Uk6L3pt3tNJ0railegDC+Nmwq8Hya3elpbDLLRWdulkPXWySMJ4Nftb
+kxEGM8b8qKiTH0wVs054Xl/n1n/tIJEVQpEU56GSpG3ikIzvbOUNFoXvki/pzgZeZNcRfE1h35d
skwbILr6q1hqTLr0wYJpHZ3HtLUj0AxBPqgPC/15f3bd67mjcrC88qMw9SvVrJuACnsIB7cOTCtb
No2l1h8Wz0rDqhwaQ3Gt5mMXJVJEbmmEkzPdF7bZbzFgNncjWgxideeTzDHCrcZH19tvffbYCUCA
oo6YYxrbwnmuCyYQwyzoOfUlpsW8WULNeiMqlw8xdR4n1Tsvczn5Cg0AImoDuoirL1WNZkrW+U0/
hTW9Mbh7NyNdvrFrdnPTRNzqxmJFuIRqlb264dz8NC8O+3ppjoGQ2YE45xIK2FzScDXvHFkJ2qbt
w4TyUHhDgveUhtdqbFP1QkkrLv7fpfhKuhG+Xu/ckReY7QiFcE70G3a1G6fnXKPIQ+W4MZRK3Bga
5wIsmF+GTUG61nV1Q4P4bqbq9+2Rs7KYrHuEkYelobktU8eLehW/WTrtmOmYP4YaPGbePJEHuOFc
JMPeLb8msGVblOB9yM6UqdfQ25RHOPbVfsI/WW4NW3mhc3CEuUZAtDs9ufoQrM487/Cw3sql/myG
IQ1WMVGi1SUJixntLfV7rrRnVw5ZCK8i5onPRj+NrXTbumgX6Kg8TildczWWt7Ha5Afaz+tZSYXc
lFMMwpFotcCxnSGUnXGql/nVLoo95Fc+Obph2JPrB7rxIB1K9SBIQtu2s2kGuL0YHjHM2FtLGdQm
eFJfF1Z9rgfbQNJFmG93gagJNVQ1yScngnoEcMvnbNHLmX8swBPCavRO+bDqZwVjhQ+IbrrFO6cE
vcopFjXGZllrEumBPvjz0Ofc4eqy5xIoJItbBO5uNMf6g6NL19cyXCeDlUw7dVLtK6OKYUl43pJd
25mS+TgLoVwyWQvm/tNtO2sPsqC7X+B/vrCRz8e6Tt5XRaQv5hq7V6ITO+gKsGkVm+OJvIxHUJzH
jTxwKhIyF1Eq3DTQhiL2jRxCYup2y8n2cmVDNkFoFvVJDNV2WJsIpcvbLGnY0fZQaEkxGPOM5dxb
GjkS05fOuiyL/AcMXOxKDta9Od+tdHFY0Yjx02s1SpLBOus272kza1Fn5p96lmwqbK8aZZ4PxmVT
GPmjbPFaFxqWU41GtZYbIBgVviQAHQrnOGE8pgqsiyHpO/rR/XfWyR9r7iE4uZBlY0eDc8ymQoXh
G+BCtnqq+b2ZHSqp7jvNoqvNEp1wwk21dYTdqrQ4RrvJBw34uE7Gx+ikRyXLDlrm7LIi33qAXpy8
o6XS7ZKp9K1cyFOKCfpqIl6TjFbgEo3OUu2pYg0ZaSx+AqQJJjR6gjnjJuld1c1JImPWO7egah2s
neadKtMqd2ZT5IdcKFAB4agFdpM/LKJ8huL4zRSL212vbb2qWdovFULyA0hkOAzFHBplS6k/qfdp
hjqnVQzcxsnelOt+mcVRVNrZau1txhDLZ+p3TM3pwMaIWTTVMvUy19z0ltGEmclRxGG6keXwVVPV
OxaaHpOxbj13K/xoZEwQ5WdLOzAOeVA8SHsXuoFU5Itguh3ipzHPOXeyqbEn46SEgO1a1G3GU529
dNO37Bh2gIL1E23NqFJS66uP7deWiKbWAYNRGhoDrIqGL6HLj7VllAer4YXV4ytjXB/qNH2r1fZF
nRkrkEAcDd0STPGVHAu+VmlDFikSc5PFrgtkkncFm4NuIOwQlGeUDbGG6ZxdsdNuR3mhIPI5ZOm0
EQQv0qIKpKoeCQgsd03P6rACjQjyGodvgizErNTIgglkS6BCoPhAHPpdg+QOlUofcuwnibjUwsLS
mHSl82Emp2iblKb76OT0l6dVS0Ild7prOFofA9OOsVO2lxHnqBBsZ+siCYGoVCGBfq9gaG6z7DTl
c1QCvQzXwuQAU9QPkk/hRPYJC7hmP2g5v9+SseWtahvmGjQOPmieO2tUv231Ixvb6R3OqNxYQMiU
/AZbpON3tfCuQLPdthaoF8e4znD1MhIpn3JdGL7prVTc471CrbFbVTDi3vDW8nwBlPCmJ4OGbCYR
gS69favqMcZix+fHtvRUGWpcaH8eW/vMOq5qdyqkjEv6tr+22aNc4xrUhvFtr5uq4459E3BQiD/i
B94XqCUuk0U9viW8C8j0rB1kvN4JShBTTZg7MyKJy+/YLnAdNKlvY0PcWgNlK1vNtWSRh9m0xZQJ
UwliizfHQZWJYzyVR0OWHD9XewidvNxllbH3MID4udoVH2wocTB6ZrOplG5bp3TXu7qGUapL+jOM
8aBYVNe8Wnk41OsdZ6HAthnKiXo1w741azg5xejrzvRAB5h219DsRMIwWPuk8N+BxD5XDWf7zCk+
YYic7aJ9Nj1M4ovhwQy9YSIU4GuKco0Fue7gFy3yVFEUls/FNOw1wSAFfyjn9yF9IjNiY6zQZtJe
E3du3nxMRnHXTbxlqq3uTbun+ZgevQbBgBb/gCUA9ldrvkv4SBwx4m3PFhLgfr+Myhaa/hZwH31M
4Qto70Nu12d9AJmpdeaRLNIhLAy0DCOU7GpaXm3Q8s8pxN7tpND8c2gKhdSMu35RXmYzjwBb0qID
QIcOZArabGX+mh/M8rPIxFWP499bEnbH+QHqcOiq030NRbzV+296ncwzVcGLJZbHyc3S12GsbhYO
q1NLg7oZo3yEijC48uj2/VFvhptqfYnVNWjcEu0AuIrCuaVtt4VUvR1EGl2UMRfypDDa7azRvKud
hdW5czdGMe2LnjUJWkBYjukVbiDIVSP/4PZXXcPWDCgUucI144F9k2mbuTY+FMm6H7f9uRrVE2ZQ
30McPXS3o95RZyLpqOLh2gBYPhpP5RD7MYM/z7yvHJzzi3pI4Ef42L5FwJ7NCVAlXIUd0VV+KLJk
rqyNx86ZUP8sW80AIKt1p6wWG3bZ0B2Hbo9dFqLGTnVLikievdTd9kvysXSLj6ST7lrNsEVSiqp+
ETsPHb38HFc3YnRrY+KZY4Z4p3fyOVkkhj3iDNCUjlYiQzbI5NuIWWVjo4bTCbUMwU5b2tG6ImmK
+3jf2su500iFcrHcyzx+VpXxkGu0Vspbys1pkzElnrNCAX8NzKDyY1N56MsuwsUZNYLR7sq5weBs
0WqMDfTj0Jr7BtgK8FuDLi4ogY5fs9TbMkTPmgTWmO7ILvENGLput2410R3KDGUVCRiiKN+swnwe
neWanhvwa3r7NoraVu4qrAurJQkCQCivMP9Z5shRF/r0WbN8wXjXmZWb33NSBcXKB2U1d6qX36/W
wav6cCn0+7TC6sPQhIUd35RNHtbspX2U5TmyiHrLqBGkxqhwjnZ5shf2x6iS+ZVRyPWxozxlgUxo
uNJOMWPzYC1V5A4F51Bt/SCQfpu2+b1XrPduN+3SwWVOXnrnDMzrSapDdoUkab2ux/k46yuljvj8
k6ruXxD4fvEb/yFU0/G70ifF6Etqyy/CzcaDXAGZAykNFJTrJRfQ2cxqyD8rpy2e5TzRSE3hPJ/w
HY1UgMnS69FUMOqN/uY3ucAcAM3EdbX//M//QM13Ud4RR2e5KhlHGGh+FqqmKYU2kBlSsnWre/MK
wTet0ROEiVdW+Z0sFeWTtr37UAx1d+/2xgQWe+r6UFnt/OuPX+a3VJn/d5LL6+aruu/br68euOT/
D7pL5Oz/Z6CkDxh0eqvefhJe8if+qbvUkVA6jCAuMmJyv53/0V1q3j88LL80AdH/IjXWUWT+L90l
2krqBkz0Dr5KJM8Xsut/wyTpgPzDQ7/J9w3J4AIs9X5HdwmU9mfRLg+RhWENG5EFTcPi17z89z/Z
YSa3j9W2LxvfatcZrYLRdvk7pRT+arNgvhyYNtAuhG4QKa+VhY6I53tW5w6Me7M0ZeKooPyqtTgr
aP2SBn5OS2W4NOGnWGxGQyN9Kin1YjiRTpV7B7VHN07xO3b9I+RhtltjbeNnIFxztyOFtBfn/6Lu
PHorx9I0/V9mzwS9WcyG9nojL20IKRSi956/fh5mFhqTBVQB1atuIBIZkRmS7r0kz/nOa60pyj/F
aYXwL8dYsuxCGM1PRSlYUWJruIWzqX7S8Rd7pMRkb4lRab6OZoVlNc7eEe5opauFEHPWxJl43got
jRwCM7KSt3AOiYiXSHXVAKoIVNPyj6TLS09thvzW5glMsiT1nirOBZ8Avb9oSNL4Zi7QCc7CJU3s
RRcEAjh0sqdFAyveMAjqkzzXzbUtSEJz86aK7mRDmcfCSrRg1df5YkBWOd2a9jn5O51B1cmoXKSp
70bHbNCgiE33bsG3OIZI0lo4scjjdiA3hhNchUYQFeoSpmypwGZzsGIXR07ShFvh8UD4f01Sz7Uz
wuRLKkEbQiN/0rajSxnP0ZMV1TVxgo0Z7RR9Mr0Fnug5GUW+jkrz1NPM8Ae4950ZClZ5WCebSzsc
OklXAcZmSDYqbPaCLuVBEdXZs85CImwZ/ZW6CfKJduJ0mgsuaj/Nr8KhOfaIyAIumOCuStdRVtBI
1ziUzogvnhOFPLd+MQkuluckeqFbOTwWUa8ybYZj8d2OceIKbb7uJKWYYay7PD7rdKAOtqy3FcyI
QYYFr62AltXra9eN8wGJWmbPOUUp9IhY8X4I221ykIVHQNCYzghJdQFuMq8u9SqwiEHzm3honGER
tUOYw5Ol5rj4SkY2NKnn/LzuguJoBSyN0TJldIQYtbTvFKoLzVE5l+0quJTBU/jT6Be6ShQyPTbs
NV8EJ+5amVIGOTqH8lQ/lalRXMKqT79XdYWQB+MvmJ2SkRqirZZIjZsXvczFh7VsoK8tM/6F5rZx
u1VJg7KsNLcvxfTS6BI3oCAfWz62W6JAn3WFbDixgNCyXGjAaIuCQ01R78oIvbOKF1vkqFlz0NiC
DwHsai5CwRRH7EtHI8syeHoLyB1bcffELiM9NLAJ5J9TWSkny7NM/qsNd6DbRPj92SdRHoZCk44r
/YE0RUkfk6Km+75QogfgXgStkZprDhrMzJ3yer4ynZFpGCupy7CjObklgqWLxbUXaGDk5KicCSq1
rl1UrhdwT0AUReuOayKS3lQXlvpdRariLGI37buGgbyhQ9mXjO6NlMHIq5oM/aaxlGeG9N4xFP0F
o4w+H8m1JbFzIsEBJTiX/sAYiSLNahZKtyL1qSStjwUqbg0/HKL5rV9RahG05RVwfqSgJWH+YRJI
C2jNl1GKgpBRncm1WiOerVnKqFLSyOEEY6RDYoLgoZA3jMoOkqBt0z3ih8alniJ/nfRBOTSTpB6z
WcgcqUOnV0mhJxrttzxmX8QVGLdmGWK/ELTE6UgkQ1BTVt3LXKTrErT0s7SWw0XdCRNnDmovMmEa
vjopo9+AB0xD9dxudJGtoaFWXcYnaWeNYvmZqUu09RvAzwIPUzM15pQO5KKCEChppAejs4BXaj61
NuNcYEgnsqJYb2SlUwltKbh0d6pPZoCkaAOyJqni1MG5qRrO8xhzuhPrndzW+zzProST5nbIDbeT
o0UKJOCoPwVa0YgKn2ozfsZJTEbkhsYXIshDCsVcGyAMvSg7jbrsxDy+RHLBYF/lj70CjrFVvVTA
o2KD4D6PUceJoJIhf652xFZASi2/1ORRDFnZTO29ITR/jkRfascANPFsyq2PcNQx88JT6J/ALHvc
DquFmh/HQjlCugdVwYuGVFpjSI+0DuKuvJitTIcV6pHR8gqSMinjui7K4pXT4FhWzIIxcoZQiZPq
O0g/MGkHxftB0DTaTxTO09jeH5R0ZjmQdxlbz1CGJ4JEXUFdbr2A1qkX1SeWNEuCvB7DTWup0qeC
QMsxymymuIt66zvycMUOh1rx5CK+NxOSvdEsr40CDhuljxk6/zZvg1ZIKVUqRHlH3JhKrqEWfwuy
uq6HJJskFN1srzFgJv6IUH9u5Kilm0zKng26WHZ5O7HsGQoD5IqE3xlZPn0U2RyOrFyAdKszUkIM
zdN660cumyIYC0uEFCY5U41+1TqLiF5Nqz3GoeqMyzrsyd75QgnYn8OY1DsKqJR91sThVZ+r0m0M
pXVKpTrMpkVAWdwPnoxp1rdS9cBCGNv61Mh2UncosloEmyj5yCO9Vka7yY5xAwMCV26jROQPhkbj
4YTn2e3Hb8owzlIy7w0zG77WUuGJsK6Fssq7cLJa3BHVoyaGj7ir0Nw1AnQFOZn0tuEJybFB4J6i
6a3247zxp1S4SLO4nnPDgJTLp/vITmhptH3PJcsHjYyvKJEjdx6Nw7B0hyjs7mKknJpJZlkc8505
KKFttmLxCjxOz9AyTru+yUr69RYD0belHXKrKYOQRMYWUIhIPwVRjj31g/T+Z3ePzrKNNjcaPBLp
GX7G2vzpyDUhABsho9YkAMKDKLxPgPXsHej5BxNVdYjV6jdHgoNeivK+JxHbY9WbnFKTIng09SMc
ZRNd5CAhbhGR5gxGXgZTbL5Lc6Q5lIg+Trkl22nKekemFWDLMo41yjuog0mtiptOHg7K+95PFbai
pF5fQ4s+XavNr9Q62vWoCR/92rHqKXTktcppnAgnyQnZHCfhXUIsZorN4MRmhxCVAjcyTe7aWsib
tvBEPJRqFwSqoG1YWSlk4aerJ/UcrdPDKmYPg2aRfIsgNJPqY5/rvjDQGBxb2U9KONSWP6iTwoKk
OkpWQDSr2mUj3ccxg6ltjYvOGNdbgJvi8twlcGroPkenXjC90GL0TjYtvUWpTFZuau6Wuj7qBlGi
U9G86mmiOaTmYEJJSecGcmx9EGUlcUcVf4dPTHh9rsM5P6w5OjhjnZ5kmaGJyonP0MRFkDTdusfS
MbsGlKkwSg9xZ17TlGRNxDnScmpjo7uhSm79jMzMjfNDJRgKepCZWfUdyWubAzbFy7Mk9oRQ620Y
fWodGtvRzDd8OSowkJbCcqrmub9XfGJoxlUkWcIsvsghQIhmkui92av2izDy52FqVmEnZRbCCCFS
sx1CE8HtN6+Bl3BNOdY3I4BLrhMd2xQFUPYSNwgcaFxR7mWn5B8qWpxTJa/mNYTShbLApdNMeDMj
fV5vfZ2vyq4oG5Ku61wvz7QjNR/iTCakzZS7zwxxYDeax32DwHTrL9NsZgHzJEBz2DTOcG8bQqYE
BfU9PqO2cZiN9I1M1RHuGS486EZVOnZSpL51fwok81y3k15DPkgorWfGOD1iRIPaPH/NE26RLKXq
8IanRKxdLW7N8UWaTSEN6j40WLQFfTqsbdvNgTim1aVdqL4eJEnQwJnmBQzG6arS6Oj0qVbpe9bW
bidYBF6fpV4i4LKoTCDWpJhQnuZL4arD3D7HpsgDo/Wl9DlaTfySK+FKYGc+ayegYmEycE30U1AY
UdR+K0Kmk42dCVz8RZLjHDEDYcEHcSjwYgGmleWRtboVApZxmiKEpEQD3ybUftgLlhza9sZe7BMi
tQHSg1ZXU9GXjQ6xWZXojfVaQjR1D/QpcknIop+FhxmpT70jCVCFiZlLORl42HWdANaoE4zDOiS1
/JbNtaTuat1MBKfVQoOYqLjsPuA7zc42igKXRzaiUNobbDsyZC3RQ3axkrKAC2nhRGY3aN0Gb8XW
XfPARrHooMrSvlQQ4adGFtpxr+usNI/NWITyhaMl27TR6Nl0KhECR5QELlkDQdy14ycuVgzg7IwY
ruPCKuqDEpPjt6dHy2x3YwJ/sS6UrB+yMauHI1auxFM2RKyFtwU9XzY0GjjObYGpaZyqkt8L3t69
0kvZV460xiUAfbyHQq/tzaXUb8haRaca1sTn+ghOanSmE456PENcW8CKsxDfZgJSn5LIdHMjdrgt
96YmrG4WA7SlsJcu+PFzmQtX5LW+nEn6PlQ6Y9egLFfSrrqybcBzlZxfC9RHKYVVnj40DRI47p7M
GnyjgyYdEhI7HbWyLtk0Fm9VRQBs16Hq1MeXclZwHgl0Ug5qJd3ksInxUeiPOXoNGzvOM1F0lVeE
BKaGzcEqIstJh+nWJyqKzVoCzBWOEs5CXq7y1G0KUrUuQE/zl4nmen+htB4LYiM5YqXel0p5bwvr
wLkghCvEciDUVSBn/e++0r25Wl6mybpMS/oaDgu612aYESFrKSV47XvfxDc6LDngCc0nRpwKDZZW
9r9SsdoV+nJa10LbjWn3rqdcgNlyin51VfLQRn2SSINo9mlDU2UaCy8UEDw0nejHo3QdLGLH+6I8
hNb0W7Rq3a4jq7rIQvdIbHdJo2Jxi9TpIVubs9RAoHaj0DprPSK56Y6hId96WjvtSux/LLxVWrPR
h/OCSA5rXzUyvlczAh+ZwbgZ72uVvy2W+cF5fNopWbjXG5J/DZ0zEY8h8YfBtgmWya5oflJ0cxAd
N0iZc6QoHm5Qn8WX0FpRpwR+PcbwjnazFT2sHbEdYRqsHDCi3PzqFz4PbdlTU/K+WOh9xil5X+IO
AetE+PIavmO2/6VWpXyUxPIDxGO/tA0Ch6J3KdxdPbkqXiDBRQ92JyBw6lMI8eoIKyQuWfSTP4qT
Cn9S7Vp2wTrqL0atIo8d5fWzV7kdkzLldZOCO5WDuh+2EtpG1ElZXRUgZl6yzHeSO6opRYUOSo6q
tmnm320i+FVPuyKCHNORpfRIZvHJNGhiR+1sC8QbUDYogY2KysNkpM9lpt3xdwVUVbR30rw545t8
yqa+R4m8l5luTZS3K/89q1UjMPv8kdDmHekGnF/KIErlR5HRXSSNO83ml7mhHzEf0Own9KLL60Wx
MlTfqN168xCPeDJqIUjWdgeVtWtbLIstgt7ZyL1ooqpJlCesCuGuRZtl0hcXd9kzMhEynGnEUqM9
0O+jTNMGIE1+QJnkSqOanCxROvS1FIiJulcoRwkpsEEelfye1U71sgbFiaj2mFBLL5KtB4VcnV28
8ICzzzc20eFeI2Ua7FTj0Ml9M1fBvI56cwU52QPSvBG09h0yGK5s0a7ZZ0RYKupwEqdRQuFfvbfx
okBYyeVOlPEbxqwY6VhKbopUiNJnwboRnVHbY1rCiYuUZnKOeoEcVByVEhzoRGriEFUX9zyOZACC
+gjMrgRom7Gjivk1L8RHvWs8fG8IzLozofBPWqb562RZDwPtpQF9C1TM16IzSw3IBpaXUXGwkqqH
tVYPkkExyZh5atYLOyAdRI65jJBIeySeer+otcPeFrlQ4Me1MVU/W0CQADoQBhN3bbCuz2CSu5Xq
hxlTcpJixC2LMmhEw5cngvn7Svta1fitE7BKZLUHwsSDkhiSo2blRUnpsROJkY5YrjL6FiLdOBj5
isKJoKay3qem5UVmviOJWjgL7aWtmhNmBKw+C2c6yB5blcxN5UidQPhdJujVETErVFkzTfRuGi7j
SxvVrtVEr12lcMd2QceWXXFmNDT1xnptl03rTlrqGsjwvMJQhLOsZQ8hqoG81L2lf8hrY9825rMo
o3lYi41r8lSr3W+WFXLXHQG19SRnPpIcQms3UtmoiJEZQ03lbL5CwJvcUXjrPs149aIlemonjuJJ
nuq+FAmDrW2NfZ3YYICRf5cF9gxp/THbhHbhrfQaQzHPdLj9gIruQOSliTGeIyppKaNhgs71h3gr
djRT0+tQZfuC2Dd0BTXfY1Oia50+sjQ+52hOeml29Xx9bev8HdYMf1HNsIJxOxLRXQzCdMMo6JVa
f1zK5owYwDOI0a4r9WVewx4pUPKaFtl1lOicHLojHvBLkgrGWUNVamshIEab4WY2wsjDtvu+tCrR
6e2lXHArk1tAlLuICabtpT2DxEtd0QBZMYoP1TsI2p6wlIAMjBwrbaTsw3A6iVYnOo0OuCsLHAnn
QX6OwspF0EisCt8Gu+0MxzQYtlkmj6ZYvJvk6roJjo2O5k9bSkSSdhUNNSeFR4g9lCBtis9cKpDe
jZj6aYsw91KMAItB5F0li8fBlTr5uQqoXSYcBZexbg91ofKxxGXsAOh9DVwCNOOTEUx6t2MefM86
NL1S3KJTRIzKSFo7Y2fdizR/LkOqW98sjlGMsom6WCv+yzyf8obvmlQ0dlBW0nAxd1ReC7n4iLi3
yCVPMOt5GXBGJK2iYDCNywzhZyHX6KizdvVhqcOHLjYXxU8QildHNV2zOMjDVH3GXwUdQH4zdlpS
oaSnos4JhKWBuYHtlqv6nYZwyPaEFRahAHfGd4VtcPSzrNd+khLBXbWO00MjmhmlypYw85wzPaGu
MGvWiChXBzDNWlg7T4/a+n1SIpxPdbsIqHdARNjpiim7rOkkPDSTVr9pdNLBmpOC3jjyEi9vaATQ
allo+BM/i8DiHTpuEKQmqpk8y3OISLwLOwVxk7Ixd9FcruEuaxouI47ZrQUSCVHbBGW8Gt2ebHdd
srnsyuyRDjMA4Zc4kealKj7kFI3FZLbrVZozsipLiZnX+c9ptn9LoP2toO1fEnL/E+NNtqz6f82z
PQ5tUhJ08jeebfuSv4g2QVP+IBsK/pu8tT9ZWXisvxJOBM38Q4SzobRNJ/iPMBzouX9QbfofInpt
aeNQgbdFfNn/xbRJf5gKWaOQdISKGLL2H+WbKMaWhfT/c7X4UPCvYRyBsZVE8sb+TrNFm7I8lXQy
qGrCqtG2rfSlUrpWUQqW62bsm4ijr3qFhnbrFZleieqfSSoIJ9km4jgNdyoo90ucmSXS4KQrV4QQ
OS5RaZbQ2lNfwG9lvSm9VOsTPx3jQrPjKRf8EhN/4lBNnn6kUAWon3NjUALT6PCWq0YBLoFktTgu
UJKfKqLBEbEwuVgQO0Y82JkMvux2pGzJjrJksFhWGsYUJSdDfbUWU6wckn2RYqbV3AYlSzt+rQQB
KqzD2iNv1Y1xpIi8MAwnN1v1yxxHlPZTxfHcH3RINAw2BtqyUVxyZBVluWZ3wgdWwBoMXIVnmh29
t0oFwUCXpo5drMpjGtdNM34hs2Ra/Y2/nFkVZ+tO1U/4ow5D9BxqU/fcKhVvx2KveW0ZUh7kWWaF
aXqGw0GRCzBPc9PlCBlGYEJ1ARo5ZGJ/ocgLayTjR2ju68iYP0lmTl8rwo0/sHfUgzOm8Yw03NKp
Xa+klJNzbcl0KqH3UxxpEdqztU4ycoMofJjkGT10NOSscGmWPxUtNSSu2CXDUyl2YesqsmJeKAhr
BUfpTestoZnmnvcy44IVjUVQ1yIu9rLQIz+a07pmG5OHQzvmCYkSVilIyOY4ZXkrfFhzVk3BXJ1E
aWW2egsVCS1QSvtoSnSQ2Y0wlp9hasrdSU57IDOwfb5hNFnqT5pO9MhQrWMqbsN7Nb2UM32P+FfA
Lmx0AskGw9qqsw9LUd4ViRrQkYtJSwYxyRzKxqmREFvTauWYQOG/qXymSCSNojSAckRLvOqRQKZH
HoPE6X2eYh3PywpXcDeCNa+KijpJZBYKfZ6jjv6/VkIcVXZ40+21Z2U/xm2FFYPenxQvujQIyYGC
yPkHN+cs7HGjYNdJzbUs7lFeYzEa9dy6L4hfZ3gNWeJ4LLRvc97n0UFSczHd62EbPvbjgNPKZfSb
ZdJNIq356ljn0+Mir+Mj3VCj+YqulAp7I9F1hF+aUON4a4XwcSgyqKdBoBzUFtUc/iTJm7x+EPS1
MFJ7wjSLnkhP1mmHdTS6UNHVT7ahQljZagdeEJRSqiBRlKfpLFUyWutJFLFMdhHaHxfAVco8q47W
/haKAuEmtSZjQUpFDrCEKeib6YBqEzVzkg7g1u8bEjKCckml4TBGGmc7UajgHLOiVEEiJQ3d2phF
46lDoF87oYBFA094hWdXk+ta4xJ1REoYqi7eAeCbx9QSsaY3iFH7vUDj1JPeRWzPtCJZ3+Wkq8CK
CJs/86nMrlYipj25X1wLPsxUwYqZjh8QkFCo0RxNF0MeNUROYTw/1atFeAGHEMYfumpWbCgRoY8E
FXE6Y3lsGB0UaWUTNzv9PazmOHU4Hy6fuZyHb8gpot+NpFY/+awPCh5WbaWqUK+Be6q+msSg0XNl
tuG44pOW1217NMkt+SbRHnadoKnpKskpQ/Qc6YV+adREgn0uEYM6hrCaX1qZK5KjRIa5OCUpLek+
MpXh3lh6tgZWKhUkRGpJUzp03vUxGpGWjBihquunel7z0GOKO2b9VrgOBk1H5KwRNx90a5KrHtVP
1B8tYL5E0lj5QNteXVw0hqX2K28KlF8LlnnVsyLT6GnYM9C4NioA6JQNrYHguxoFEPzOSVgCQSdB
LeFhJ/4uuViNAF06YxxZ8DUDKBZwS10k7uZBixobFog2AlwZmK7MbqQDvpxFm7I24Oq8WZKvcLSQ
K4r0iyGinPIYKNAsAACsUmZCWtJmaQKzbUlAaMmWfKV3rfo96uX6jSpSBN9StjWHY8Sy6cBU7vy5
E1Lii/IwsykkxHVlLcaMqk6q4TLzpJN+tIkAG2coJk1zQy7XneJw7SMha98jQvOQG6XpWMgGybFM
SedAj6CPdjcu45PaJ5zN0Dupj6BqNbq+WQNq6sVq+EoGXSaeoxCsr2Tqa8RaaiynjpXQhLrxhTyb
q14gb1uSxtzLOIVUGok4Koy9QeeQsiaIK2u28TMRnbjjprYYHmWBLHg00Go0BKoSFm96yPvbd5Zm
7TJp6eNAiEfIgm7jau3eGLGpSsgPnijJFF9HXeDpKErGACdZ9di8E3HLabRY6oeoLCg9C+maUjGq
6wgkqqqoF2e1EOH/N/Lz/uVg+Lfx8fq/tgWYGOl/N0yeq/LzV/W3UXL7gr9GSeMPNPHMfSTQEq9M
3AKj2l+TJP8H/RIhp4bJHaJSDPFfg6Sq/EEoNzovQ0JDZcrbZNpVQx//3/+z/S+0WqQb/yN67z+a
JGkU+dskibfVRKu1BfIpMrHM8j/3nRixqC0h9z/JPPeucTDoHu8Ezjmrj3/PHXdnJCoDQufo0XTE
w+RR7xckgXFdF39NacFc7ONLBIldVE6gBL3H6Wh5m1v7MPiMJejH36gWPIxef5iinaZDQKAOtbvL
C/Z6m7LLneGZ/tqeNqwRfrrQd3LxIi47xgDO+DDtMMQ2eUPaA2z4yAvDcOyPril5sx9OdvQBg+Dc
B17Fnf5Rz3LzIN7rXhwkLrf9Mb4rUFzLaTjCCA/2Cwl4J/Ei3/M9EQMHzQZCP9QnPZADeJz3o+Ai
0/AEV3xVd+0h9+SvxA+9YfeCZfxRsSHR+Qko5I1rZtjKieC1xEsQQz+M7/J5cAb7HjqdJ105Bmr2
y+H+8mLZ5+P2h8VpT/m+8z6we9uG3Z7aEyDnIcP/bx/xPNhv/tNTZH/Nbn3q3cErHjAZ29lLU1OM
WJIyZB/FgLRALkeyoh2whxeMOYlr8L0N+yOxn/isbOQzbs9/Y7b4ZdnEHIF92l/tOwKKh95FQX0q
7OiyoMNOniW5fEgQlwYpI8AQTa7BWUC5N78oStyTZsPJ3MXzVyloZGyNrztp9+RG8E7Q7QZbopVx
tCNcDoUnXxPee3fgl25eJ+PWvq0+0W1ucor23Acvs7fYmgtCfWhKUC5fyl00gAYxibeGLrFbsumy
nOxef6kTFi97+F1fOZirvzW/uQ/BEORu/wtAHJ3NsUy4bIq2/2Dh1wRHogKPaz3O9vp7PGvAcYHC
JhWgyHktazLabPFZ4d3wwZ2x9Mle+xHtCQHK4j2bUry/IWt7b+d9/EO0FyOkzhbnR15/REnoKqf2
fflAlTZzbMrZpVD97DZWHcoe1keaAAxd49ThnB1fVyDJ/GLdwaTdOjBf63N8ks+Y109TMDzrxk34
sr6qFZsadq7Rstn0+Y14yC5YUK5Q4Q4hYNPkiQQ1naqMijcfFZpIWhz7o0wLoq3XwXQy9uVMtisH
FMA8FwBYls7UXtMxSNDb8FOCObU4Cok18eun4TNObe3UX7dUIhIKlwMbMkoIxQ0P8S3dpydt4IvC
O9/S/UJ7Yd9upwOvn832sXFhqNxqtplJ4jdalxCfATgpToIn4Ef/0M/FMQ6sfWj6HLUEj6ZrX+AG
w7uVMFP86vhq05UCN/ZgsgoH5SGx73QqwWZPLvjh/MZdB6OYvEq3DDHFuyssdviIRca3e7u0oRl2
6hncd3R109F+8cbIXfNjf/Bvy062bIygRyqo+HRU6GsXO9I1fBZ8XDU8waLyvLzGZHKgf/jidWG6
AEN/01g3IIDewnt6i47zt256zW8BnwWSB0du0Er4BFBoQRmRhwHo80SIvLRbzqWvOj6pCh6Ucb9f
3SsJH8cv3IpnHpvkmH5nF/0Anqx/li5eo98hDWSeODnme/5VkMu7k99v0dn6VMigs6FC5AeFsNFn
Jd2P8juBglSr3pWz/G6e6hZAGeB1sH+Je2k9m1dvdSAq3kJbOBen0aGl7Uu+7ZWHwHCkC1aBi3kb
HcUjL+5wgdPaVT6KPTF6MLI9nWTqi9ryhtoLLEO8IxXBTb3Pz3iXto61F+3HeFfdDqmnOK9ebcf2
ZXE97S7H3i/ZJf/Z6b7lE7+zRVd9Kz/fFRZzRPvMlX7vcb7w48/BLW1AXRvNlDd7+Y6535tOF9mX
nAsBXS9d7KrX9cBbQKjvUDN8GtzeM6/VHoWVQ6ujDZXg6K4BO8vfsQLI9/yiHSaXF8Sv15PkoEKv
duDklrJXSyc76+/ZXg0P/Y+m2fw2/3knCmN7FZf+ZZGc7pgHNLi+GB7hxAS7ED7WnZrT5ONCGskw
t8efVD6gZEJ6hTPeWXwdapF/EUi257cnKxjR6mpsVT1yLDuEsnBzxB2Yw/yBIi6bTs+AmlAhd1fT
mbk9xbNKxmBr15qveNFNC96Fs8R7sFSXDCpc5QF3pWsEuN3cT+XzGUjj8OjsfoQ99mn5qB9N//kC
EINyL0SA96k52b5l3zTOEiSts9wSPqLBb9zGVYLtn94TSJxyhA/2WF6+ERSyHT2h1Ss4qQfdiRdl
vjEXXwCk7ZIUyMmOz1bzgedG+B5ViAMX5VKiXkPvbrmkomC3C5bkOkZYHtnntPecl0xDtIL1wvRr
YaeMO8tF7QxxfNi6Af5zNJIcZn79s47/b3Pk/6KQZVnCRPFvUMikjD7rqv0bDPnn1/w1OwIm/iFu
1XcmvYlUf4oo9/+aHaFA/9ComxB1a7Nr/NnM+Q8QUvpDBVpjdkQBIdHmIQJd/mN2lP4gTBuJ/NYe
CHwoK//R7KhI/zQ7muY2hvLDt+6LLXBZ/jsKWWQJ8rFWwHxsKb+q7gZVZNIVzj1cc6isjCynoisV
CNNIqT5aMLkUXfQsw22EaxN/Ey2/06v8p0RYZM8NAXHxRE7drPupQUIyaMupwn4K4u+RqwZ8X5UO
qFrnYoRwlIG7XNMcEwrIrYy8sImD2gtC7k1ap7pzYiVombVdXJQ3suAui8Bmq5jRMcpIQsoo1sO4
zbLa4oM2FfWeEnu24SXbT9XT4pZDC65afx5ZbTpTAy0oPAuRORFBt1bpal/Pq8fSWtF8RoOrkjqM
vvIWzwZKMlSXXf6hm+ouK4y9aPDGo3A868sXSSUeMpGbgKkyUh56oXfxQSH54K/puNtjbTerD1VE
epwch09ipsBJtoRECRRv7dtZ39MuRyScUN5ATFMbY70VELiA9jWueOaHr0r8yngrgpSfyF1wYwU7
VeEAS6CGfhCz4iwZwk4V1B1u1luUi5cGyaqO2mr7231PaikT9xoFYOAHSVoet953gu1zB+bjbaoQ
FNMu9ZhtValNf44h6QU0FADChbOKRDzgB+9p7bNVAUsaRurhS5ukF9BsJxEf8uGhrB5ELmhsTi8N
OU1idNh+8GZs0FvtKGP/yhEhG+t3E48fsD8M3aGM2k7bkVLIIqsTNNC9kSPG0aN9FOTSkegT3uj2
7a7oJa50z0ig94JXZBpOz1hntx3PCBihE1HaVnJxSCt5TyUemXfkV4+Wv/WiZ03kV2TYVsb80pgZ
Jub0y1isp7gXX/68b3KV78bfMTDSLpVwaBLtXmq6P0h4geckH3YEy9AHyavk3cL1vPSt9ZRXM5E4
ldfIBFkkegD86S3yeC6NiSzLVzmpAytsD+PsjTwBo2mQWsNO0YTHrsEP15ZNkC5akFW5AxfkTRYc
v1k+opFiJo+8CbVgrJM3OiTfahlZdkXc9ySl37Ws+9mAMmBw1yo+lmn3Z7XyPlUbHxmTekxgZd1q
0dlZJszFpLRwO6XGRxGry4NKlstetwp0lI3xiJPAOOE7+CA3XLezpfp/zJ1Hk9zGtue/ysTscQMm
kQksZlO2HduQ7GpSG4QoivDe49O/H1o35nah6lUN32oiFNxQUqLSnDx5zt+o+1QiDjTpob1JcvDm
dZcFO4CHJnRSsLmdSSWvbktvV8rge+HzrxUGl/r7X1YitjfAzZ6pM0JCd6tgV6qCJvqkY2VhjyN1
sKL95g/u302HFHWnxHPGwVnVBppsuLSPn5uoQnOQDxp16d3i88MuoMOx7rvsl6SPv0p1S95rLmfX
ctJso+irrSPbztaBkMlMV832AjYNZIMsv4EbGOzQfAHGgcRg3DYqRWXGgw3a5TcWeE3APob6EuIK
srVsCUrL3RWl2OC3vtdBbCdVuNPj/A/p1vfpu86V961I/K3K1V0yuOBuUSypunsNSZIP18U59uDZ
CIxJMLZKEMII6ccRWAvxnwGJlO89jTPvfO5A3Abyh8rRYqboloJ0TaBk4Ah70ICIXxv9mO3FvcQF
AHcRCR74YzDL5s/7wPayUtkpev35HtDfPnXRmKcbu24LB6019ilkV7KesLa2c3SlX7wLJloP1YQs
BCgvazUO5R1uMwqpDJy/fT3+FcfIiyhX/9q1W1srvyoJDCSd1GPYiv38f4mou6FEr3kJ7Nj+RQ7h
twK1mwQfcJALCXBX3MV5qOnZLK1fZF+Unu8yf7ybw3KTOLcwZaDjJhu6L7c295LWyT/TpH5Q3fyK
QMOcgwN7/jYz/HsYl/cUR7a6G2zCUN7UAAedNvirV68Yhfu0/B1U/2PwztHwmT22onoJlqD94aMy
YFC4yFtwzogpJrDcJ8RqFSlaiBSBkPa+rQdUV/MvrhP/siPxaFr2oz8gKOKjFuN1yGVPsExQYNuU
PNNxgXNWvQ5wzrppwGVG5vBK2LrtSseFyN8E3i9QlbxsCchhuvVtYnGQIR7+Y0yLL/MPsrlYlbir
BodKNtyeBqiVyrMb293mKKuZNXgB6+XyFpnNTf7Tp/xng8y2lnhbcjLYKccbpEZ0DGXPER2CtkIA
najtBujDwvqbERQ/Lg/2nm8sR1NYlDCQY9jKXjjI0APrWn9y4ATn6rENAXpEsbEO+uCl1n3OYNHu
yxKot9C3GUIEMNkH79ovfv9Jpx+BgA8lPdfE+/v4J7u1L9D+gxbWA0Epge1ZQFz00iOr2PMXhCFY
ByzofJ2Vw6GbRduRqkw0NOEb2f8oerkrbC4LzdxA5OYijcDEVGh7W3vLk/seArQUyAGMxCupQcjQ
Hz1neg7gL88JQtlgR6B6BOKsbx1iOC5wdqk5G7PL+lVoffXMOw0xXgMdUDzbo+CnED9otTzjXLBX
iYne/TWDKuu4W/3PLnBtut8sChmoATn1Y5jIjFneCzr8vkVvPjeorPjgumTLzTbBE6m2k0UvMrmv
g7faqHYI7GEC+qyscdMP3Jbh/SA9krEM/QqBEl/6UEPWZ2tn+9wn0PU/G63nNY2Wxz1dt8di6j6P
CGVf3l3mub1M7Z3c2TZcZEIWTO3eJT6JlljbUnnCCgsxcbE3RfpdC+S2TroblBh/GL1zn9hfe3t8
1KV2o1fksI35ZzYCcyNIJPscIk9Rqy9m1TzC+tiZRndrlurTnHvCCtrUgX/Fj8yYP2y5I2GdUGom
UhuIYx5Pv1UA7u7tmaHUWj9GLbgHEbOmrwnyvQel2vVUFYmczShuAlenqtU8lWUBYFyf8J021n4y
vQe3AlyjQ5Jx5Rqxzn+ftLlJJFxkhzfTx+0BUR/WmF/n+yFEnIyU2BAEczcq/sCmdV2o+AFSETFY
PWZC3Eaasfe5QAxS7zYknk/Wo9tbrxLwLhIUOGIANf7cxulWoGoVZeifTR693+BgYL0E+JCCmYmK
POhCWe0D1W0yi5oYRARh1Ig7eZu+jv/qrOAG9tPlLXQ2QLnKEtTuubEdc3FfJpgkxTD3870dWS94
eoBG7W5M7wEy3S7VQepHEtQ5rTZulHFE6MWvvlz5hLO7GFiLsCCS02NY7GIbCflqNPgEpOrXhe7c
Ek3X1fBjzrKNMLgHpr3lKfKz1mzE21AZGvJvdmTvWpH+mrNs6f+m8MAcHoTOMxLpL8MGHaMvZmUy
+6xDGItZ0VE8RPE2Es+qkmhk5M8qD3+iygS2DjxxoraxeLoyIXOKdHw6GJ3VmIE0Oq2V+e8/5DCQ
xDxtrGx2H4mn0r7n9auNzGCqqN5F4oV3qmNWNxPfggnbvdbLK3661rUPWERH+BdDWhpcGPEEiBxS
mXDsfcHbhVWBcvyezWQSFG1ORh/VcH8Q8za/p5Ln1zTetPawyeTTxHnmyOyr6q856vtWiiddu3Hi
bFUW9b5swADW6tGr0m1OvuREPHV7e00S7P4PQGX/D2Wc/7Zp+P8hmmy2sfrvyzg75Ls+dv/mf/vf
ODJDOf9Cq4Gzrohq/67dKPEv6i8WRRv13ttjQ/xfrQbzX5id4ayMhINSRGyO77+LN5pp/Av6rCQ+
6jZqDrPGw294ZC1iEU1H3LHo/JGmcP2SqSwCQekk8JvMWhxGC1lyX+vrb12AWwIS1fZTYGXTUyzT
kRTEaR+1sIN6OQRIxZVm8jw2PRiMD1N2/Snz/j22SXKgc0lJOHaLW0qD9OPrvaYOwoys20bkKNAk
EfjQCSXmDgHulYYTBE1HaIdJmKC5pxXmGtXd9EpEOH7UvH+IQ1NUsTjcmYhZHAcE7HAsD0dA4+Bl
6M3AMMK0Y4Sgdfn3mvPv+U/cmYcBIUgJTrCUGNovk9WRF4vXABU48JTxkc604g1mKdN6ChRvbK9x
9oOkB2e60xpB//7voagQ2PZsdSujOFpbcZXsUmRa90Pqo9ObTf6t03uICfIG3Dd1iI1KimyNTLRh
F/Nc3cH5q19TbJoy0v/I3QqgfFvfMv39lV8239fLX0b+DZOCK06AlTyeQOxtzLQTQh00EOtFq21Q
RX7EAOqhzCDjqezG4I4GZ70p8nxdBpTl0A4WLUrKA901iKpwuXamhZlLpu5SxPMjZP6GvPvSUOsv
ZkVhcySl/S0b1X/Ww8Gl3XKkTbK0fMti1ZRbPe7RhwDc443mgJQYi7K+Mjmnm8ug4875BsNMmVZf
5Drp4OVw3zLnMNpzmRBQIwIOathdXoK5zLxcAlr5loUKi4FIgVgM4+M5EpiJGbx1yRi+tNReEEsu
BqCTsZ/UL1UNn3Nnoel1GKsC5qtr9tUnCIaVWstYUOcAgtRP2zIp0eArwLbA93LHKbrynWdmg7oB
aanAgJwq7OLBFieoNlsq9Q7AELWtq9GINsfavhJazh019qFgwjGeBjm7ONF9gSFL0GjegVebAVkh
xG/V1KHawxjA3sCmB1Wj1xdFXJRTRttkbErzCzCh7LuNcsUGWRekAqsgxB8m+xkGtXvTA+x+jmZN
cBl0DTIn0npwi1rbtVOHUl8hjd3YUnnK40Z/ScdpuDMjM3+4ssxn5480DuwI0cRczl+WhqbZTswf
ugX9XTXyS5Dg+GEoEe8dmWXrNk+6XTsUtMQBPVF0RL8a8zHxWQM9fNeiub62Z/+my981Xx1HAYBE
Dq69ORemiKGzTNHHlMoe/FktpPHffFPQYg2NAIMn3bp3vDK/H0HRrglr1ac6rdvN5ZGPs1sO8Twy
xsHkcYZFGWAxMtrgrQyDyH/DRO4ho1LwRWnR3xXKY7fQ9Ot/Mh26Tf7fkAXftbH+V0aJJoc7UP+f
/30SwhkNgDgWwqbJXS4Xp8zu89iy0Jp9cxPkXt1cUUaFUkCjG7BlURbARBGHv3JxzCWTxeTS2VGW
or7gGCd+smCj+aTcdQ4eIPFHRBeBUVgUOk2R5d9U4KrtKLI3TB6mvd3Bjbg8wSeBhQc88cTkH2p/
3JLHSxsZE3SnsCB++UiwWDL5I8BFApIZHcrLI81g+ZMf6pqYntsOhuc8DY+HKgXlhMQO3YPWVS06
KiX2BH5m9D+6sg1uEN1/UL2jboy+/OG40/jiQcsGe2iDcla/Oh3JG4mj8bMVotaL/MeNVorv5FVq
N2kmPlsmbYcxyTQ4M5Qd8bV7xPW6XBvQB9eRtM1NHnrVvd1abxMc6G2B/suKN5nYghNW92Gdg4p0
quJ+Mmh7mJPcCtU+lwn8qjwFxtDnYfrnmOOU0OiAXfOq96mAoojtVsCmDAHpURmjfuXknZkzxRuK
1x1JpKmWlZZa2YPVFYM6ZHblYgudlNs0BS0JUXm6m6STrzqw/VcGPbMjqcjSadQt7hyut+OFimxf
L6xCuge8ziU6dcgyG4pKekosvc3HEb2DqUSBAxTck1f27ZUDcWZLOoQaUihekoZlLk5hY+M/0CQx
+ySwkKPHmOy5sNCAT/P8Sma4FOubwwv0WBIEtD35873S8uGtWIUYfqOX6R6AYGfPTguYzQotfVNL
1FvMAApbrKp+3cNuWsddjqBJA+Tm8rlYdF3fY5wzl59IlZXUwQkeT/eQ1n0PSV07JGCjN1Wj8oe0
gCQZV0CEPFRR7swpsR7MMcS2b2jcHWxtBHb0Mrjycj0TbFl0qC5c4JSV3MW6h3EnBlST1WGo0fIS
pKa8QPP8kX4VPre6sb38w8/sbee9bEFmyWPdWSQL0diLLsss51CFA4xsC0+KyMn1B/Qq5T6JRvOx
d+XPy2OeXLD8LMErjMtMJxAt86g+6atJUNM7IIEJpxJOUTXEzpVL6/1UHod0YJgulwgQUZ1ttby1
VIducdOHb7lWoFU7lcAlY2u87XspP+OIVKNd5g53flpyn1V1ONt9aHdF6DaPadmKbaf1xbWtPu+i
xTcJMh9XgiYwuGsWuyzRs6wx85rUokUtSBp4kMHImDZG7CU3jT3q+8BCyMgLsQ0rQ6e/q/sZDtcE
45VlP7PfoUtxCTjCnRtdy5Q5z40k9fM8fFOZFRCyg+bGzYvuiWer9wfW6902HOBt53QfKNml8V3W
wWIus6DZX94Mp2mNSe0XIC89djaFs2hmRIOlw/Arwzeblne+wcXT+Ip/HE9hBJhwXZoTPmipqR+8
NTBnrSsXonkaZwUPUgGmwxZMA+//o7RKDHnpdy5IQ/g56AgUJrLrOX4HjgC4S3ba32C30r2VYYKo
RDyBHPDcEqYOTmuRJ4aHFpXEP2zpFk+xMP0viNV1UJOSCgtN7sIOx6nnsHbARMkAFUIs61YdbrQ3
JQYnYN9tYx+5aMBnse6itVJhSmvE8spVchpSBFhk2yFXpxDsLk+CARdrpEGQ4jXmgYStEnMPokBu
ciQN9vWA1MLlJT093zysSVRnbh6P8JOnKrqANeIpLCmiwzTboVlbWiCu3FCnzzEYLpQU6NAa88tS
LQ6TLLGVpXGXv40SKX2/xBk4pVMLa20ADjJCkJoGfJ/MTHuCWefvy7D+2YcmQMg4CW+hjyW7zKnD
A1Bu78q3nd6evNCVOZeceP2cZFmIlmlNisENSATf2iCKj/dBRTEc847iymSfnh9w6+TJ5AmMBnfy
eP9WVlsMZm5mbxPiDs99lRc/WkggKyctetTSnPDFMNGzCN1JXYuwp9EMihclFwRLoWhSaT4eunds
NIvNOnkD9WB+8W0ChKXoLemNHM3V0Oc/Ig/xAjLH/GeDb9hGOSh6+LVxrWd+usHnx9rM3CSWAJ6a
N+SHDAJScSA6YWdvmjEr+HXveh7gXTLkqGra1Vem/D35OQ7j80uMUh+IC+oO+uLStM00iTIzzd5C
axreGhuzBew1mvvGghBnO6p7KQ2Ug7q0wvzBjKitUIxe6VFpPigEMG90z+ZlE/A6zoJUuwsL/HPj
qLfQOgv9T/VsHAKJDdhL6oybKPV0MB7tcG/JonopSgRTL5/X0xyAKM7U2UjW0jhYvuT9PNE9A6b5
Wz30ydc6QuRKF0jldGUFYJMWNl32yLmWcR33L+eMi6qBTeOPeeRPdzGJqDE5YeAl0RuXZfzsJYa6
m61V95H9hyN/VHpWbVMtGu8jnKgfowxJzMu/+jRK0TelSAjQ7r32u9i9dWPqyE+myRv3Y7MRIzje
Pii6K3N7GgkYxZ4pzbMEtFq+ncdUR8GkVPGbQIGfutzQ3cdRoWhxyurKnX52KDJXHeQIq6kvI0Eg
FSpaSfKWQExaITQLnDWyXiP0ha+MdCa3krzNhbAN4i9Zu3V84NxQk5o9xujn+T5qn9QGAOiV9Y2C
5LZyYmTR2rr9pikwK2ODiXIbD+gvtD0GulLgaJ25/ZUn9OlqSsg2RAEH/WSKXnOY/BACQrQ7K+TM
+SIPmG5KDQ9ilnbtoX56UiQ1LyzfQIjy85fIIGV4xlgYfYodfBE+dKqj2+dgd1nnQXrjitbeYKTV
X9moJ+sK6oG+hSupnQsKnMt1ZVMlE9oOb5qy/m5tkF1djQYuAmDN58tH4vQpxlAWvcL55Qeebtm+
0HXfaQBdTW9tmoTbQbrdlmoq5W8f7RAfEWGUgRrEc62hfcjaCV5TL9Lbyx9xspLO+0XGoUSXwjz5
BnPOSx1PmG+9MjHmU5BQ4ow+/+VRTlaSTg0t6Rn/S6uG9sjxfqEMVGYozhZvnVmFtxr+OA/6gAwP
EN9p50cODq6QhK6cm+N7igyTRhPzSld2rh/ry+mNDdFXrePWr74tH4w2esHOokdRzDiEWfrr8g80
j+fxn8Ec3YDwBnqHXGz+mA8nYhRjk0LhbF/TyUYhWzU2VpyIvO6lCzasyd1xnzgNZm4O8QFtLvGE
RmG2RQjNvuWS6WYTOR+eqQcBJsOREjVsCEApHvOpE8Y4H4/dZ0Ml7pq3U7R3sDNCHKoG01vXw5W7
QhzfFfwWxyKT4manIkJj2V3Em5AjB95gag9joaV3qRZrCAHhv+NBxl05ZWhu3RGMnIXFxDb3qZJA
169p+tMSAXSpDo0yw60uAOBnTtRtHckdCt06PuizvmZb9tUjW9oBWIhfZFP38RdtNopxylJhc+xB
WFehdk8P49cQucMewzLrzYxUuaY2Hv3luDN7qRnKnELX7AMiGu/e8WdCfGAbW6QCih2CV2ojkRK+
so9PVpmZsW3alzMCiMlZBIcEAvOIRU176Oso2EaygWjdM9TlzbTItecFIMtj0/Ke1mnkvIORPmwm
HHtStxGefhg7x+T3jy5WlpnYtF3efZvGdzhhCK+sAhyOZQcQvmYMSXsQPjV5fzzUCCrsqlZiPmEh
jnX5607nQFAmJo9g4woe/YvY73haNaay5+NcPCUFahtrGl7ulcP7fmD+k/X9Mwe0nJV0af+Qvyym
OosCvEFaWz84PeD0kWx0I7oWFdVEJE9kO/xWA2uorWXhcM28oKVpAi+ctBFLYuDkOHa0co2v7mxP
bMePtBn6KzNx/JidP5HyGVV624Zdi5TI4pyIAMX40NGMQwwud8PLDMZ7iDoJ/0W3tttswLkXP5hW
8386Ncfk8jocX1T/jE4yRWOMxvfcezqOOAWIX4QMfPOQOEN01yqI3qFPjTINpubKYpxEUtoz5Kxg
IKmNGjx7jofymmJCtiqzDjwm0p1oDW9DGgswuUDRPSUtvzKxi8b++2/jCU0SZ/EnBZzFgBZdXyCe
DDj6nvg+Ih5wq1cW6ipGjTMaVQRs3tNpbuxb8CVmoYMq9XZTG8fPcQxK8/JMn/v51BQU5GeSSi7K
45+PHKsWMjnWIezxbKQAbq8GHkBY2TWojLUquzLemZVlx1P+VvQUeSzMJ/Dj8c+ayo9LZR0I8N49
eSF7KB+MR6H09NpMHz9o/5lp2viUI+k2kc0tjpmNj2vagWk8tHU+M6IDF0yN9iJ7H6ce0avHQC/g
IWIxgCZmYtyUbmVCyBUjhZrqK3qKdAp/WPs6d7qtZhspQqrGtQvp7DdyxgzDAu4B7OR4PiSincXk
CePQA8r/LKxs+NSj1rEdi9bfoTqW7dIIRZ68m6Lnyys/z/RxELKJwhIIDBx3+jiLldB4MQGFdQ1i
nWnu+tjsdxWmu7e/PQoFDDDiFnQnCgvzfviw3raaRDyFmjg4iB2j1kIBFZfh+MpSn/kts0MPYA36
yJIG2/EoCr0QF+EGHFipVW4Ryfxaie5aHfjM1gW3LJ0ZO6zPdfXjQQytyg2nH+2DIQN5i8sAPDw0
Ne4lXJKX3581RwCyeQdng0g8HmqMgQRZE0M1WeDhYkGrMsPL7cqNf2bvUbNlXdh9NCuXnQqeXoEE
9y0OIYnOfvIVFMU8sl/6sY/vx7wYHnJ0wfdWBer08u8DVcwvWOw+KYVDVk5BEczFYt9HyNRE2HqJ
g9EObrDVAfl5W7RM/T9xGCDZQp0fP0bNKKL7MOyi1wrW0mcqV+WdTEPnL1Li8hNS0+6bgZJShhqy
4f2pZbX2gqlE8YQgNRwnLVO7Ruj01CMM6711lkTTj3QMIqhsth7/OTVjZmwlYkUIl8aSugDd2uLB
nUx/Z5WIZ66t3sD2JSqc6k+wkZQgYXQ491nn2FtIV/BZHZvn6Nh6RbBppgJdBbdq7L+8EOcDt+wq
a4WtBxRv325G6wFlHFS1MkqZGB62Rb41VC3Le+TrjGQdoiL/p7A69VMTTWFvh2nA8CpKkVCK8R3H
bieYbUqRQfliibbA4ETl3jPawp+CfGYfNdaY6bfY1aMsQIt4VYRF3W9JGHsUBCafknGEIUWxgewU
3bt23KMh74bdtJaZ0TzEpYdsSkmxHF9UPVPfx55H5KqtTLgiWWgA/hktcmUv6WpM45PBqlGNspLH
kkxsX1Q9KUxZox+1apVdvTUxEuQrUJN2sOtLkOBrGxfiPycMc/YN7TH/NuvRslp51mj9RCCMYhdp
HcG3ztDnoYUX7pICn+5ZKWZAJwI9LmjtMkesy54CPbwx9db70jH9UMnirEPiQpO/3DbBhxn+3tP8
RLklqhrpbednyG17qYOrRVrkqD1qnQnlXHrtq5lEQ4aap2xeC7TL431jNO03Z3DsG/gbtrGyrUr9
jINkerCGuqTLXCi4HUYedSjKNFlM2h6OwWNpgMRZtZqNzH0hcIMX3VTQjhbZ+FylzV6NgzBv8JyM
SaBaD+xnOlTjt67UcHTRU9+4S3CSwwUjt2ftqsifFXrQdf5ush95IxsoaE2pYZcAYCvo+9hb1r/6
fKCeZmBq3Kx0fbLenKJCXzSY0FKrolA8YPWE/2I3RthYoh3lPJlN4a11QwXfjDS1GrQXO7nzmyxq
4W3WOOHm05T/unzSj1/H73cwNz1QALpnMJDeUQQf4r82dQg3qhlGx93yil408Da3HDQPCd4aIB24
rm2biXB3edgzKTYEEy59ih3CAW6yuBESVRdD4NneQTq9/anE5fgN7TQzXnV29atE2hwUSBttfRp5
m6Jv8SDELfTGT03x4mCughpRAQih5O3HkXTu4twKr9yMy5mhl0gUV3QuheT2Xb41sIw00auLm0OM
d98jrluwBLtIrcVU+2s3FsZn0pFrBedzg6J7SDzWqSNS3Tu+WCDnAMJq045sV0XryMQMPcdyYKsH
29HdqS77eXkdlmF+/pFUBelRzouA4NbxeF1htuOgld0BRvG+cnjZDxFONQidVTdAga5caObydc9w
88Nt7kVS9qSweDxcKTI5Wp3dHfqp63di9ktMQLM+BXnY3UTcDHCSayi+Ljr2TYrMYsAbb+1VlrmO
igj5QlrXaxUk7pYPL1GsRQFYQ7RsG4RR/Qk/m3Ez4T575TY8syiAFubs5b2ptoQtiKSu3cAOe6xk
R7nrcL99NgITczAtM27MsvW2QW9dw/adWRkYBhaGcFz8qF4uUgwqL33SlFl/cEtsIEfM5m86EH4r
UKdISDddeiXxPzPejCEk45zRL0pfZE9dnDS1hZz5wffl5zAyS3qg0Cjiwr3zMV67Mtr89R/TCzaC
A/WeAtT8iueJd7wR0JEPeipUw6GutBYVNYTQpIszwG/vbn4PxSSyd4p/78WmD8Gts4BlxwMsMfiv
/bpDv/Ku6eVnroPmnif6tcN7ZgopwbFWUKUNYG2L3U26pis/NIfDFEGEBGcybG1A0Lh8FD8pPOVX
TtOZOaRIBp6GLI3C3xK9mA9d33tThsK/Mxs4lQJnOuUbr789hzPvjN9FNWRuoB+vVAb3zctSezzo
DZoaSfvsmt3f/jj8rYYu214e673/tNgWQHstwhFdZZRjF68RP3DUUIAZOaQK4rUZ42bdIQG4xYNA
7EdVBDc9GReScV1423UhvKRs1oEMMmRWkhB/cN3GjZcc4fJ3LV8WFNwQkOCBSnmevfoe1j7sI0xE
tCobjfag+V23K5zI2jSa7tzoOVf+5aFOyg/zWDhTzlgpXafzuDiHtOTsEKHT9tDOSpFAtbWveDah
SVnIYmvVOVAFawAB6qJZjS/leDeIuth7U5FAzcXF7n/yOcQFKvW0geiBHi9/guwk8ghBRz1AK28n
k6sXgEb/CM19WI0Ttae6yy2g9yD1MLcRm7Sdyk1rZDVusFl/BTJ1Uup+nx18VucdPycPi9kpujz1
VaNRHgZffa93MCzsgVTWBYawkSaMX4FixR7xWkRx0rB7RDTW3ZcO/ujeiH1mVVRbNTXp3qWDu3a0
2Hyqp8TZ2oWtPbZ1NtsGmekuMamnAfwbsFdB/rNJ8v4KQGj+0OOdjlcsdQWL1bZp9Swu3tbFnVkD
BHowkyla57lrPeIRx02CXsLKCVxvndBCQENMHC6vqHVuM0PLmOMUdwv1wOMV1Tur4obOuwOho9jw
rpu+AkolPR6U/sXqIndTV1gX93Y5Ylw+xPsxdb+HkWe+tFNRvOV2pLYaKeFa+Hq4x+wea8fYsLdV
T6vbsTTURluXnWuLetNWGNfLsvOgLCOBNrlB/uokaMamHDa6TiFSW0HV3hsgDleWQia/kEiYQbFL
njXThHdV4yV/eQJOw6YAkGXS0Kf/ZVlLMEkcNMBl+3A82M4Y7SYrx5QrCe0r63s6y4KAQYF0JiqQ
Yy0gK2OV6z1WQdPBt/N2ja2OQkrSzaAX99qVkHHmB6E/CCKCNt6cwi/a62jc8GJudP3QguNE1rQr
d4mTelfu0nM/yCYbnsHahGd7vvw+xECfpiwv8dg4AHhBXgnWE+LZ7rOTGu328gKdXqPgo0HfKslC
0UFbnPHYUhX9j5Lqe2fc6LFRrqWRvmDGeCcp/l2ZvNNzSGvbABAGDJMC30lop7JrVCjOH2KJJCEu
Wvo6hdj6STeo73lNpN+MuZ6/Jfg7XJnQMz8TOB4YauCRNNaXEzppVcsbPrAOGOyqr9De/4SVrf/U
QrfduEr1VyL5mfUjKQFoTKeVwr2zSE5qWPVN4Y/WQU91Y6NXodqHTg1TXJPt6+UFZEecRDdB2gXH
TrArZhX4481iyMGvxshThwDFoLosMmcbVo3/0OQUq+CDCPUVX8IaiUJcBL/kDaiRTW90sbOeepnd
uaYHpjzHpAyrQUHSyxvIRskmdRJ97eJeGPCu16PvlGv910pB0LiphVEZG0vwfl1HboH5TzsbFJdY
i2EmgH2mhd5E3iOjI7M+2gqNtIJLVGDW7lStuFN9rD4Df+TuMgt3VdNpPKATAUwRB3CqvaSqQNK1
mXuef0YEuMH/NgxsqCpl97nAUhKBoJ6JX5nUpeqNnALzm8zxvb9Vw2h8C0T5ubeHuFqhGB0hn5Zq
yfdIxFG7d6AaIFjHVZrg4zOCoS9Cvs2fxWzRHLUq5NYahCoLxXO41ZsXOwKKT80F78sb5MXjry2J
+k/a0dpzP6R48ziq8F7HEXsU3u86hrslgK071J1Jp4Kg80iF9RRNStxRwVsC7nfRdcEuhysHi9JV
mbsFXYbQRvrNiCm5rmPZDy9jiRLx2p7CYq7hoBzYJjhxZHEefzfaUftBdKAABw2sIJ4mEj+7ibhv
FhL9RzuP8b5yzSj9A3wQtZi57ok37Thp3xEKCb5WaCpDapOhieAaNyeIoGqqXynf9iDfgU590TEU
um80P9lXo998qXVn+gMtpr7a10FmILyXiGp2Fe4nuXeAekbYrY7NsJU1tMzXbApL78lGqQdbLX8I
HrWok9GVR82ZWAJ3BjwFfVoSlWU/w6D2XMCgmQ44iKwbJbH+jWNn1wSWths5ZyhwJVgS6tGVo316
AdhU72dULSwmnZf88WlDSClPhkBzD+UA3nTUY0mOeJUbcRqvZrorhde5Iwq0bXGmCzF5Wpc32oH0
rLkTrqz3Zp9ra8fGXSS10Ze+HEVOAxbjkf9C85wfcGJx4fS5F6jQ6bRD4YBb9vIQAZTaeqwhGe4u
j3Qm52Yo2l0Qntz5KlgMZXiQQ4dKaYewVsF94BrT1qCiudFVQ2untLSNH7n+56gJm6dGNNkvv/DT
jWvPNo6y0K7R0o7RlqjVkRYC/8G9nMthph8eryedvpY0wdQO1YR2dxOU4XM9+1/BCVCr0vLKHUc/
WE1o499VsqDIye5eNxMGBJcn5tzGAvjJLcwrk77NIokxMJEKfdP333pNizetmChUeq13ZZQzC80d
zKMHBBBMiCUNjCp1FSKYLg9mEMDvsZJgiz+luZdFM9z89g+SUgkdBhjMixPCn2dLrGq81j1ECR5q
pp/FmyIAdH55lAW46n0B5VxGkSDm6G7O3PWPuVLq9rHTxTB6BCp0eLQipTOkab0jBKOj7tK4QOfI
3E4+Lno14kEbGYzalfbhAvf//hEzYkTMYHAyNmkef0SEq3Zs+VXw5gUdWP5aYX3MK2fEnyQUuQ94
Yb4mTS/FBtlti1dMIlVxxylwXk2sf65B0+cgdPzgmYku0E4g6Jszt+r4c8q41H0vyCE1qmoy1/Cr
/HJnTgVyPoHmhda2SNpGv6tLH5vzy+txOjToAe5y/EhmQvqSGo8NOWajxM0D4oPtJqRntQaq7q7r
OMXCyfp7mEXfLg85V0WOfy1CA+4sDwCDgqtg8byLtFaXWFd6hOTR+jsBCjwzG+ryEIhEA8HglZ1F
C8HFRFLaoRmvc/wzoisR9PT4Ql8GuwjyFQAjgMnjKZd564ZhY0IP1gUSsk1U3wkN9sHln3qmaHM8
zKJCNEmAJ1HKMKVb0KnCqnelCB33qjSNZ6Wl+BEPTvWaJuBgzQ4HSV4sWILFYfBYVBLiXzuWT2MZ
OVeeYAvs6nwCiKRcjTSdTe6r5SK0tWfgmqprB82USPoKkXwSOt0XRA2LB8RkcN+GkoQyWYoTNo4w
FHSn4Q/NLAe4yFG0Mfzev/L4PDdZlL3nOAfKU6cnfrwmVel6k98NM8XF6pElLP2tN+e5WjJG63rs
aLlkRrdvnP5vEMTuUyF6iTxmRMwfUKIS2O+sGtfpfzsw8n577wJx57oEr+PPyj3flHSYaAN1Vr+a
5QLxW6j6K6fivb6/OBa8HOdkhYcBIJNFEAhS2I1DWMAj0NLoq4bt8S8zNItxG5ZGgqpYYETrgFby
xm8t5N8iL2v3lh6ho1MEVuSuTFG7zy7t3hcNtAhGSEWIqUM06OG28QZ1pdp07nMRGmBi4LdQrbYX
cdwIPCWz2InesFpyHqeJ9pw2xv4j0R0lhQmAjKW0Gjs2D1H1kYQhGLv0DvmieBVLUe/yEvdRXcJh
tltc7N0JgbXVAFDhykE/t6uoOaP6QTdNl2BBj5dvVJS6AnNwDsU4VSstQa60TszyUUCp/4EJU/cT
j2HxPfeTZlMbDbm7XQ8AQGE7zloZkHXtnDoO9aLfg6rPZ5CAC5CKthXlLnVCupqiVhPR4B6aGCql
nfXZBhMktMSxYryyhxdkjX/GIol7r9RK9AcXyxVqVhm47eQd0GVKb7HKQmxf1P0aHoXclm2TrqMc
b0rMOad97dvpvk08/wncQA9jWTp7S2U9fpmVttI7WIJ1FgR3KdWIz2VrjquEDOYVucBmb7sICeoe
4uSl70RbV+HX5/tpcrgcWE/DN60yC21gXC8AYSwr78V/UXcmzXEj6Rn+KxO+YwL7crAPKFQVSbGK
pDZKuiAoiUIise/Lr/cDTY+HBZZZIfti93SEekY9SiKRyPzy/d6lF4WKfUrymECeuBoc4d5oRfH0
9iDLnJx+kQvRawnYgHcOtXQ1Z6YZaqMyqMmjGDGEF1FmBeCeXVBr7nSpzH59KEL+oS3CMmATgIR7
ukp1GRNME4XJY6mJxS5c1QOFePvbOivarcq3caVQU90SvVMHijGqN044YhhpdBqmnKj1IgIO75Ba
als3swlAiGS0bQwv3Fu0xz5EKlHab0/O7zvGanbA+6GneRBvIeWvviugWwK58lk+Ujbi81WFcfol
G8dK972hH5KFblLdwa0oH62Oo9hXvSS97usGhzthTh3iHrPclWMhbsm+JqJ1cELh55bM3rOPjCCg
1px87kXoPQxZmRwIXOQlzBOgxTbXS/EeXQUmciKpMMbXOyO8lV5YZRuNmPEIeVUTP4FvZvjnRzHL
pAV015hjO/CyeNw4/BE3GFhlhFt5ffahNt0Ku/Z2IsbTbscuBTXX0U3x8WoKjIe+vcu1tPuqVlEO
1SZt+0sKtuUetZ5OSjD2f0ijSyF+ugDwm1ZSjkX5SCyn2HlWVgclqNT3ISnElrH/lIW/kOeWjhx7
IhxKaOWn4ymhTj8MA0iEP7YdGFUZE9Zr0jwxa2+rT+N44SJ+pvCnpbk0AFFWsAOt2evFqDgzqcot
zh2NDnAzud6j6JzpY0+YG6mqNPwPCPoR/mZpqkD5UWO8e/oct+wLNe+SfrOaa0wWubhB4IJpASRx
+uz8iZbXVkr/CLBSX+eman4s3AHn3aG8sREP3VB/WPfIBsj+daMflYC7HXvw19Wurq9nssm26sSn
5o3aQM1cNHtgUbmVw/yNW092wT3o1TYEwZHjATYCdzPCIVc3cBdi+ZjKFg+EjOoxBt4ip2vI/qqI
F8uzf1mONL9tvX4UZN/G+NKs/ut/vBnY+X/QPA3KxItdK3hqn/72nIM0TEcCOP/9366e4jZ+aZ/2
+9//yz/N0f6OOnexUT31UFPwUEPdhAvKwqzmmHkRnqSrf6clj2x/4eWiAlgulv80wCe7kx7o77YR
DgJwpP/EQu10hVqsSaQeAPwYVyCRQTt3ukJntzaUwRXOFsH5gLcqabb7OHE9PC9iDFoj3SsODl2y
57FJ2jt7rCN54epyuur++RPQAqNq8EBaVsCZjqlPUVfEuEV5kezqimwWEzBxqyfhhbvI6Vn+j5G4
gtJFhWfF/K16NBZyiTBTB3ubaSTuqNSOgciJxHjx5u//sZO+NNR5PaPMKXIAlEcgSNw8T2dUAI+T
RWmamDIn6l1dTGqzqZC4N2w0rWruULO2V4TpKkd77KzHfiz0S8Su07v28qAcF9gPYXCDSg+1/emP
4Dl4nUuJzQuBVA3dvMY+pFPoBWPaZPvRxkLcgEt6qfL7vbH+62RZhrXVReUFcwCiBz/Calg9C6tU
ra2tmpdYuxciFuq1YqZGiyEcgP6yjdXRdVtrw7wRXpWTHKdaEwbRZVLcRa1ifipnlTQueDDWbV7a
qUURaFdPSdyCR6RFhGGerD3jXaXNMPxKUpcnf5xz3SJSZYYDicJ1tnEdXUzk+Um1FjqVMD+qbpGN
+9gadUKrHGh/PxGXKEB2ZBCQEK4N4SdhxPILL0u+d1KDRNakSvrdBBWsvcqkZqYbu/Ls99Hkxd9m
Z7Tsh9YSafbJZMek8W1xc75yO8X+GpFEZh6N1BPdJ3rJWIoUcu53bp5opNHas9H4apv1jw7ug/lW
G02vPIZdip7bdvJmM8WO/EQic6ftPTM1Td8ehIfffw1Ni2ok7J7sSmo/jMgigsnOBuNd0ccjlimj
ZxMpa6IF31Rqr5UbU+udA22NZtoimUUc5UgRkkolW+IPpJum5B2wKIxdLrExD8oyUeD3UZFkAXGa
Opm4xVBB2C1KeKj17FZbGz6k3HDOZaReOzR6wAyIY0nDzjq6Ih4/AshCmNWyhVwJ2OLibZRBla01
uMgZWi86Te4SLaDHmhnMnib3apyEGh628zRubD6Ubj+k5TOHpvZhTihV/X6UA5wGrL5/VV5sCh/S
yxiTOJ7093ndfy9kPFU+Fotm59euJcikd8fqR9iGRDkgM7yqlaF3tiGMYOJjSb70Gtv7Uke9eB7q
OGt8Ayym9R13Nr6kRl/tyyaFimoq7rssmZz+ncSA/2tVKum9XhlF6ceNbt7knefMKLIM/TCOnhv6
86x5Dz3FVh3YsOMKXxsjfRcl+CcFhe4027CdKnsz5KqJWbRrDsdRE8SMmtmYa4FXdHFMT0oRn8uk
Fw9lmqTKlqrV666i0IUBmDZY8RMxP8rPGZIjujRR7CSYn3ViiZyb4fRBQZHhfOslowQ2wJrhfex4
pAHRkuAELxpSOpuxVvqNPtEsCDpIO6T+dMo8Y9dc2MWVOaTRd7OfbNPPvVSWvo52yt60/dKN8gr5
o3QKUnkMXHGybWn1oGZ6ZivGnTSGNtxMObLFbTI2eOeYeTtu4iyc30/dVHx121n/EbUFMMFYKeHD
VAAziUTiEalZZfSp6sjm8OWgNc9O4eb3OHmbKo7NjXyYYq2NtjJU0zrQ40w2O6LQrc8gaNm3Wh/z
X14O5x2ybNp/a2Y3/K5F6lixuWgIKawht8nCMpNMvSq5qYZ3+HTTkqGhB00Jmhh3A0m2BT4Klobf
CN0tvKTrIuE7gfnp3du9JdoA03HtMcxCUhG0nMhkn/sZ2QRNnOtHtZUG9nluq3VB0uGm4tuVQny0
0DtejIGoQN/FagETXR90x9z0GEN8rZBzC79P2/zJigquKbpoC7nLsw7A1zMU3dgVvU5mUSfdWg9i
Wi/0Xjosj/05b4gsqpU5je6MxfAPD80MEYftlgNX6d4ohc9NMocErXMQ7Re6PVgV3w4ejVolSBvV
csE2oMY6m0vvjk9jVytOkBTccrbqWPJkrWMos0/dEEXbStbGEMByU8UNEdT4ipWDNPIAcD1/ciMz
u59ZvcIPK6HTHK6L+Q54H8Pt1O3DH0Da0tzxuXVf00hRP1aKlYZ8Ea5DWI7lwGivVX0Ac5OlFgXY
LNaIDHI0iziM1YmHi3VufURu0TpXeWHIGlsXty9uhq5lZdLItT913BqlX6o5TvSh3STahVPt9LYE
jkHXS+dijjwb3Yy7NkyHojPKLk+tLbHA1gO2k4UWWjdyJtDYXBIq3q4dzo1mINEBb1icxNZswrkY
5sJupIWItaCRrCOuQgjg7nojNQ9Cts9vD7eiAi9PR/3own8CCcCFa028qEHga7YQ3JfmqHsQmHqS
kmchJdyotTd3viVzo94MghzsrVQmNf+kty7Qeduz8LetVzVpUJk2orgWYcMBmyWML4vIiMDo+nwa
DoYXFWieU6WZNuYUxe0zmTHCuXTPOqU0L8+BKI/WFRRTyFR4apxWHuiRupi2NKa6HbqJjdlg4/8d
wlzDQURcrP2OWmnUryuZqQ2WP2pDwOesKyho2a3/8m/8o/vNf2sMfZIC9v84TXbRJP73btL3T2X3
9Lfj8/C3fRfnz8Bh/7gtXf/893/DjOyf1tLUiH9fQHh6UbCMID2DeP/lL22qf6fZSffGoPXMP/A7
//SX5ne4S3PF57awsA/pWf7X5UjRuGzRa2NzogZF6gS6/QcG00uh/K+KFnUSkjz433QPYQi62to0
ZQD/UkZ2h1tMYshHbo1W+ZUjE7uwyZxeGX4Ps8gwuObRboartroycFAWStqU7q2CJusTWPscmHVb
HOsyzx8jRTMfafnr1wYh24+VsO1Lev9XTwn7CatFG+wateOaBqkUXt1YuRUdcnVu9xqhHkE2Du9f
LIAz16LXU0lHg9fCO+PSyh3s9BOFlQ2BE5bJAZB/QfCrepPq4PFvj3J6mVxmEuiKrZNdHyADgOt0
FGVGL+xNsThwlI9o2/Jsi6l8FijYUgdvD3XugYBS2TcNFYRr7UqUdBXLmt3zICfZ/fAKV9mpWW2k
F/a2c8NgbIUGFWUIKAI4xMs2ditca/I4YQ9jn7VoHDLVT62k/UO6wzJx4FS8f96Oy166wgHivikU
rVfFIcKX7tAYRJwWhpruilB/HhqyZuuGkFGj61zyxkUR9ONcbOvM9v58LdKrQARBUhBM9zXBpYf+
Hi6AxEE0TncjoDQH3eyk395+d6fn7O9lgl4UPQl+iNbSkj6dVG/Ks5DqXRyqRP054Lrle3b5YJUu
KfT6aP/5SnGgubKVwCmHxr/CHTrmvI49WxzIfyIIWHIHzJqxuoB7nln6EAuxVoHH4fAls2O+XChh
Hfe2ntXywE043I8QvIIqm54HFarZ27P3aklCCEI4gnwEVBdQa7Uks4QwP7uU2QFxX9gTlds3V6HX
aBd2jFcvCUE6jNCFTAv5CDxj9UCtmyWw6Ngx5iwm5TNLftoRikG7y1wieOWlcJzXj0X1wF2YF0Rd
Tsv+dLxJM5qhbkR8COc4CYTEvF8heW37p5On08ZawAdEWPSeV0uvokKBCW9mhxG+8vUsjX5TlIlx
YZQFHzw9uWAc4J6BZphPGuuv1ZorsKwwayiSB7jcxNeOphogJxp/xnnh7UQb6XfT3D8YbtX8Koka
uwu55WyKubjUb3o9qcBCfM2L9eiye63WSmyleCGKXBxMejFb0Sk/QyUe//QDgy0G8oQFB9QSHnj1
5tJGLzriqATis7bbovaJg8mxq//lKKtHKZoobFJjEodWTyBr6mgvosGtL4zy6jPmSFk+LuqOxWHF
Wo3iTSP3Nq3IDpmim0FkDxMJksizYDG4928vxfNDeXxamNDBT1p+/wWbXKUV4RZYShymTLM/GAas
VF+vBsSWNrRw/+3Blu3npJSCTcqxv3QGl3CQdRt/rpuIzMWyOGR1ej8CRl9X6H19gJGNRphpWtFj
c/Ohv1BavV5/DLsAsosbAX+vMEkjmWipRWNxcLVIgbyMXKmZkkvWCq9nklGW/i2FLN/2uoAjpE6W
imYVhwrEHjcaXemyd9XchBE2/G18icByZi4Xih4As2kszKbViyNqbW76OSkPTsNdchtWc/o5xaYg
3GXu7B4jZ3Z/TkpnH0Zis5oLL/L1tkwxQs0Nl3kB0teDR7VjFsboVIeibbU8AAB1wGbzWn4VIjW+
iVSV2ubttfNqeql8oBKwnS3tPKzUTxeqnswIy7HLOkSj1fipmkb3M2r3jRVqlyQjr9YLQ1GAIFPE
gYnzdDW1ihoDS5VFe1iiQX6ZQ6wdS7XRLrGUzzwR9Q1bFtIDSuJ1wN4ALjZredofQHr7d2aWQAjs
mug6UsLwy9uT9+p9UXlwO6Gk4xtH0baavMJLalOx6u5Quzj6p7ykmwEYbjO7Sntlaq17oYI782jQ
vJYOAIUIjIBlhl/sKlGBMYPwmu6g6DxQU3ptkNcLp6McnQsf96vvYHk0uFJYO+tcEtfyXJZePapJ
1x2ohrSnQU3lBnFgdgu0NJBCXhfEpnu9vXWyyLrQKz2zThZLTeKNNFqllHWnTznPOhqmRusOQ5Kr
uwo17zecnecL5KfTRg516vKAL0ZZvTu7isku8fTuYGTq187Mx61uxt5VBn/2o5TpsJlD+Ycalb/G
pM5ebM4IWFsdQEZulLMeMubgJlhuxcqXSop6q4RTtHt7ZZ5dKVgKL+xyhI3W6kqIUjDqjdbpDl6Z
4QWNC73fWBnerLZ2qQw5OxT7M8QHvBYB9U5fV44PRD+5dneYh7641gpV/QJ3aL6JkeRceGdrIvsy
gRzGmK57AFF8CasPoNHtfkCB3B9cEpDpUtmuPM6KndwgVYvAyEY9vxpLx4r9JPaAmqGx689OVed3
sIW1h1pYqX5hAz2zWqFac51agEyq29WPVIKJqxyE/WEaCvLZwsG8MVHuXr/9Ps+NAkkPtRj3YTi3
q/c5x7PSzi2jzH0a+gCmhDZRhm7fHuXMfsa9HpAEeIeDaN3FjcXYdpNuDQd94KiNOQL3ai2ra0dL
qy9d08g/3s+gxePGBcK4kDPdZWm92M+GyaNX2KrzYZAWDgi8KBxYaB7Omn7JWe/1o7FoFm9gDZmv
yi+nQ8H9zos5NdWDVGu2raxpdM0vDfCMQMHQEDmqHLPkwtp4vYnCWIQnz2e40FR+q31fPF9EdBEc
4cg7mJgMTQeihKDdKW2eQkAx3LDcNn2b9/epZyTFIQV4ueSp+HqT45YH9YQTA/rJK+fMTuhqpXWx
crDd2r0ZnFK7mzKl2WeNhsGCbPB4DWQTxpdUh6+XKwb4XGGRhrKPQ8Q4nW1LWCFHcxEeZlbZNk/q
ht5PeIkQ+XqU5XQA0Vhc7EjLXH16qh5ONATd8BAm7bybECNsnbi4BEYBF/LTntTX6IFgyeEMzkeB
UH51VFgljXZetH5X9UzYw4gzuLlt8HVxHyIvr8fdApZiE17N2nwb4Zpi3mR1XhQqzk3emO1kVWb9
JsOYetji/amie9frlGwKJNhlJ49NZwCMGOagKteObddGYNWSgOzMiEYZWN3iXmPnBG52k2GmV0kZ
lnpQ9wqcpUzDfYoOEUlkQUeS0hiY6kCKsEdX0fpW4zg9bcowmx/TXI8x8OtivjFC5Rv7XR7idpr6
0ZiUxQfsIImJVsvesHZ1n3XyifiOod0ZvW6G96JrhXeHE2Pzy2pqrfdpnCviNi/cEpUJYXjtQweR
sMJdO1rYeJWdqldGS7x4IM2u+RKR0O0EGRTa6NZ1w5TWwWigXrRx5ECyl9J5uo21tLylTZgiS3Rq
IsFBquKPxMDFnClUzE+jMaX6EROqMr4TOEBBqs5n91sDvPRIdLqT7mcvacmat4ci2s/JEHaPKVwD
5XaUo3SuRzeMFKSOUxhqD3RErcovMmj1d7NJQMYOPoLzZJiT5gYo7N3kusgxIwhCzFTnKwLoh9mv
0riIglj2cB36wjPb696UiJLyepDuLtSV8YPSj1oalGoF46HN6Bh6nUM4WmNyVG2MzjCzIPLC+KkU
uOD4lWoh9WxBdK+VNkpg5DeN2vjliF24nyVh8z0cdPt9O4wAhJSTfXyrwu8T+ECZ3nNPXPmMNirt
403ccmPYhyKcsgDBQmkelLxf8mZmZ9D4KRrqxK0AsHDuMkOx202lpJ3znfMQv1clcbpI+rTiKndb
OrMRbwrFK77bs9t8t/Hh1zdKm6TdDrJxlDwkNR4giS8yVf82AsuJZyIYB/1q8SYr9ikN5WY79qJ0
oNvaotvNo5lYO4cwdfU6xHjA2zXYf2kbgskdS9CJNZKZO7ioCEGz9Ma+Tlq0nouFvNuZfuz17YDn
RUWOTpuoSho081BNiFtgXBNf6MAxoPdcd98murDNzhsGI97FiVHHWwwvSpJHPKVqGn8yrDF/51qD
zcTDg0h82TdZ/K7GFSE5WLbSaj+x3J7zcitdKcpDN6bWQHvf7SPOiyrUr1ucnmPCecNSebL7rMj9
kvZ6T9dVLdI9nGqv3ThRahMupApXbGKAX9W3wyqyrlGxY+vmpGVR7+cO28/rOFl685N0Y2Lp67aD
zU1wpnrDSWnagU04k/Anbk3hdujU8t6O8sH2HUS4zl1T1/TDIbDq7pcIw7qs92k/1PnnWevt8Oes
tXn0hbg3Yvugi0QjcmFVzUR3Xc6JbYDeuxioPZVpZbXvE7726VYpueXsE4egmdu2NNoWHakYwxLH
fDEUP+M+b814k8tCZc/akf7S2OJmhul5ZSTDryhUviNBJj5QS1vdbzuEVrmuPQvN+trWzl3kiTSw
S+vDNIyst9DCz6S21K2DG9KvhsDsXZvryMLB4/28N46ZEi2Wb0bd7Zu2Oc66/pg3JksJIvCmlPpd
i6UjCt85kZ8mShQIwl5x03XlPrNFs/VC0GaV5DvfCCNIQJU27LwZyo+sJuIiF0aLrk0ZVBJRPciQ
SOlynl0/jau7uDTbTTc4CpyjIj+GMbCdMlm/EHwPvhXbB1lH3aYLLeV9VhXmNRqnO6KG8m0/jNHV
rJGgLfohwHv61rDaZuvmebmzQLT2bUcf3phoPU0GxARkUv0X22ivHFeWO7cler0biluvl/N2nKrw
Op6lvKKg7TcEpN/PppBB1+bafuqTd6oVEuumISbOm7neu83U3KW5SrfejsTWtPPyYGrZN4NUlk0k
p4fKUSPaxlazwy+kegfIEX0JB5kE+Th9aTQduI0MAX/mYn5jC4yk6wrrCDd7xgBily6xoWZrh0hS
NmU1auQLY0vvXWmdUREOTQwst0EaeEPxoWyjSglgQnXFPfRWb74iestMH8gIwEBFqWJNuWGf9Lob
O436+KqOMsPa2LVwi7tiCof8B5yzebyf6tyxAhXLS3fcwCLOh+epnor+VxJPev/eS4qoPUppzqDw
oCQGFoCK0J8zXc0m7OhKa54/Tvkc9rOPT2bT31QYNtU/YKSo9b1aZHkcqHzRctuUXerdZFNnsEvq
avpeaQysA9JhNqa9JhHZX2lS48rWAxlZuxa2UPErq7Kww5qZs1a6QTaBknUbcxiN2zByzB/a7MTe
U8gmHW3tRq26rZ0jKPeL3NUGeBlw7gzcwBzEr/jBF7iClcLS080YOuijUPPZX/pU6QZcERMnxC1F
iiRQ9Cg5Fs3oYfAiadUHTtN7nzORkXxrKk3x0/PykuDmFo3XOy9rZhs7P2hsfjEO2EUCS2Tkt2u9
p/rEfJQeqR2Zw2vTVcFtCfbUr7wN64WUbFWa31GRptshlfE3jnQDBaVnVYStK524ETVGvn5SGXEc
wHhKsx0Oi+r92LWGt3EJnOJJu0IxP5qtED+qbEjmjdpzqtxWmpdzDLoc1IE7tJ16bC209Bs3j/EU
YF4o3iZ3NEuuAVH5sx1QuAUFjjulP0YT/bGR8B37PscFoL7yYhhMOXaKVdLuwlTgAl+HOLDc1qNQ
IRsVNe4Et/BbIsDxwsnsINNrTbl2R5BfSBgGBjl5j0kXTorV4gsAj85rAsAvLRr9riLbwrczy3qo
6lGiRtC6/H3pAflwMqvJdCcyyjbU01Zjvu9yN6rv6yqFRzPHmPsEMLdgX7KtQ9rySgMtRVsPKLpM
qyI+NtYGLdwPTjHoN04teuUhM8ox9TMEVd+oCux7PB+nyM/1AZ4Fgv4uxkrT1L5R5avZTcUnyYVe
N2T7sxNqdWuOUe+gaRBkMe05LCy5aTFsJnDASOKu3YRzaOV7dB1wGAv0GATd95Sgm74vVN3nAEYs
wcmclz4+k9TpiisJZ8DHD3Fe6vQp3JWmam31HS0ySKSeQotkV7Nz/UKpLYkgknX8ITKbFr8zaFE9
5MKllhD1WCZQQRMEURhLj3qQxLg/BZZZZ8r73Kgqb+tME+dCFYU9lkaN1rBNcLSUKIrztPxpLYUm
Vlg5RtCS5E4aLmNUWkOg85mSJ4YDxXTQsE4oduWcG/M+pIvb7QkYlnwWuUQTlUkgwKAe7DK59lqI
gLGT1aZvFIXzIZ8xGccQoqoKfCpC72cca7r0m1ofeHltSMu5LufoCdikyq8mavp8l8pEh9wYtfKS
adyr2xqA25K1xKYKtxjo6/TW1IgxdjWEbsdc2NFRFnBHs0nL75YI1y25hdOEeydmUG9f+l/hN79H
xdaB4o/m47qFSlGfQM7txBEBdX5dW3m8lSSmYa+KcPrtoV5dwpeh3CXTBcIXTZHVhQ3wXNNKrPGO
Hh8NVDs1OUyuCVqTzaG+qfUifvf2gK9uiAwIaEK6Eb4+3MJXsAnqGLC4QhfHEZ3bl8i1tK+JZxYX
YJOzo9CxxdPSsHjA1W1XrcaO3CNHHLVZJzpGsUo7vCMOWRUXUL1zAy3wL8IF7oG0RU4XSG+bfZ2U
bXysLKO61lOscI1J1vu3J+3cguBajbgenBI3uNWklW0jlKlo4iPclejKg47g26PMD05qXwJIzi0I
lgOhGEs7mh7E6QNBGaVYH4b4aKn1+zbFFczEUgReKSotXfvyP3gu1p39+9sCfz0dTBbCgcc8xce8
Sc07NRqqHzO83Y0x6ZeA+rMvCjwL1cfyutatjpw8twKzKsBJHHw4ZOs+bD4rniP6j28/09mBAF/p
/rFtANWfPlNqxnFuUJkfwzDHWM1WHPuzQRrUpZSCc+MsnAGYTMDJMBtX43AqmLki5TErku7Rmeyx
DQo8+fKrP30e6FKgOXxG/AIV7XScmTwSfe5YEI6wOiyn4fhOjis+/PEoYFIO3z78B97SapSGFEpO
0yo5uvU43qZVr95mdpJeIP68/o7Qh4AW4aNOaBZmX6fPkva0ZVQPqQAp2yoMWtvZUARVuDWl+h/v
QKdDrRAqArmIcZom5+AMnXaooOze0Zy6lJ1wZhFQekAAW6BUYNvVB+RGZQYbfvAOpVSc66rrIz/k
ynsB6n49bdAM6H8u1h6o+9Zt5d5Dm6GldXREIDxspiLTufKblTL6aeXJz3+6EnDJ4+Dz4KZAa1xH
Czm9oydd5kVHJY3U+i6HK5gdaO+au7fHOXO0n4yz2rmRnWSeUDJxbPXe9ftc2cLIV5yi853QmneN
G11KIz03jdBDFssZ9jyW3+nqS8bWjZcC/OhOZtrhLz9kNzCV9fhqsCbx4+3HO7MylkwdVjldV2SZ
yw/zAujGrFIqSaSKY5w52tFBge9QJY/lr7eHef1MwMWLVTHCV1jcv/0MXgwD+KkSj20kxyZK5Vfc
Bqqd1RXc9VN8vjf/u7EWUPjFWMh4XMW15+TYx/r8ALfUxL1MxdE+TaILB+7r2VtgZTjpDmbBGgXE
6VAdaF8Yob05tpkR4j8Yajv6q86fNltIv/qthgT2YbR1MyKzS8NElyOPfYIN1FazB697X8Nq63H7
ngl7eXv+zj4UrwqKrwUvZb1ZkMMYOaSjU0VAswebHrEM07pLrjtLLXICzZOPBy4PoWD5B0q906nT
F7zf6jhoQ7RaXAahkFRsSlZ/VaNMu+3cQd5KRShH08SufjdqGZKitx/0zKIkuQZyG2bWtKzXLjRW
Q9iviUjt6DRA5lzZ5jDGYFwWjwhmTDd4e7RlLbx6YI/ppOtBgbaORjQjsxyEUsuj2RnNjlsQTU6M
pJB8J/LGll37Lsob/ar26Pi+PfKZF+qqlBpQ+OhA8tfpVGN+F3ukxUjyu9M08Cot3naDPl1YpedG
QeG7yKSX/6wpMJY7JmpWtfIYw318tFUpsoD/MY4ufN7LEb+eRzIz7WUaaXmuF04I1BFaI/OoGMP8
wW7N8oN00FbY4aLYA//1Lgx4bplQQC2KF+4iUG5Opy9zpgE/LCU+lg3EWwwd+l3aKN5Ni57iw9tv
ankTr56NTRjfTYj8r249OYYOlURRtJj6dzu+iQgO6aEkduJzIZ0+QDV5qeF39umWF0ZVhTPYuuAd
QOPTWInlESdGc5dxk7xxlBE5leE0F3bLc18A3UzVMrDghC23qnXquIW3MbKPoUtJP9iiSt9VLVl6
Q5urQa9Z0vLrsPRumsTpt29P7NmnJNZheVDgkLXH1wgsTtZEKJEY2s03w2slyoFmbkuaC3ipXvgU
zi5RbKmJ+mF/YYc7XTECs87JZYyj2+FRGZZGGYg5SZCTa4T+qLP59e2nO7tsXoy37LUvTrysrAG2
wL2O2TCZdOPT56hTEowzpLyhcZXdakmaXWB0nJtRfH1hERIxzVVzVSMbeSoGT1mQzTCc3oVSuIPf
iy7/GgrS1C/snWv7CgQt+O6+GG21dICd6G5JXR61ukE3OOZV59P8C+9lJ8d9LnNBTxEgeCKf3fEb
xyCLukDX+fY8r327/vFjoHxZiCywJ9c4j0dGijegRj5iCwDimadO/rNKBHgS8kAQ276I+nST2zQN
aWEVw0Nt6eF9F5fRVVYa8nqs1Xkr7NwqL2zx51YA/gdQfalCyCxZ7VGu2wx2KFV5nLRObJNCDs0u
1xIAYngMXbIfcuc7h315AaU5uwhMKij+vwszarXwoCaEYdfRCO8sej0F0XQzstRtldrKhb3j3OnC
fWwx3YRmD8PydIlXpHaHLsEbZGTSHOrDXAb21Ku7t1/wuR0KcIu27e/SZM0XaFEE5w3R5ccC4sxR
FXbzIUUwd6ubQ/Z+dlrvnYFq+kqrcGd6e+SzM7kEOsIIBvLyVjNp1olaNrkmj4mXWFuvmattpPfG
DZyTS6HTyx+1PmQglOgGeZUQa9Zkag4wbB+jNDnOY/2ceSzVtqnm56Yy9K9gf9NeEPT7tcAe4Jme
Z3OBI3j2GyInk6iVxXDNWgfJpGpU8Tthcqy5E+wVJWuRtMyksG10zE4/JGXcPjqZldK1H7SfY2Z9
nfLe3JVuZ3yoVYXur7CG+evb03/uxaNGwawBd29q32X5vdhBk2mqgY4pkdTCADytNW3eheXcPunD
1APVpfk3ugrNe0XT7QsTcnboxYSM7wi2yro6G4yk9woVOhypXIOzEdJZbCIkfbKgxpgjx3DKovGr
qYlTBGnmed2FT+vc3oEdJ2aMKPugoq+WnmKEgstAI4/6nGh3FdSKT+iM5AH7rShoVGHtPdEb04W9
9NwZCZcfDQsQ4vJNn864V+GNp1qlPKa5WUb4MJvF0rwSyl0PUn5t5Jpy4eM+94nhwAHexmxTfaxO
5WgSY0JHSx5rQ6uizZB1hReko2KF+Pqk6aVq59y0YjUCt3AhwFN5nD5gP4cqruAeR5aoXcYZqu9N
EsHb8bAA2Q3D4P0S3LQ+v72Qz04rqkmgUvoC2O6fjopqhnAkxJLHrh/pp85RmtEyp+e6X4SS3Q7L
subT20Oem1duptiQcSnSoJKeDjm2EocQlKDHbjTyO0dE4xSUi5sEVHQzefgfDGahUFtaHnQrV8sm
jtyZ7L2Wyz2B0p+tDnbgrhjj9HvtJDTQ3x7sNWuVsoPBEFET+gIfbzWbo5c3FZY5EL0K7jGKTAZ6
8UO0pSNL/J0Wbcj+0h5itckDMspFMM0O7Z8IJ3ZfGcWlJszybOuNG1IeJwSsKcCG1YpaYKrOibOE
3muXfMXpvT1iTwY4Sb3jHg3yhO66LiEr26Dvemu5NAEulBmvFVTLhLBXIcjlpGIPP33XFTKiylL4
EeqkMTcEz6rj7dxbUyCreL4rXU+JsbUZ7lutNW/Jh9V8VSz2sdYwXLoHnts3YUgvPrKmDVC7fAkv
tuz+Pzk7rx25ja5dXxEB5nDKTjMjDUfZkk8IB4k5FDN59fup+YB/q8lGE2P4QDYMqLqKFVZ4Q5TG
AhXhDGWN2D1TuKpiHNAi8a6vEQhEBMT7x5yK/LmuKntvX8jvvv4Skh0MVgJX800c2Db9HOVKlgdl
ATrV59Yyv3du2n9XOitFw25u24sx9DHOy2ONE3NeiskC/AujeudSu3XLkE1RxZC20OTe16uQjkWe
ZVj8BijdA+9LGvpLBzNpaUEvMxX/c5dF4S9FwSZiJ/a7NbJDg04nzeFGXTcWOuZVKtxnEuOj4SFS
l1jB9Upnfsp7oAmIWY7Voce+cq9kfuu+gVksW54IiyItfz1lc/Kq2RwVXg7U5d9rEwZaJuIenwY9
2fMcvzVHuJxsMQIzprpKOxTMEhKgHLQbALefw6krcVvX7Edwv8q7toi/peWg7qzr7en9/zFXkW5r
ucAC6zILVCpj78Y5+gSWoHwXVnXxeP96u/VWULWkZ43SJph8+Ut+O0EVED+hgjYIwko4kz/qGfKj
oux7D6EUZIf9sVeanWjn5piQEuG9Q3oDEn89ZugZ0JMwrQhGPFUxSu9Q2/E54TCnMsM7VZhq7ZyQ
W/cEAaUMrqSf27pGOylJLzJDzzBcArcWFjVoOL0MxYOuZ/a70Unizm95JY8KDqw7F8XN/UNERVlF
Rttrfe94AL016OwfJWqeKjUM7HSC1GH3H5UkbI9zsVfnuJkooxvxfyOu1rf0nFxDESkLSh38LE5D
KlLEIjwBKG+enLYbjotT/ij0ybvo3bBckrjXdxb8Vqrm0v4huof2wd18/Ymp2QKGrdlWelFaF6nc
6Lt2OOzUWG5+VqQzCXP+x6S9HiVfYmMRRZsFcelkZ4vavt9mtnuMlCF+PwBZPw/d7Na+MoO9vX9u
bp7Q34aWX/23c2PHCKuAb6KZQXcYjyk7j78KF8yjrzoSRHx/tJvLKdUH5KEBQLD6olHSDo3Z5nkw
K0vo+O4wEFnVYkSA9v5At6YFUE4i5UEpoIV7PS29oyCvJTIxc2ut8lPbmjrAv6i4nrJGBRP/H4Yj
GpdkP2TV152nWq+XJI1cdqpNx8FPylz8AQi2/aVgsJv/hz0pjfJoTctOjbEKG/MpjZVyUbjq+rw+
tuD1D0s1xTt78uYKutxu7HraJ2uyPMyAtorw5As6ehoqio1gYy9GGXefx9Zx253vdesqJRSEEQ+H
CYGPVXCKkBslzb7Jg74yss+d2c0/GsOLvyPPYrqHlhLCf6gykbChEaFB/CFXXQUbYamVKFwseWA5
qGNRdawvg9eBRcyBph+qeDY/iLCdH968UTw4riQzUgmTh+N6X3ZWmLtGSbBlLkY4+qgh5zQPwaf5
rtLqO/nFrQgXgutrMo59JdTa69G4sUO70an+NHkJb2Ow26fEzPNHMZfzxY4a/YxvQfE+BXmGQHGj
iqOCstL3XGvLnd104/viVEXHCP0Frrk1osJuQ+TSSysP0sGc6kdsf0EUotUJVrRJFuNLVzbtn/eX
+sZ7he6QLM/D6mJbyQ3+283WlBAWhmUkpqPO+reGKvsDnAH1VKiD8QLlKzwDgHeGnZvgxg1H2VLy
VTmbKgS261HbuEbsb1L5wOUyK8cmdjowkqPuZqf707tVe+KGg8tMkUfK7axiK0iIjlKVTRFgom1m
J63BF+Jg61X+dekq0mUg/elDOohDOljpibChOMYCkdIc9ZXnMG/Fg11Oe34ot76z7JpZnGJizDXl
amlQziaDLgKAhdqpE0OS+wrG7ReINOojZNT6x84y3EhfUN6VxT+kWDnNqxdaD8duKBbuKSKg8NCV
nXdYan2G6aCOklWhHjIawD0UGFCxKiv2RVWy8sP9X3Frr3FVEnrSj+ERWL1r9JeAB6FKHlBWXb4k
YvnLxWoCofXB+VyD1z+z3fb0FuROWuVtiGfJbr3DXHAmvN5pU5abykjXOXALY/7UR1ihvKsp3zcH
JBOzI0JFf2S0pGaQPn2EiiqK2su3+9O+9bUJByllS/nrDem2HiGWWBOnetLmxvbrsTSto0V6+NNp
yqF7h8KctefHe2upTSp75GmAmjZaVk1jxHZm2nnQKvnwVU8X5bFQU/PZmYf62OWq8hBDBzzfn+jN
QSnXU2qm8YyO0mqtJ2s2cNYrAkcfqhMELuWizgk841wVDxAXuh9jpnQ7m+p1666/MMhHipmUQ6CM
rra2kndh3ilWERhpUv1BsTcBMO6MGFZV40U1IvRtk/kEdH/xFTOMjjbKTgdaOvWjtnTxyW0q81LV
kPfuL8bNm8fCXIAdA1Zno78eVkrCna0WAWaHxsOgdN4RWN6YHFwwAQdFg/cVGrCEhmSOjqbe0gQt
Zx8GKAalApNrTY3TnXf11k4kLSGTJoRAkGZ1Gc7pXI96LIqANrMz+tMAFZXV6SUJMVEbXplhRoj1
/kLcOoGy7SCzaf5c1yu0ropDrMWKQJlr7Ww1Qn/0gMw8QuEX5wmbw6PnKvZhKKYQdd56nPc2yK1t
afGc0pwnnNikZHkyxiXyqEVgm4hNHMeePp0/GAY0AvDsy8WbY+uZzYWlQt2jZUPh24Z86XOpoNqr
ZOIpbZv5VzwBmvKnxq3+DbuohrSkj/m/99dK7tXrvcypkxmO7DbqNByvTxACQQ3ytUBE+1od+wNs
Ce0rlmTmsnNSt2ErTF/Zz+RmpMi57kBk6YSeiuytdYKq3cx/WjyCdV89abkDXfHNs4IpCEhQbjsG
W207sfQedAUbMG9u2tEReX+xXMwoEeObwwrWDUGpV4s+WNxy//8WzBh1WZhlQlfczcBuGmGFiDP1
8J1R5DO1+kg6NigGOxrKKZ3J61HQpW2ZLeUFGuBVAvzLrVGe1cyk98vEiL8VSlnAoGsBq/gCF47h
r/vLuT1QvGY21RsJvtURNLgeX1r2AQ1LsgCklYMDkRlJTexBjb7XCp7SBxvq8T+t4iQ8LV3XtqdR
qeY3s9VRUKEGKfGlmoQAyx/521KLmI5EgqN94CRzfsozuxtpwidVxonRZhBPwuWwiFz/cX/y2yuM
Bw3wgQRRc0bWoROe9lFFqEJa10x6eEAXbYlOU+sW88UqGP4YD2b9dkQog4J0Ncm5+Oxr5ANqrtC1
Jr54Y+bLv5QDl4MzWMMFTXfxnsQ8+S68wdv5zDdmCvidBh2NFimGtUq9FCWy676n6Gmbo0edl/Ad
TZC8hHZpTF4CFSpX3Z0E88a9IONRIkWNJxVNkuuvmsZ5XGQLJZZFhY597IvByR5yYQjDdwul//Lm
bymbGhJNyYWHn+f1aIJqQBW6BcmljXslbF74TYs7KV/dthsDqu3dnhPJjfnRgUTr0LS4XgF3XY9Y
AaWway/MA03vVPtx6VQxnjraL/U39B6aNz+3uNTj5oIkAQNyJ1yPtphpb826UaKDv1RHFY2FYCgw
goooZV1MuhRf37yeFOWxWUGWjEbNGieHZFpWum4OEza184elMwy/8PT5Z4md2nTo4LLuXYXbpxVt
KCkGItFd6IWvr8I81tJk6csAYoWuHOspfAkR7vALe84frKH33nm5pu3B8268kpQHuICpSADQWWNy
qFXEgGeXMuAC0r8qEOb+FiJ+oze7VNSVPmZgx7hiKcbJX/HbDYdXgNmnwPODaqqqU2y02D8p416Y
eOOUs3ZQd1g/Ccdb7UjUW0thiqkCmkE+fDYT8Eb+mFipfl50N9bPrT5r2c4Lth0U/CuMQCR6SEzg
olxPzYijJulbrwziLrE+YXVvfjYQHfi5xKH1Oa962zre35nbLwZDiYwPkKiEua9pSmkp9WhVowp6
21ZOfQ09PBw6ZaePcmtayLdSdadLh3bgajeWkWmmse0ySuHATNRzWOBFFcK+xfehXdCT/w+zkjAO
ICAa1arVt0vn0OlcVAICWxmN57iDjGlU884zsD1i/P3SoRALHCkOvbokO0Why9ZkIhjzMn0qwyU/
hdEw8M4WOnDbNpm+h5GLfcT9uW1vSjkspRMEcWHGrHutdQhWc8KVNUBAZXixolR7ojWOIIBte5ny
9u0BzAidKNz5pEvWaiET3LtDPYpF0NjDP31d9Bc00vdgrzf2ID09iXpBoVDb7A4BNXz2hrEJ0l6U
hk/pW3yfWyp/p/srd2MXElp7SI6CO92qsc1haUY5Ba1A16GTDbUTPWmu/kvP6zKYlHoP6r0djhuY
Gj6eVQBrNhJ6c4WfWpctY4Cf7Y9JuM5BUduPtjW4hy6f90iA29j39b5/jcGoC6/13opOlCraFlOg
VYoNXi1U60Oopl124vn23pdDEXsoeYlCnMbSw2Po/tpuDwOXJfQpens8rFR0ri8utwTaX2Zi5oQj
AF26zR+dtnyLwFMdhDW+lLUqzvdH3CwvjxpQR4lzocBAYnY9Ym8Z0C2EpzzHjQPtfcLPSEfWIi5d
3rflbTYLPDivozkcO1AOrO/qBkORHw5arSnPSa6rDyRoHRS0pFseePDt2g+5H3ZilM05p+BMwPea
COo0m1Yrmky9WuWCjBMpt8U+TpWidH6EWd2/jRpP1s7325xBRuPdlkkTkyOWvl5NmrAGKArJnhnm
yjenXvlo9vMe4PDWnKRWPuLnHAhz3XGexiYyuAWSYJwW5D3cWTu6has8KXk5Pt7fHrcmJKlvnHcp
jL9+cvLYSku0ktNAVFP9BJInP83aqO+00OVHuMo4WTaENmU+R+Czoahy24eDhRZT0FNe+VIBGEXD
NUkpJnZFFJZ/j2WSqbnfosQSvcOacap8J2t0b0/Z7tbCEsfS7GL5kOmTt8NvIVGsqGGUTWDqKTmG
1anXRdUekXmwhufUs/v/sFmklxbbU+P4rfNcrx2s3rEGsvkSoLWuqlWCD1PZdcf73/DWrHgRJICO
SIyWxPWsxmYuZnA2AGpyJ0V9t0/cfxNXXw5aiHLNfxoM7AgFOFK7NX4aRyYNRgeDAQIdqBp4+Iai
FtB8Wopi3tOo3e5OLhEPu1ZCPJT7NohLNZqKOKLgPsy1eUoQ88DRYPHe2rV6XTuebuCA8k1YRSgj
ej6dPSr0QAvhweiymi5BgsJI/4GanrzodpG++dTxtXju6JNRAdHWgVdRI5lCfawI6FZIHtDolMq5
Kyo0wO5vje3tD2KFEhkkEq5WyDLXW2NIyzC2GmqXDQ6kAq0arVB8ZJuq+egMdRL5Qsg6x/1BN48c
68kZ43uRqDLN1SmzF7LURBRREOEFH+AZrp4VNLZQfmmKh6Vuf+htbOxEmTcmSq9Jl9fYqzPgqkSX
0iJJE5C/Af7I+Fc3tfmj8sT4iZcjPSohyo87k9weOnak9BSh4QoCem09ULuVN00jDYpsovaB95fT
/qOo0fylUWbUYe6v6HZ29ELowLhA94C/O6tHTlR4ztvg5oJiUhT8uvRGrY9jPSsCDR4nRpLKKsSe
B8f2MyJfACJGwrzJs9YCGinGdbZddHngYc79hHYzEmH5bHafdMJHv0unCDG0PtF23ortmTfRyuW8
0+gjQlqDn1Ax65EYo+3gYaLkK14KPHNymvObVxREKDhIQkC6dmt1XLsEjrc4dDAzZ/nZGXHyKy/L
/ptrlgIwKi30z/fHW20XesSkdKg6ShQwjPP1iV9AQ7aKXk3P3KnhQZP9OxdlpWPcOXsq26sFlEOx
I3XaV8BecSVdPQcq4CkVx7f5uUSd/XOTVDYV1SXZibtujUIjBi8dfjHlttUh7xZ0ospunp5Vs6Ve
wvtzSk0j39n4prx7f4sc5GTkgaZKDDYFMqhc199ebCscp6aKrflZ8nmyg6GlQj+VXoOUIzb3pnf0
hhabK0c486+o0+vKB+piv49IDo1gRJfxhxZVzqdK7cR0asvC0H27yydsi+02UU7MQVX8CETY4LcF
cNjHETvG+Qm3R6V7bgdOyKEaC5Gf6T6b40WfjSo+q3mIeXbfjGLA7Cz2fnpOYc60X0ZSP382nSh6
n9pOGz9ntduWJw933fEQqY3KSpkkbw8qsJv5sfRE8TXLYmfxw6Y2prft8de1A8pP1E+FiyO1+kSL
rtWINLnqs8DP6zHMce7UihytNS8VqKoJ/W2EIDkeRXPgPbRkyPXXVRmtyBRTKUbt2RiFedCM2jpJ
cKPfL0a6ty+228LVdMIdXm2axOuQh87EYM/hoj2rWdf5fQTqYWmjvddTLtBq87mAxuk2sgURl10t
oOmgTpc1k/GMhYmCwmIzhefRabVTpGUKBoz9ry7V7Oo8D1Do7t8XN44XCykDLAfw0qbtj5nvgO14
Pj0LqyyOpVJGH1U9d3Z2yOqK54tR1gRzReGOZggVw+vTZaCfaU8InzyjtPXFThDRmlzVF2X8M0JW
xp/DvcxmOy1T5+TRIpQAClq41wMqZT/aTalozymygQ9tWn6dzXqPEndzkFdBD4okMqy7HsSr2r5L
baE/Rx0Q/j7CHp37Yjne/0LbG53auE4FlwqTRydtFTV2ed0ZCr3zZ0AQYXUe6gXPPMDV1MdRo91l
E974VBTRIMWjPgwwdz0px+kErveD+TxhivmjR7nw0YAW/wRiIXoWUPPPUzanO2/xjTmCh2VYqCuA
rNZyXYqltTNCfeYzSbHyr+k24ddlTCB44Z8i3haFsxcBdXPaTOnaQ6dq1S6yxllLmtQ1nxEJQ9tc
sbKjWcewy5AAPIY05XZO2Cqm+t94sgEntRSoi8hd9NvLkhX2iClraT2nYYYzZmgVB2dq0ZCsht5H
WnL6eH+/bD+gjIhf/T5oPdJ4vB4PR26Ig2hlPBMLO8MhnI26e3QUF0N5zWsd8a6FpwNYPy8yaydW
3d5jlkFzDU4DdhiyMHM9dKcS4o240D8nSJIewkkN/wYIDVgKnNQFK/D5kwmb8TBpw56I2I1FlqhS
oLlUAGCJrsNyOtrR7KIVRD91PNZp2CEoOYeoySKFV5aT/eaPStWEm9qiESFfh9UmgpAtaoiwVLuc
qPShkGeXbEnig5Hk2eCLYR5+3f+q27uG8dA8JxEGQEsqcL20s7fEZo5n5TOrb/pdV6IL4oq99sMa
4slmZRgoVHJi9D02OkXTYmYYBSvPlmIFpZlh9jvUf42W+svqjMh3k+5zErvt0VHnl1GzHtwUM+n7
M13VcP73E6CucEiZLffe9UzBjQP4JLIJetPu46M9hfb4OcMV2UM60nM79GDRFcC81svi8GevaahG
Oipiijv37vYcAYKkEUPORVpLyfH6dyymLuIsyaLAE6Hnz01fa/Tp2/ovu4aAW6cwF814EntFlu30
peMhyReVSpKitaLN4HgTjdIiCSp7th8gB2DIbdZFrfptrNsz6paq/Zehz5aFj7PRfS01Yf68/wW2
e41WBoVVXF4ZauN77ziN6iQj8LQYkalnPHLTk1WKcWdHb48stSRZ+sdmiQ23xlilkxNmOXjhoFR0
1R/T8YneEdbMg/IEjmCvVnBjTlyJVFKJB0xyidWB5bLqRBp1RYCVTvkjM0rz5Hrp+HB/5V6zketI
jkmBn0Q4UUPla113j9ESNzGKrYIkdRdb9wWrl/lNQ2H00vda8rMqTXU5euVYIz+qIIo+PkUoYoxH
t0St0q7VwTnYBY5Jn5F58/6N6JJovuYBPz6krSqq46x5kfHIjeOkO9yNW0tEtZnXl7aBbB1cb/gi
7Z0Kp/IiSLXePtD8Vw5OhcLv/SXaPvUAnKSTIoQj8MabYuWEQ83shWXg4FeGr6drH8cwtw81MOjz
/aE2E6KoB3oLGC8hJ6ndKj7rw8WuSyesgk7zksM4xMoBf+Z4p5m6uScYhbPCniIHov+3uq+qEL9n
LR9rDmyRnEVjEEo0s634YYjZjg8Yfjj3th7vbLUbk5N6FsRL0LWZ5mpDG8aY2yiZiKCzu+XQKj2s
W1ObTm9eQvIr8mH8calarkuWeTEl2YwJQjCG2nDo2i4i7ayT4/1RNnsCkTp5y9IJ5D3FN+V656Hu
biUiGZkLEsAPy2ynzzmhzZHKz17TcTsUAkmvsSY8XWhvq2WbFqxgBm+pg2Vs7Uvbm85xiGxoi0r8
5geEAAjqCfQMqncSAXc9KyoxmYG6rwh6bdL/4NtkqKBgPXhKxTwlvhj7ENmbRX9rfCuHxb8LP8dX
JOFqhhhtl3pcNyJIdQNCXTenyLiHy48wi4uzV+TKG9lKsDoZENACoTS51qZ4nnRCViJKEahuXj+4
oLQvcZZ1pz5z3tj2ex2KxZTYTzrGVA2vl3SytN7MG42hEq1+UFOkOtvE7E8ZtaF3KVKuH+9vzO0h
Q1OFYIjKHRke9i/X45lOnXpKaIgAeLJ9qgqrPBea8kaQ6f9mRYWQIwDknxLK9SiW6M0kHzwRIEGq
HiNXK/x8tJezpc/1Ttx6c0KUIWmTYWMLme16KEfL7LFbXBEslhb+BdJq/NB287Jzx2+vRJbtt1FW
n4mWF94JSC8F0ESsQ2I73XQwUr3BFwNc67+KNf7T20P69T98LFTp5V3FJ1sndsIpLQ1idxMskRs9
jVJx3cDQ4u0ryHYHxEIeicbC2sbZMrtQiRu7CXqkfTnKKXYqcTK/+UYkIpHQZik9Bu1w9RaHiPGL
xmWjt2GaHUzkYwNXRNOTgz3Bh/vLduNGxEmcBprkHfNErPY4wMUI4toigmjwos95s6iPsxa/i+Zk
2Hmybo5ETQE4rMTerku5CWU7q+wcgXqn2h/d1k18LU7dw5zQX7g/qRv7XHpice+ClpHw7et9ThjT
GUORNkE3RcqhqPXyrEfGp/8wCJVIWU2g+7qOYAvV7u02LptAk5l9Vyyj383a3mHaxMmvO4HQV7JF
KEKu7vNmQGe/7gc2HCf1UdTo/IsZCxOCNfEYFeWe+/Str6RLoIyMYvHJlYf7t3qFk1DV8vqZWSXh
lBIHzr1yLpWke+kHq+p39sStDwVyEDSaFBGhYHc9mgHVNCzmpYH+bdSXJFIxH7bw/rn/pW7P6f9G
WWPDQg9qGhqrTdAmSXOkzF8eRIo3TRVHP++PdGs+dBAIYgjMDDAA1/OBg9gtFCaboFGS4TEdF/MQ
tVN4+g+jkCHykdh+G8hzpJcVQoReE9RI2x0bbf5HK3CV+A+DSLEcuiFE7OtIPWnEqERj1gahHuMs
PHbjJZ6ttwfpBM+8fHwcEIIb7C/Kg67Xu1UbAJhw/9SMwfIeTYw69ct/mA0EWMlx4y1fl1Gxours
JSxalGKbZfG9bFJtvylLsSedenMHAKt95ZTRDJF78bfz03lWB6ErYdmKeT6SGjg+BmVvzme5syVk
AZA94li8edej5L01JYOJtBxeV8YprFvMoxygGG9eNHI0KaqDFBU8Bn01ygA22mpsBOzyQTukaaIc
jbp/+w1HMAKeRLrryT9Xo0RDamMhasEawIrig54k6j8w4YyP0dJljxOX0F/3ZyXjqasknbIS86HP
R7mLqvrqcXXLoXImFzD24tRq/1DFnVA+j/HcL8/hOFfiuZzC0D4nDm7dDzSiu+jNITqVQyrBBjGS
lGpfTXgsWPLJHOoga1pKtHEUaT/rHFfJA+ww5TsCQ/3eDbh9Rch6GFHqJbNn1gGF6aV4Zc0mx4wI
pj+UpWIWZ3AMy8WwMEPxHb0o9srB2zGl7pUEbVO5IVJanQS1hyiaApMLolkd46On5sL+I1+MIfqq
mI1i/FVnabRTxJB/5/W3vR5T/qbfTl/UjsNEzbcLul7V32cUx452XHTf54wY9P422h50eZ1w1dNx
l9bMq6/ouktrKmg8BjC2lOPUgKLORVTvPJC3FpGtipY7tTJqPqsJJYPWDWor+mA2sm+F2fY+Flrv
+0V/7NNqL7i9tXrS7ZYeN/Rj3CGvV6+qtCWjpNsHGM21TwiK/Q2yeb64C8bk9xdvM5K8vdjRcBBo
a/HEXI+kGFT+6m7qAreqlWOKWiiEJKP1k2VudobafCfuLV5k0NIm4cyGe1HMokpsfJ6DsET1K0u9
/ph29d4BuzEhokAA4MCsJHp6dSG3Yhq0BGMzlE8SoftRl/w7ZWGB4bmF/fibF4/quA1ggbNMo3O1
J0wcs8Xo6gMgJLuCpV7DVcUCydPqg8C5cm9qm/vyFVEPOo5sRN4fq11B3GQ1bWGOge6OPAM9UMPy
gFuG3TzgRmbRNp5bfLRo1Q3fBClfvxOIbJeWQFSqcfIOUezaYEdn3Dv4xGpg53lyGii1HFot7C/j
Yu3pLWwyVyrEbEyIepxt+q6rYBtw0xKLsTBA+WIyihddRXbipmesmc1Azxvn79wIk7d2P2mYcTfz
JknpZ1Ln67PgRpOgk9s4Qe/CjbjQAYqsC5rsGja+gzLvKS9tzwNVV+SX2Tt0y+iBXg83jf2QRV3l
Qm4e1EMXa7av6ru34/ajSdMTmvBw5Dh767RFMdA384x0CfIYavmxcTt2p9O1bonzI8JhO4dcHq+r
ex9hWPpWNOOgFEiy7vWkai2VBg2zEWBFbh7jCsiTPbvNWbcmFVdpoR/aPqGfTBH4oRX63luw2Tfw
8171s2kGcsus5W3sGAxH0TtLgMhbE53dsWGI1mi7/B1trsbCWBRHSmwn8Zs5378MNqeToQGNgE2h
9kwaZVzP3NRi/DXDSkOl3K3rczoYsXb26jjWT5zUYTry7FruwYqnfDnVSmu+UWxHIqZA0rH64K6l
M8wqYRQ2UVSlDWaQLrjPWZnnftBiYql4bLXPeLHuNVk2nxrYGZgccgX+oRO6umm7vvCSZbEtOFJK
86ArYWY/WpWV06bkjTxlZYJx3ygcoBFmp+N8ZpIpG6f7q745RPJHSFNxydZyCI2vV10BJVHMeWZR
YEB4hyspf1pKS9/pLWwOERQA5KPJV6ix6sAyr0cp2npxBxdxtDHWqqdxdrJjTd3/2Fu7NvQ3h5Lt
VqDzXLLe6gDRKSFp0dwwsLzOnM8dHjLFIcJ6cDmYPXqw/lvXT9pwARnmFXvloV/PzDGEU0xD5wST
V0e+HSG1LJKk3kn6NsGTFLcj2QNZShVlI41d6x7Npsx1goE63YvjNvo/DkCWx3rEm9wrSvXP+7Pa
LiKbgmwZ3CULyYe7nlU+KMbS9a4XxLObQUNBDuFAQzf/aCO79tYbj9eJorvs1ksu/9qLpNGtHJvP
Ngzg0peorCtzc1Tqpj6prWlhF4rFL1BJxS30k6bEdo74vbnsrO+N+dJ8ouMpZd9l8+Z6vmltufRT
2DQVmu8Pldb3x6So3NPg9PNOKf6VO351wxtEv9SseZ1pO4OJvh7LNnLJthizlybUROfH+B/Xl5QP
b7xkquibk51w4R6xU8QzpSFS6M5q0zTmpR7mWXngRszJBayohYkxSn/Q1IjT+SsaL2VzVtJkDH29
7OzsXbMYzXB0E8/61bTCqvzKGrQZI9m8GAbfFjUi1HHmGf23Zk5MRkEQvTmmfd53xzlPKwSaZk6T
6WdRA60SllcZfslMMxwf1KxyI7/hQlH8UbPby0yBOjwgK2Qal8zsphet6OzxY+jZYfiY9sDl3muj
IppnLRJNc2y9Gj2NqUxM47HUrSrFZdTsCgB0uVn8Ab9tXs6N2YTTYU6XqfjSO5BzL02kRtEp1bt2
OaoWeZHv5vb0F/ouZXpQDQ7EKSkKBALrFOLuyS2iyfVHdzHEx6zVB2yeG9tSHlAVDocD52yMzqyr
ap6WDLmej31J6671tXkevbOaOG3zR9xnyHb7OdmYgYSIEJ350iij+NHzvYav6dC4xZ+T3vfFByVp
qANHdZSFXyaBQxqm8uEUh0+ukZT9h3DS1fmTZ1TtDCYl0aLHZWy02q+Rp6ovAJws4l8iT/sjwFm3
erh/nrf3B7VdanngtmlMEstc7zmwpy1OgUX2Qrhp/DkKsXyLDUwWjNotzopalzuR4PYtJ3ulwYXn
Ir0ZNECvxysnbUGIaahfqjG33mm82MMxRN78D4rP8dNIp/YZ6NXws520aSdx3kYwNJ9IybAP57WC
VnE9dGiY7Two8v63c/2I01H1pVER5z2VvYLtjtmWnkXNOR2+31/i7UNK6ZzporjF1jHWvDokIpIG
H6T0RRHpiC3yPJp+7Aq73Ekitp+SxgNqrijY08ijA3w9P1FlptrzqL2MWccZHCo9/5XDF/7G4QBm
1OSaVZ/uT217OzIkM2J6VDYBr18PacQ6Bm/CyF6UbKn0s47den4qYQwP75GNWNydzbpdSbIgFCOl
TpqE864en6SihuOqaCcUqFuf8mHWzmHxVko80R4wAEA0MuLkX7zVkSinMVogQ4ZBZpjdpQY6+anq
l+FBRRLvlAGR6N8cKTAgH0wKishGwSq81M3UTDGNCQNYdfrFS7G3wCzqjR6NclqwLQFx8Ji9KnNd
f6uCClVp20n64nHKXowltg+OEjk7n0ie3+s3zCVvl0qlsMyku9b1KFkeFRgJm+KlhME6PNRljggt
Ih4LJj+z4VSXGaGP7mnUIJ9dFrpLO8j57RZhfHIEiYGg27IWph6chICpMuqXGJOLU4stpl/rUbuz
77ejoBwC+5jaJnuRVPN6loXVFnXe5+MLhcX+Y12YwymN9b2u+Y1R5CRYT+B+QK7k//+t0pdH+kLV
wB5fTL2cn9C6Dv2CwszOF7s1CuL2Mr2Sg6whrWFGEd+28unlFd4pCiX5OdX1sqcPsr0qqDlwVxAy
sseRK7+eTAlkDEbQML2kTfkuDhXnkHVRinUOpJr7l9Kr++P1HpTQbjJyUhfQwetqzpKYwmiMdH7B
xXUpQeJH8SdhzxhqO/mil8dBHxf3Q91GjXoi/rDEhymzO80foaqMf0WFQv1MjEsZ+anVK+7JCp3x
vTVGivWvF2MGs7OZbqyM5BgR80Eb5veubjXFySONqGd+IQCSlchcfZi0rn9xHaKZ+0uzfSLQ/yO+
5GBwQmlEXH+EyFCHfoFW90JEOzR+C2/4oYzH4d+K9usXxR6b9nx/xFuTI+IhvUNCiEdiVW4ywqwZ
MytdXoasH56gKxaHmfri0V0cbWcdb2xkjyxScvOR2QFBcz25sMmUyOyy4kWdVe2hi5b4AOE121nC
bRRBBMEdivI9lVBSr+tRnEQ1FgUy7Usvhv5BT836G4xJ66RQF/Q91CyPed/PO+2UW1MDgi0l05Er
2qSuUhE+mryOQWuI+HVSFgedGunewbnxsUBiUNFCOIXHfB2pRM3Qp0pali9JTTnBo5FxAYtUHkbV
yD6Y81L/2SMEUPiQxsZL2IxPk2qOf5pplD/l+DS+o3venKIKmJttFnvqFps1oFgpxZUlZgQy3qvI
4m+3IdLKsz47vfYyFCVFAsttfVVx9Mf7+3U7iiyhAw0F3UPNcn1C6MpBMIsw4o1nMLtLkmknF9z9
zlZdK1Vy9CihE4ZKPpJEoq52UUrOW2V61we5Xsy275lEpj+ReOjb99FiCfW57ElpH2hJz1DyFset
L7niLu6TiMpIP4R9mnYnnNiXyZ/scaB8sszFnrDbZjtIVSXibnY5RUfQn9db3dZoEvZN0we6ogs/
TQxwdoj6+Iqe6Ttbb7vskmZAiQ3sP7XidS0VFAEJGDzugE5KcxicuLoYaeYd3/px5ZFlBDmIFLO5
nlCO2DC+5WIIJrMFY+Lp8YXqafHWcE4yjCUuB6Qx5cK1ObFqZq0Gll4NFsXWnqohK45qPys7W2hz
lb+OAhuEOiHulGsss4DTBk6+YRSSGL9Prb97Y3moBMYzdhjtGbZutwJFLDYC/QnZpFuX6awxJfnM
DY1atxcmvpFBB7FaEVHpzo0/7n+lm2PJXrn0pcLWZHU2qrCFwoncZaCUKeriTWweKoV3w7Mp+N4f
arvtmJa01EG1DBjrOqHALy/vEWHQgrGL7IOmRuExWcRel3jzZPCpwP5CIEaBhEt89eouWT52+sLi
4SlXHce+nKnP9MrnzoC60xj/j7Lzao5bSdP0X5k49+iFNxPTfQGgqkjRVIkSJR3dIGQT3ibsr98H
nN4ZlQnW8q47dKSsTKT5zGuqeqvZyTUS2MWpUblV10zwPNudbDfuKB1qj8s8d1ujpCYYZ/21Et3F
UQgp4JCAb+adPz5RWi9FF1em9hgbdhH0XdncGb24ZmxxeRQgNIiTr6SNk3q4Lad5asBz4mslrSBK
0+ZWUbprDKuLo8Dz5haCQHGGrsysGInO2WXftQ76/Sn3ciOVa1CQi5sB/tZKfSFlPgUjFnNW2gOJ
0yMuUkugF8neVqOPeWV8TKv6YSijt1l18tKw+f53vNMyfqymFv44fKG0ll9LgdVJ74k6tMr+Ghr8
rGuxjkTiRc+bStKZNU+HfHJvzor2aIyYcQ66e5OI8saJEQIxmuW5WaqvUR+9x+/hjQoSL3NkNWHC
Uh+gq7l+2T9Cgy5vLZkm7A+EEKKd3g8zGGOvvMmpMb01nmWSK7wKcA3pBQXw46EyybZYFjZJ3Ht6
gFG261eeQTVylNfymEv7kQsXIDjPCBHJyT2oUnDuaNfq2Hp6uBJ6hfLOhkW9e/0KvHTb2pTiVhgc
5b9TaFIymb01t43+2EaOu8GG51cEPCJ0RXatyX5qqMZnAhFEYZu+LpASmhbHaweZo6ujvloeSyOL
0S+dwB7NtR7klVPuRuws9v0STw/9oA3bWpPRlnpnfVNKMVIGda4pKZ0vLyBx4kjkOIjGIGkd/5qi
NGbLXMzlcbLEHJS5h9j2UhpvDmxIRMFgrZgd+renJkD0flqBzKj+WLKsoZDDV2tqrskTnE+Fa5H9
iOgODYQzFUxavhlVXGN+FEqtbDUx4IPmSvPKTjmLOJAuAYtBu3slnPM4Hy9YFMW9Fnux85g09v3s
Wg8DVE4/Rr6L9vO1zXI2JYtuC7LUMCTBBAHJOB7Mm5ATHdLOekRSywzHwsT2pjCuSW5eGgVa5Qox
pLvDNzoeBeDvkHrTYD1ardX4tj54WzPrr/GjL45CVRbeKnAEEB7Ho7huCxgHnsAjNPcE0rBi4HAv
og+vH+QLo6zaFOsjiSwADbPjUWpgF+YCSfRRGNUSYgSvbQapTOHro5xdF7Tk4MIg07vitc9C6Gn2
ZDcpqYtCVic/NDldo8TI5A90UforR+fSUGg7QdDk86wQzeMJuQmCzi0/5LHoh9KvFn3YOSZNxsRL
27d2oZkVgKbVAZWYiOz3eCjqojlKUgWdRiWLQ/xX0R5R0SfviuUaLOzCZ8LwaGWF0l9n250MlVSV
LJSOpqZQMXztI61/0Fw5v/XVXycEe4giOYkOndrjCbUx9b7ESJiQZ/6dYAt9a/QesgPu9Nbq4Src
ADIJCzliTQQOjgcqJTouiSjE3kBtaOPW+o8KUborGRVEPP6Zo5IemQCVeHI36nnnDCy1JJbS7d59
HNt2rsJad8WhwaduCnp6ZSYwZ71y9jymTR7GczaKT8lcTe57B49I/Z2glTB+zhM1Kzdz2SCuZhM+
1gFNRv2xbrMh+qyNY734sSFpgFaaMli+ng62cVtbitv6GAVAVfGl3U0YJqM5XO4wPs26sPDmOfcr
VxVKqOORMwWZTUS8jWTe2b6mp6O5qdRpNLaFN8pm62ndWOwE7ojTu35w7WbnOVGxTZATc2af/smk
P81FtYxfALvRYLWbyX0nsthsbhBh9eLb0cuq3zln8BcBrKFtlzF1xb1XxmayXQXme+lP5qIm4ViD
Z3maJuL291FmxvFuHrWWGo2SzO29ProWdgdUZbGJ1cp88o0u8r5WRc+GJ0D1VCj/OED4SVUWH+wY
AGgw1aae+RViweU9T/nUbhszXZ7UvHP+zrQxr/i1eR2H06KYX12T4sHGnctF/2APhiVvEgxx9QDq
l6L7qEM0iBs7UW3rGxsEQ/2zK/rsPUgRTUMGhNBrW0oLq9yixUFrn2ronL2b23ocd1OH3dI2S6GF
30RkhwhAIIw2vB8TbfhbocoLVoa30MoDL1Yi8xflR6EG9jLl82+M2hw9SLEikUE5FXUX5HYaOU8L
IZa3bQazHoKyGJZhZ2mlld5I25mg4xfVPCoPPInwGc3WFIeKJUq+e84YZRuVqlm8bdzM+BJbpWkE
kPvyeuONWeG8V7M5h+09RPGTGBUvD2q7qxVkl9SmCQcnHVU2Rj/o4TjFMV6icLfNuywbMu1dMUZz
QqI4e+lBwlKeb8y2zBafj6HQhu+cxg0KCP5zQLM/jX8vs5Bu4Im2+BGJrnyyBa5jvkWs1QW1GNOn
fjYm9WO+9MbDrE45zsfsNM1Dj8xW02AuLaUKsVOtllsp1UKGdkeB5L21mHkaythUkr1m5kq6S8kt
xQ6UiB1vFqVy9c0cyx5UxvoZPje11ulbCgS6FahpOtbbqUprdQdGpNcDLXPixqfh7U07+kPp7MdJ
vnxFxM8eVssPzpNvNpGZhwk6M18HDbeisAMTUfuQ9ic9dI1Gs8IaS3hr08pOtX9pWlOoQWy0egY+
w9MPjaEm9kFTq67KfBhZ3ZeMc6sFtpUJHfRYrslt1Znqj9dfxvOLnesFpBitZdhzZ/XJvhEJxVWN
TvpYPuH2Gj8rKG8+vXEQXnGK6BoFJoe20ykkhv5ynwzZUu4HlVZy26G07ujKGLw+ytnLa1NRWlXx
oSqDFT0tWGijOo65UrV7QQlrK706ubESRf/USiR9Xx/qbNXWYAULC0BMhMnkj8fvB84jVqx3Xbu3
amnfxMNYBMagGeEbR6FZR/MTTiOp24qhPB4F2n9EO2CQ+8wbXCssxlG9syZveqPtNwwimNBUqflI
wCoomR6Po3fGNNfwvBCJhMpYZ/FQ+AAU02f6COZmAo2zFXZfiivTWxOn49eRfhfiO8AFVyufU7ZF
nsRTJEci88YZolvH+Z5qIw5iooMAm5V05GNp+3rbK2/m6IAPhIpN8xqhYrR4TuYrVCSTltq2H8ta
m3bmapmG7tCH1z/e+eyIykhMX0J0C5Tg8aK2xmIUq2LXo+FGytZWTOMupRcXWrVrbvNMv8sThFu8
bjTeHNsQD5IaojpJgECcczyw0Te8LIb0HseG9RMgru46DNGuxJ7naRWQczIdsh3yqjOnP3KQphlt
xXts+yh972VOutXMWvksY9rWaAQsz68v59l464lb+71oHhBNnXaVS0kLGDP4dt9QE3gHu6OFfUvG
Dw1jiwnAz9dHOz/fAPio53OLkJuS/RyvYaN4kZqPab/3qnFGm8+ufFWozeb1Uc77KWulE71ZmLer
+MkpQhdCpdMLrq39rBTl6GtKiYFWUwuI5lGq6b2fuYYbb7qs6IufmjevOq6ZEgGpy8aquy/zrJq2
eQNx/CFzcqv3cXSPrnXxzq9VfiRldF7GFWp1ytHUav7hOPLGPbevStTSpmFKKOzH/XTNN/bCUCR4
dJeI/ln707arEOzYeFL7fWHNQ4guXfaMaqZxV1dKf6U3eXEoKsygFukYQvU//sJK3MzeGJv9vk3E
5ARcdJR0LCF6YkW1beztlU+93ilHlx1FlLU5txrFkHyY6+/5o9g317lU9dkZ95KvWOyhbirYYy25
hSKki7Vb0PX8tdvSah3dr4xBbZ5dE89e0I116iD/rSXiBkd0OiajFifXajFnmQo/D9A27wDbcLWb
Pf557qhICS5/2DuKlgTGmBK30ka7T3SPlpPVQM+clGsdhgunjIIkLCAo5xTW9PVH/bEmsYHKx0zj
dc8D0cc+jjfWIWJNrqz9+adezzI7aqUxnmfkc47uZlYs017vaQkHhlIte2xYvSTs58UUV0KDC6P9
N+vFWeHGZ+XCuUgWjdrZsocgOd8kSQ+INUqSe7hA31/fU+ffbGVKUmZds2VEqU5eGK/C2LaYo2nP
baW8R6tRWLfUzPWwLFyj2CIH08xBno1tHLx5YJrtVJG5ul70bI+/W+4IICcgVfeUH+qQkrrix5oy
hr3qVXutafKbcY3nXx/0/AEAZkbQRbF8fb2dkyvZWRDlrgYx78t89p6SYRF3pWJ5yPUlw31XZCjK
vz7ghQ9JcZIEnSsCn9dT9VTN7Dsyw5IBWfwH4aRomqAJ/hxFMtm9PtT5QeDBpk7Jh6TW7532Ke0y
0ozFKeZ9p7rxnZ5mqBAWyTWnhEsrSEQAXxg10/NSW2UaQiM7m/dmFM+fHCvpQqFZ+U7t0yjsUci+
Amq7sIDYR6IhpnMS2KkngYhc7A4ZiVLda7ln48la97zUmNml7XTNOOfCAjIUMjernvoKGTzekVjx
DFXSNereEGO0QdLcvDGN9M0VUQo5nDZKlfQMuStPJmQUeR6XCF7vrVGat9nozQ/Ucq7pPFyYCxp/
1Fu5iEEGnXZ3x7LraE+32r5zQEtkuZxglk5F+PqWe3FCO36QmAHVXQRgufhpHh4v2egkQnGdSN0P
9AyNMKoNwHMVhRdEBKtJ/a5MLpB2Cer4/dzGjbcF+t8JQdWoVrybuVX1LNAjb/o0O9O8fNPHMnc2
per0VoA96OjuW71U80C1gRi+y6K2/eFEiS3fVU0yuM/korWKtlhCp9Kw4jjdzvGgvNEenvSM7sVq
0wyajuU8RU5I1NnyoWy0vVkkziPxHLr+WZ2sqERN+/z6gl44XSvZkSNMXkhV72RzTG3BJZKq2j6v
VHjbmgUq1odbZxwoFLfdps1T3b4ShJ9vFd5EGstUw1YPutMuqSuRL5umEt8YJdN3upuAY1rM7spW
WX/58U6hmg2NmmVc6br6ycwyXRvKDJGGvWdXw/fc6oYtG9d4KhfqWvPU2p9NfL1vtVk1r2Dfz28Q
MlOApCTa6FBwjxzv0T4ygAzF7FFENOr7vJ21T30Gwn+cKWK+/vkuLCVD0QemRgH96RTOyIMjla5i
qMjIxweDrfIu0Xvn9vVRzp9sIgIqEzBKuUDQATuekCPRrMYG3thT+G3D0hqtbTGV7sOkt+JDltj5
Tw/v+O3rg55PDUVuVNXAsML8BPp7PChKy3lblbqxpwvjBXabJZ9cL7beHFCvSCi+EpLwtNFPHdLm
OjXnCuuoPaaOyT3OvBx1d7Qf7Ma5hv093xaUXQCdckkSVPO/jydUTI5XKzRB954af28XT96qfT1v
x7i71s+7cEuiRgdgmv4UcoVcmMdDxTYFZrMxrD3w9EzB0xiCX7rJUoSfbjUTv8cwMcca9hGmSto7
O16WLmzsptqrXuO2Gz2Z6vlzkkweSqWDuXa4JlNNb4QzJIdmzsQczq3S/MTzWSTvHXAi4kZHYqPY
2KWaxFCUXAyftb5IPB/MShNBf8q7+Vqosy7Y8QnngMPDQyOOPUCCfTxL9NnLaHQrY992ye9KNkbg
mP1tHUEA0pPu2zzEt3PW4mmmXAlhL2zNlcVDEYGQZAWEHQ9s590yUvXW94ZX2feLqSjfcqvVrhyA
FxzeyfzotPMIoMnCOKflugFFlnZxW2sPJcoNqP9bj7lr96FIpXyvOV23V1Hx3c1WXwXTPNYHbAeS
sLLlNZ+485272hbzphNU0o7U1vvhj4yHJK5PkCFw9w62Ez7VSiVop6aier9km7ee+pX5tx5GHsBV
bet4KGlXoojope1NxU02BuYWdEVojbw+yoUJASkmZ6R0iGHHKfZ2XrK6VtzcIiSiBl5YidgN+oIj
dszeeX2o82fIWbv4BK5rRfSsH424W+b1dWftNeEo4Sx6+Wxr2RCI1qXyobkxjMBJm9NwMvL6Cv/r
fJ8yNkVyLm52K6Wo48Ucc7VOVJ2x0yTxwiUxcpIdPQlfn+HFxcTPAOItJXG0qo9HcYYcx5pusPbJ
Uvc7gWnvfUwitsWM/loucH7imZCzAsFXqwaQY8dDNa0yYamqWvsZSCbaobwRT15SdJ9jtm2YGUbx
M2/T/ktEjVP4QtjeNQXTS5NdDXrZNbQdzt4LMzHjgb1j7WuYDh8mJR4e0FoUn+3CularvHD+eXIR
62ODgsQ+8yqpWhOpiki39wj6DM5NtAyK42eN7cGOdNLUCSovHj9VXdIWBK9TPuxUr0uaB7vVcJxq
AGSVVzK+S+tPwMwrRgZPnHqyocxsdlAAbe29KbqZ2mJe0HadP9ZdszEr2/K7SPveeWKrVfmbhX7B
ysObBDaiUYYCmX/86RcsT8bVoWZP6OwGQ6JGINJFu0ta2V+Z5aVvvOqu8Iay/LAAjofqaJxQHo6d
/VBOug+myd4r0kajJIvMp9fPzjlMi2khXMOGIgKh2nMylhzxZG/E6LCf5KCEUN/GX2neoNJYKMXy
ftS6efadpc/385glUwjLNsq2spL9U5cW9rQzMj2+VilZBz1+eNaUnsCLKgIlxFMc1VAK2TVV7O5H
tTUfq6EYHibQZB9fn/uFUchxEHBED3W1iDr5onYiajgkvbd3xn4Cc1J21dfBsucrF/CFr7nyGCBC
kWXzsU5gR3YVO/2iFC4vSpEBO5rnp9HSxq0W2+aVGa0Bx8m6cQ2uS0aMjJDyyTvppObi9IPq7nNX
Ds+DFUd3wOto3zq56qtm1H968woiZAMcGPoI3U7z5OYtlarRqWm5e9uJcr+WOcxeV14zRL+0gC8N
jFVmk3f5ZAH7oTOE52bePivKfhO5fR9olVMgyKtes7e6sCVeGGuAglZpsVPNVcsSjnCa3Nt3UzOH
o6zrAMW7azIDl0ZZ3RbA8bFqaGEdn++4baepp/qztyTeJxJxvTClzHPz5o9Dpwm56xUjSx/i5K6c
tLikW5OJA6+itSursfdVI7pGbrkwF8BU7AL2G/fHaWhmoyeMzAaSUPVo5EGfONltxg15rSZ2FsVw
Tl9EfmkbE5ydGqS66ag5BZa6B7Nw+yWcubSWZy3rSupiclLc2563tgxTNJv0oOl0FfKuLUF255Nr
du9RMdenJ0wzAV9QGGjzgOAc9+1VZkJJfYtr7u9ERXTFb/Cw9ULsnjz+d9aXyk0eUax6cN2xAtCh
OiV9lcSyiucWIZOD5G5JMNy1pep7/YgMF+oKc/69wrGzfagcJBV8TYj8qeyzfv44lmjkZ75up6YZ
MAWju6vbCEyQIZQEhQX8PD0/0630x5jhL/qUpJasblq90q2NibLReDehaeX4qkal+O+xVZMFzSpt
tu8UM9GcfeLlVXObYKQQQUMZUZYq9dmjabp0y+zjhjHUvoJEadaGAryg+V2TePH8euPGc4AWvxTY
ufTO9bUGQgDUQmZ33xMAhLZRiFAWyMi/PsrZXbeOArEHhtwaoJyGYp2iaDqUKHfvVn16sLEr8otB
mHe5MU2baMy7L6+Pd7bRV819i943hRX4PqfXuGc2XsWfavu0T6ptoyNZG7em9eZZrXxDgkzqDpS2
7ZOrwYK0oSI8oe9b4bRh5aT1FkaacmfVk3Jr6c011vH5KpJDruxm0NEaj+567v7MrFJV6e22M/b4
L5kH/O+82I/Ban8SkaEIX+0xdH59HdcZHL1RlMMALa+yBSsQ97Q4NXeerDNjIIRri8IJLadufpnj
HNc7u+T63TWWMllbTBcm+0qp5UXu72RoaDkgWsE1r6X1k+cKNOHqSed5+6Kb+vmxnrz8R+aU2ZfW
GTOxdTK9/4rdEJ28PJvEhMKjh7pK70X9r1oWnXLr5VhH+YadK17InnTBDRp0n59j2+30HQlju4RJ
YjqQKJtJ1n8bTiEQkuvT2QrqrO2TTUW1pw37xKrkBy+y7d+RPjifIZcag5/MKBT6KkjEb0NH63b7
+sKfxc50Km00ZSDsr9nYqRCyyCXd2wU1gLZOx6c2E/1j6o0Wt46tKN/tRX0u3SGckdX/0VZD9/fr
o5894mvpjmiOSg8Qb2K6443WxkC50FTw9kqaJbtRtlpLx1gXWTDLLLtSAD17LVxiICp2qzD8yoE+
+dDRaMiyaztv7wlAjCPpkg9v9as9FaZfKs2uLPX3wuX6f32OZ1cEOSFMa1A54FaggK2H7Y/DNBgt
FBQKU3tdL+RWdrDMCgFd5K2jUAgB+UAllLTePlvJ1ilUK0vSw5hU/ZdRqXIfHWP90+ujnH8vRoEt
oQG0YCanhV2rWTD0ysr00A1KtnMKTb0vpyXbUty6llmd3UGk7AxEkYBiAYW00zvIG7sCgTVKLrmH
j4Q9/T1lwgkiyPiyH+Ir98/5xOC3rmUtXigduYWT0URcTpWoa3Fox6EOqB3QY85r41Er+jebEVL4
AJlNaZxJUU/Sj/dDMU3o4+FecUinivZO0xbbIUcP5vUvdb7rmAXyiZQlqEOSLx6PolCmq/Sy4Q1s
ozwg4ohvq1R4u9dHubBsa67E40QHm0L1erv8sbeb2KmcbIwzli0zRFhXXv3VXSDy+mlXxmr4+mhn
jwTtEt5YZuSgDkwv43g0K0pGuxh511VLLL5VoKnmNcqPth7ulHSodmBJrykuXpggbyB4cxRn1rf3
ZMieG8leMpkdALjXt5ElaXrNUsk5XTIartyGF76Zt/ZNeOhXDuILAv6P1YydSZiqqJGLqjrx4CFL
/TE1i2rz+ipeGoW2q877vgo+na7ioM8Uo3K3OCASi6hWJ73N4M3XvtWlUdbGK4qVHCuq0cffKhap
ViJZUBz03o22MFPsbyK20q9vnQsyUiYAqVWCnCLwySh2hx2GMUbFwY6mDCsR3NMyiTTl66OcPxyM
YvFRoIkhZHl6YhdHXfSqK8tDlRvLroDPtfHmbNmiJSVvTUWf/Abl8DvZFPY1AMz5ljdWJQIuJHKR
lcpxvIzRqNUgp+PiUGnOMD7pbWGnj7Bi9OnQkkSWH2e97r/bdWSlb5Z4f/FiMNBPoV9IbWv9aX/s
xq7OOy0du+qQx/boBlXtYUGHve7bjxh9c9pBBEV8QbSJjsfJkzlyFldUh2hAqQWeQBFYBbJnXm47
b74UV7EF3i9eLhRbT6NMIy0qsOeyOpT10m+pi9iHKpXVlYjyvEK6ajpAjkLkhugFhM3xjJIuNXpF
yavDkGbjjZ2Z2TZ2lGhHFpZs9LG2w6IAC0xl3A0mLKc2gzuajyV33pXr+fwNha/PUaejvfYuTncP
ZzunQulUhxqTnd3YlLZfjHG5MZQ2CrWMDtrrB+X80DMebH0KhhTdz/DvVTNbjSXS+hBVSQpJq5lx
Ey6vhayXZkU6y4O9ioGctWBLPTe5vvr6AK9HBIvhpUHpRbBJ9ajeFIva3bw+qwtnEIIgYG4SFOCN
p9kQScvSzq1THzgqRsDzZGwSGttbLwff6C4UFQAHi2+vD3phKYkP1mrnyniifne8h7i3I/QVV12i
SPeCCB1MK9CJYN0rn+zCYlLUongNfwtzplOkhQZWe7JmtTlUslR/J3ZZPRWZXX7q8Pbb6HXyZlQq
JDGIWrylYJnQxDuJS1y9Hbmx3foAOtd4t6ppb/XJtIPUML+8voLrvXGU1zES9wqVSK4vItaTcL9t
GyCfgplRgDE2ncibIUAsDI5Vo2dImCR5oT7bM5xtb4jlbZvW1ZVfcGHjUEeGqgYKjRv0tKLX9Xoz
LEvaHbjjKmPDfd3qG0Mb++KdV2l1c4uqgfJUVqpVXckGXpjLx5MHNUNvlMdjDQFPxdPjOEmBA/XW
IW+w0HB4oKwa/VR0D2rxDunPJrn1ajBR9zHa5u3v2pkWZ6eORdp9KJ0F8pyfVfZi/9bsrmrulMnw
5p2c9KZbmUlqefv6pzrdhPAx2Ap8oxVasaZox5u9H0FaD4uWHwan7MJhyd4JJTqUpvhM2/itmdI6
GNgbqkRrNngmsaprVa85S1oe4qrTMHvNB+xX1bemL4yCajOX1IpiIlc6mVKX17osStkeMC60A8tS
vB1b7dny6ioAJCGvvDmnm30dDrAeKTyZBe25dYX/eKxrE9Cm687dIakVZydN3pjcG7QNvLAhGN0p
33Xz6G7a1haBPjfxlVvk9LZieFh5BEmER7zjp3o3uaw7SeAlD4aC7YyRa2Kr2BDsXt8m56Nwjl9E
HrgVuZJP7g67Q/nXWER/QKDGfWigvBU3U9GM1yLkl47In6dHh+WuUQxBDoFSuX0aJ9hdrpRe348H
CkMY6OhGOrm7zlvUd0jNLuU2d5f0b9NSGu193KI1sYQwl1COBRQgkUly1b5rqGDosHvzWiQf08FQ
lx3svHQK3GFEXWYeEJqBKOqlqd9ntrvsRFTY3zNHLT4mEbUJv2jjFJNlV3hfZmRgYTWoyrNhd3b6
xqCIyVI2IO8Fq7VaDp40UowMwuLUlNOh8pSv+mDGu7hK7Ssn/IydsY7icguiHsBQHPPjDWo0QneL
pJ6pyQ6atmknS5p+A95tDhelRPDJmybqYcokPYR6xSTKQ25w+nepJdxui8V1ihZLSxnRn5C1UUJ6
TMb4xtRotV1gJ3Ns6elSRTnJ9urGHSn3LfVh8FyC7UJzHpWip2f/so//z4/pP8WviiwAnH3Z/eu/
+P8/qnqG9BDLk//7r339q/wg21+/5MO3+r/Wv/o//+nxX/zXQ0Jlrat+y9P/6ugv8e//e/zwm/x2
9H82pUzk/L7/1c5Pv7o+ly8D8EvX//L/9w//49fLv/Jxrn/9868fVc/Vxb8m4P7+9e8/uv35z78A
Jv9xpNd//99/+Pit4O89VcW3MiES+u9/7H/+xq9vneQve/+gAAOgiOgZEcQXkaTx18ufqP8AXQHd
gw0EcpKb9a//KCuohv/8y3T5o9WUk+4/3fGXdLar+pc/Mv6xtldhbr0gjQnG//p/Mz/6Rv/7zf6j
RIu5SkrZ/fMvgMlHAQVAb34Db+nL3UPSecrdcSslk+SCelDDJGzunCXpoaHXYCRuqJXay2HQ2my2
fDQbRfGkLJYn7qaxy6rGr+OiM9vN0leZ9rOYqlbbjbQp6lupDZoXNJVWFBtPJJEMRwFIM8xbVYE2
7naW922aiR8CG4lI1N0XjA/u4e4uyo1Miynn+hCtiD9medQrD5C3TXJgwNVVdW9lpmiDMsGgdEhr
YXfoAZNG3jajLj+4/ejcZaCaDwbEmOU26TPzM0uu1CGkaEtsZzEWeyfqGjfshUPj029KrSq+W3LR
+tKXRjlG9xH01lENY0Ob1Gd1NvLosXFVco248Ep7Mydzhz00siFjgJSlZVI8j8u/zbjAeUrPoUXe
lCgLAMejsRZtZlvWMoCcLLNwmZp28VNlcXu/1Eo7C1zFVcS2sBHh3ArhVHW4grvFQy4976EwpuJD
nSXLsG2bbryHcFbpfpYMce8zheSrlIt8mu0x1/05WanAylAa27lNbXdTjEprbk1K0HFo5K4GhsQQ
Q5/4ZFVD/mDq1filxr7L9o2kdZJNLtpE89EFxcpH9L35K5nl/CmL3VBE3lyE2AqZDCvs9/RMqvvF
Bs3st9Lmxm8Q9/5ZFmaW7pRIeSpy1ZrD3Oy6b1FOnc4DZxasweR9LM3l8+yqvtM0AXK3on6nF5He
In0Vy7tUgT0RKnqbP8dGNtzWtZs/TA2GDUFE2PNOK2X/XRjLHHrJlAdDYeQ/VKvUhN8UZYFCAbUf
YHOWNvkRCA4Zalpv3anplH7Nu5Zd46QwbpBbWWqmM07ub5H0iCGCbZngbrdKHu8sxem70Fj07kMx
VLG6ab2hXn1dxpQeqVGyNuzTh0XBM8iHeqtC7vZQe/ct5Ki0bU9Ak/uWno0J5oFi3iwNZQ1fNaXS
0F7P5E1r9UYfoI4onyZJ58PXErf63MsGC0o865dnc8xboptES6xAmhDm/cmxy0eaNetPxfxs2brx
0H4sMV346eqJJYPMSIfPY5zETShrY/7Yd7ZDLa+NbLRfUXBXbtAFQN4S/Tnx0/Pi+LnVFicOdSTa
qx2S7fibTONc/25IKNywiNr0fal4hkTcvVPeNygGOJt0MiPHdzsbfEU0D/nf4zBkne+lFR8AEVzt
rpBpF/sl7d2fUaXL+V7G2aj7XmLY77U0E8/Q+UxEEFEm2BHKk2cKGRlfdA4UACNXKMNGRUp8n+eK
nfkWDOrfRQzuyFd6/szvcmcy/ZqK0b0ApfExQbD/qe0dlCFMp9NvM/LlMbAGs/usUMaQ907TzzdD
tZKPtDLyHpIiJyfJuwbBIrXoEck1GxQJArOwVehedeRtUxo0g68D8Ozf6Y1J/9pBEeJnPSrjr8po
l/y2lJknDlbdAHBZNHWONp7kDvtOxsE+7iy9/Cr4DYtf2ugW3itLoUQgRpVWg8pfZD9cUZjTFm2P
2gZCoDjPchoQuNT1Evlt6r1tsWkGWI2arcwRzeS++Dx5MMeDdkndH205lwd3zDUU+q0GawDQbEa1
LaBfloGiNQqDR2bnz15ef3TkEMe+OrpqDsFMj3/rzoQqfFaQE9oC3NE76Q6yCBpjiu5LgazItsaH
d0HLIerglM6R6m6xVYg7v+sMVBmAJvClbHtynw2dZrov8rnotpY2FOjkZYgMxdag32D7p5u+0Kb0
0NSOMXPB5Mij5UoBI9com0MjG/HF1mUVB1AyPHHDoANSY8B2olsEMfQ5sPhsMkSVc042jW5UcYh6
Qv6tUEe66+3I3RY2HGQzqGM3zbfOOEZNYKu1NYV4FnXv7UXD62GIKrsNp5ieArp3BHM+XFXlXW1W
NbbGZbfAOBHuc6X38tdSuMvqXQ5RH1hd9rVLBxNAQ7XadLHg/HZ7VBYRtoXIPnQUVPqw1U1a44sH
YhDlyHr+gD2SlaL4pWRgNWanxFtCLdI4UNohoYHqlSv8oXKLNMyQWvnEVxtaKKVV9NMdUmvimy6D
CFqDCzVw+JXPVVO2d31CDuQXGKAXvhzdNN7VXaY+EbO7E5YPRlsGQOv723l09CoEdTU8GU48jX5X
mh0tha7RPuRqL/YOErDAQf4vd+exZDeSpelXaes9cqDFFuLq0JobWESQBBzaoRzA0893s7J6qmps
eqx2Y2NVK2YyeXkDcD/nl3U952Et2sGP9AWnI5mhAVnmGKO4WA21/ayyTJ2Eh1AnnNbBWCJjWWke
XLd6fGAmMLuIe9V7Z7y2Pgx3zMCPxgCRYk7rYgB4FNhvU7Uaj5reLJwNg+Bx9ebOOyijwcXZFY4l
YxqsM3eXa24lIxWg6YgIw9E/YbR7IxxshRrZb2r3vlnBycNtkvZwWTPoq9Bq7PVeK/k4UY9Gdorb
zBxeJzs3HzZ+Qdtxc+kwGpYwXrie2vLkzJPJ3dbPWyJyYWlJ0JdpFzb1MOnhwK3b7doMNilG9TPx
L6Jjeqe+Z6qTzrW126AOtjpUtc9TU8tOrbFH58bvOataFeay3bTQ2qYxDR1tmL75b1AWcAUHPjI7
F/fdpAsrqRTZPjuSnwhAWUpK3/wu99I49R3xBCmSpzzyQ+8nNoNCH5tbM5zTdHWtMKM5xIvyteJ9
mwy9/NqcpbiVi8kEb7fSHrkl+CnSANKMD0Zjt+upLo15X1SDz762uNLGkbW6XLqpWbShT5v3QnFl
Wr4bVrqQxGI48lJNK5cYmPUoonrUOLZXoJ83WoO3mXtpsF5IPzKonKSp1Akb4iOn3aBoTgz7dcjt
xN4ENvil40+Kyrxox5DIxIbc1qbzahwldTZQtq2cZ1ds1KzInO8/Woo8uC8CS8yJ103Cviymmy3J
1cc0JU6v+WuogGqmEDmu+TVpS2MwR6T+51Bm2Y9xmQx5Kh1v8LjTK7pUSn/QHiuj7cs493Noi2Jc
xbQzysL2Q2Cr6SHHeAZUJGvNO9b25M4XVP/XV2k1urjjSiguxmrbC72vs6NHrd/jpIARMR7VulqP
iNDKH8qrvTGEOyn2DjUoxa4jAGiIRNfytFaeQyxurzcDffPCzxlliWAdnZvWn0h1sFwS2S+bmDGN
riMW1cRTrbX+ViiYml+bofnT0xYIc2tDsQDCX7JsmPNXZuKi2qd62qiLuQIOn2wCatrHoe8GtROT
rgwGYD8ddnlhGOm3I/qSiKFhtPUn5gnPvDhWutqP1ppaZjQaUD//F9XaP6MYrBGQ2tefC7g8dWpQ
9f+8CaeFqbld0WdxzT++sXEQxQHCxe9/WKz+Wl/+cV35c23/XxjGn38MKCsabXYyFvx/BVqDvmtw
oUpisu0Fp0IgquXJ8EaOTqbKwgorw+wubtcW5P5YTIN6ryh590T//O8vu//HFfaf1t7/diX+f3DZ
vYZX/o+/b5T/264bTv3U/BT/uOtef8PfVl1L/wOynP8T1xj8udH+53/8teoGf1wLe2FNHVwt12Xz
v1ZdzfwD5JLfQR6iSYIUAXL/+R9/7bqa/Qf4Hwwa2mib/5GV9u8su8Ad/7TsXp2CfDDECSSuXQV1
f+I5/wAoFsiSNN3qXgnI1B8G6SR1oDF2a0I/LYN/4JC1T7lLMJYy2lCqD8vf1+0YWeaym8YycZ2n
2XrCjRQWfhmPHMmRyRK7BfwGtJi+9jhuT9267PS+PrX1WY7phQKCKXSXzHizspNlPhr4lwgEMsc0
sXp3jKdp1l5b42c3G/G4naV5aDzu0+GL6qjzRIHRselJjfKMnp7QQh93fVnjpR8Tzy+i1E3RePq/
0r5hn1ShP+FvIxGkLWIyV3AOIXGT2V1RWUFC/+yRxukwqJ0IunXx+0dneyRLTws7N3vKsybMZnWS
s3ay/TzUtIBZWqLJL1twu3GMyXC3Qt3Y2PoKnXirmaR8edCwBPRmHXtDtc8d/SyHMkznH7M3o7tU
wxZpgRZzFv9saz9uxuJG2TeIoSLsoFaahxRcmWEVVFfKazoNCCqJuaBzxIkM0oRypZgWuP00bacE
O/uAXdhcEzX+1hgJ/fr3lFvcPe2+7V/84CdhzeHm0legtuBxJht4NCQXPMDKfkjHiPjDm9JxX7bF
dQ+WURfhwtqxCxy+lcYJHeY9a8p/5YMKQUri2lF9SGzNa6HkThK00TTFwV/9LjTWriQt3pM3Os13
oSiyk1ZfTPuzXJx3172uRab2sdVfhHDGmnejgvY4IyZJLITjWATNr3Tamn2li+lMUdxwO3HgW43z
OhlzmLqUSbv8kJ0+lPDGeeboz1K5sZelr0TaxWyGZpI7b1yl+3ZQ1xhJ7jp2oNPqbPfBuOV74Z+b
FnGfFhwrEvzosXXOi72g6JOVdWPNdrLOamcrO6aOKskBfmiAC7Ni+sWUzRPd9qfFbRK97Y4WDynh
67/Z4MLAr/d2UBPTL3YG3bwhOFEfac6ysAtPIZLrG7cqTqoEV+nS2COfr4rKXiPmdopq2yuiQEei
PxPttrKrNv7Bm/SEn3LErJkYlaKLeSE2RosZc+OtfJiC2g1zfGNUeUVQAXutg8CzxV3qFYlXzrt6
Nh4gxSPdf7KFCjnvTexeQawNN8DgR6qBIsxfBzOTMvS0EzY/SLm40sSuGb6H9nnwklx/TfMlNO3l
SBkbssU0uDeCoTmS5MpqvUV00J073yCLPoia6ceC6d1tHianO5r5yHOqJ6tyuzur7uuwydfDoqvH
aaEHdmvv7M6IHL0PLVuwxzZTCo7+qNq3VGgnY2jDonJibE4gGixS+nJbjPBZ+hRiEjgPxcJ48Fvb
3oT+biojrLpUPqia24/icwSramdqSNWOo/NYDlke1Yw0u3Fi2Ub/rtc7czwttnqaZHHchoeWl1/M
Pfl3RXMhLuAgcoKLvDtzzhLhphGQMHEzjOpr+TV6KdO8SwThdYAXXUIc4T4FQLe6PuxK7b4tP0it
/51mCEjtPJzm5yUV76nD2+BvDU/VV+OpyFM8IlYb9yQUrMvX2NVRQ7JgTahjiMk0kqyWqflSqzGU
vOadboSrVNGy/Uq1301J/xwEcec8zq5JLuVDUaQcEbezI4IzsfPvDkSuUzXRbGRfxlpOtNa9YI1q
Y+npCUvYpXZIgSxOeW1Gi8xrZtX85Nvqvu9LYooUx5pqQy1vvNDLi8NsE7u1KgoELX3ZEWgUOVsa
ToAAI1uZLB/G7S3wPwNAG3V1GOTNrjUAEYQKkkyf91K2ABALmrJIk2UaefX82+u30+Zrl2150vNj
Pu71yfYfbKt7HkYR51n/0dnePs+0Q2mkJHTWjXtEUcEZn2XBdvGN3o5NO7/tHTHejs4m2TdE9TU4
+b1mOg3gk7z36uDHzFsLBPyAMhWk1NU/Bu4aYhWXH71CtQDzY1yycgBbyPZU8tHbacPpsIHfUR7/
YKJta3A+MG8rce6LktDsev1B83ykS+OY1sON2ly6SXp31zG23rZtR4BBq4oTQuIdAkr9IG1yUoGh
gUWy4VHWuRGt/ch3p3sVwyn6iqgYZudi4eZ7c0ET91lQ9S8WM70Fw0QMhDb8mlVgvhn6UB765Qrt
uoPNXmQiWwb4CO26O6WOTtx0AzRCcWIyEzi7H1QNnBoYO7udD7b0v+vOyM4akN+R2IAuKlQg0rCY
plNFmtZL6vhj7PdUoIQ+J1ErnDkWI9tbPvtvuUU0aK68kFqW10FRimtw+ROI+eBUAW9kfiMX4yXV
gH0cnZqnNvOa0DdeiUsNVW8/DsLN9mUPbL756lhtJgiA/YZqMG1g6BdCI8dzlnW/bZC80Gv15ssA
IzmRaKdvIYZjIyKutNgiHqwNthrhXOjnxovppCcyUM+rnR+WYHsbaZRMt+VbjKUf8zewd/jIo9Vx
j4HXHY3RF/HQ8AP2pjqWjUiwy5aR5Whj5I6V2GX5FI8yf9Mb8lgd860zuyQre4ExbD7mtbyvOzKJ
2uENtfgeD08OqrCwlRoAQlkjD212t4x1XHH3D952vV7CTt94qByp8giP9qEWAJDFyJcptPGAnCSc
t+k8LqzNZHv254pBPtaRZ7x2iF93KyFFsXQGKzHA26YoqIKVe3UU1ri33WF8GDWrY7cYCA/wvHTb
gWo7ItbHdHpm5c0TuxCInm2ZO5yyPWBblyM/DweMkm7L1EBXmoVta+XQ7oSnYqdbvcidOvO+wcAa
UR833DSq9Pa9vdoPPvtLHXYAo68kudo5mga7e0gdq13DwSq4/NfZEodygA0uVbMvN1n2oVllXsUR
ytYXNiItmjDV2uDkaR0TpTcpbDYTQW2nUvIehUCb3pm3eiC70fc+KBiQZP3V48WuDVLrJMzCj0bP
Wy+GmCWTlf6YnSu16R2DTJrME1mmcS4pHdhNQTfrYc/9egLPqy42oVnMiuWIJZ8CJ5tIpF25gT6G
o+lxi5brvqbX8DxaWfZgKi6O0VibG23cyD6xv/vgufTU2WG8eJ2acj2ONmGnawnM25J2cAEtVE/E
DC8fNp/+1s25kFSRWnFQBF7iD4P70G6rfxMMS/vAR0mPolgePRpI47pwOKWK/rVcjeAIPeIjeJ3A
K/kA2/ekTLGv4HIQ/lVxUPvpPZexvgMRxDW2WCnzoH4uO0u7nYy2+WqE3rwi1oUUUqPLq1eY4FU+
f14DKx23QzcRupknll3kL4Mn1IX6p33Apl8FVlJqVb0rLOpcUTTLk96A1mlO+ZJV/dtqIGwLrm0z
vqtlUdEng1MYP7xua09ZZYqkb5z1WdvK9rOmwuZV2EOakA+tDoPOpFwZOWjHtKY7c/XdF68J8p0G
dXOgG9aISEXUSn5czFarr+W7oMwegsJwQlihlNVZTmfS3YpHu3K/RZueiKh5U7PYCf9hk8NHnj2D
OKlET+fypsy7oypEywhn4Fp21DHN0vxuTIMysdX8LAiHgGAeJt7RIL/Yi/1MjJuKNl3eaKliAULk
HhlE5jazEL+kYmloxKoDZ3oXUy5PfbtE9nUgYTY8eCVfbmf0w0VkDOyV+M4ELitYpHdj8l6LWXcI
Kxh3YJn3qa2Gkzvbl6L8XfGzpF9XPKbFMN6T6XsNL6TSvRdamRTZ9uZo5lvjEBYIaFucR9CxzEST
nM3BY+VnEcfgeQ22Jqws9YCy862Zx/vRGgCwh4ntQFagzQ0Nk3J4IUPjo73uLSTthJlXngxT9vhN
tMglbfdmBryOm6BhYQrsZYlzjwfFDU7+4FVPHKYMxXAju1arySpYJmfXEw+biaW/qYVtHkeCYot7
Lxi6eOO5/VXQrRJbObB1r2leogBwbpZ0bcROc3CnXfXXIuyJRtzx0g83JRVqt6UQxX6aa7C4mm5T
3gxceAKxQpz1V/KprWovrCTZ40QizzN1Tkhe6lFs7FFUQl9W7Aom38nQ/5zVQkZu1bV6XPN8x6pv
869hhN1cKZ3tVvLYL+NciXBDdjSFreoPHSrJadeVuiPO7rCE9nZwrG57h7gtE6nNe3c1fhV6t+8n
ic0/B8nrDPeDpbgItW35zNoKdkrLgr9pKf6i7/+Jmv4vTcC/ygf+/0RUMEb8d5DK06/+61/UA9ff
8Jd6wAI4gaCn3xR3BagFEqm/QSqG/wdsGWk6JLIg0bwGwv1dPOD+QWYA+AuGIJcwk6sW/u/iAfMP
hEyY0XCgoEumH/nfwVOQKvwr7IecASGYT6t3cI0n/VM0/A+AihCDCIiih3rpi/kk8lJL5qp1ThoB
gJ8WO+Ub0sgqXAs3D2l8+0GIixbl5tjf+UOaXoQS9lcquy0KCuEfq3zN3/Ji23bOtNkXHjlu4Rxj
+7tRtMO+w56an/EaN/eByT1HwKn4rXAXPGiVcI6g6Nqtg9/zURuUvDXI6Aa5VgirDHu8WbjsXwca
DqNG5UWiqDaMzcXTknIURG+xr78Uo7TRPOkZAoa17kIlesI19UU++M5qP9l9B/6tlcVX68Hfe7lQ
R8vamsPSwYuoVW3nBcHUYRlz87Llxpa0w1bvHDcvL6zpNwTh3WemkRAmCkidimgzjacUk1WEgNHC
gLEw9xRW+hn4uQj11kgWaoVCW6x5tHXmzxRmqlGZSEQ1RV3lnfrak3unHHeFQTCb5eYn06ru3OxF
re2j5lT9AehA3XMP1YSxqywI9Uypt6af10vT+BmfHt7LV529F1VVw8KZIKh1B1+9qvXLKHLQY1yR
R221n6mQUR9lGlj4vGxtr4yMLl/rFqbP2W9G3zykdWvebGS/vahGXxPPndyD12rzcyYGNi8kmlNo
omA45WAZ0VgO0+toLfSrKEyYSYbn9C6Y8u9J1omBpD2sqTEMq7S2Is23irDxxvR7yud8X0trfLCs
LggbsI09zTvzVbBy5xCKH5vteO8N47s2A+zlxBQpWu6huexjgzd3sWWsnHy6ldPymnUukUuLTpnm
9OVZ4tEpLZEsZXmjp2Z38le2n7He8h3zQ5sQwHoe5+UsNeg8ILSq679yk2skm7IyIVv/ZTZ9OuoG
KqkvFNzDnY2y40MMRj/FZkNBGtfn0Zfe9Dp5RXk2cl+dU59vJ8zUxqRay0istbXTZ+QJWQF3KBpE
2D9N6dfhFKAPsMxsOXrylKJ7Rl5gsc4trbbvXRX7I/iLyUV0aqc8WRpmgz5QE3J1gBR38Pc+WmTC
ojT/21CavYM4Ss1wyD2ffGRjur92d9usLq7fBNHqrXuhw3w4K4c9bF1o9Fqi2/OuyhFCjoCCDTDg
JNvlIE0hT/TL/GLoPpIIOKGyGM+GU1DgaK1oJEZvucnnBQgB/c0MwZPMqjjP5oQcZkI801n5nCi7
PFsd+VhzJfNw0fSd0xtDhB7HOorOsm6HtrsdZt9+WLRqBJST34PWv3izIk7Udx4aUweIwG3LYF6T
jWLYMCue9rlQgnEZmO4foXbg11dKm+laiQB76H2o3MoNPUJtoaFbyjA6u//cRts997lv78tV98LZ
0ejzTbO7ceRv1BX5h4nCek/WvnqdgO52UyunJxIObkafcMIi12IcQiePGsaqsX4XtTj2kIA38Fr2
a0lpRNxVd+MQyNhfRRH2vo06R6nvZqV9MJO69Upvo4yn3hdnbGA7S6xLONraeyCFvmv6cov1Pn9O
tz52STvdN2t98AzepthvhXcRwJGv9mo1UdH231VePDiNM90j3QFFs280yzhCjr629I2HIit4Jsfu
Kc3FT1jWT2+St85cdbeeQDfgVvjB6jY95JUoTk6HsjHDP33UqnJ+lVpd39AlRqyrpzWhuUlvly5V
+W3NQc90WOuhWqrtd0+ZSNyQl5e0lZudS+ENe5ShHHeDrgOjN0UadYatncbOqHYAXktY5PRbN7Cs
Ee3Q276/yoVyVTi7hYbG0MYTEa9u7u1pd1ZRuWVuotfW16ZsN6xUio7NbpZ9BgdwXhFsnINZyx+h
kM0forWdMvZyChhnt+7vhlSc7Kx8SE3ZNUmFO3KX2UgAyjVKA7+xQNTd/Kerle7BmIPiPXPEeuv1
Q/8rKGvn18KPjYqJ4MGYC5utSi1fDvkgn0DDMuyd9MxfZGN5y8w4k9nR5ypKZukYx97PqifGtZ/j
aHgxFC6ap9FoXttxmx87s65eh7XeCE7YjjmxxABBZvOgtTNw7loE5hAWm/uOcXwG86iTsVt+oDR4
SWubCsZi06yIY+B2luW3oiMvZEVF4UEXc6znFave6knzs8vFAImvQZvDUQIeN0aa6xQeZdZuKSuP
ULdGSuIbXVeLBkLIEAqvmn30tUX7sOauuTB+gDyUXeM927rmO6FouunD0zSWnM1p7kdtmo8BnS4X
s221eLALLPamqM0mRIXWX6xiyFRkpL35giFE3c/C5BgQQNlfk+4rP0zpFjkYpexeyaRznm2jpRa4
hD/PEAI17jXVN9U+5SSmx9k0+yfN8ptHs8uHJ0YR2F464elAmZCu1Fkakp5L0avOodUGznJHVOZ2
M8thOuVlhbwr3coXyh5fsTLxiE11ew66xTqJrV8++T4I/YFVaH9RFAwttObT74x/CYnblRf31iWb
wyIzOSHnjGJPo7fuy2ZPZQdGqKGZH02WcOk7PUYN+mtQ0z0ViKCHQr+VffqolR43MSKTaVQFu3yF
faNKf4teubvV0g7DsO4r56fvN7GmX1Xwc4wi8Es3dzNCxRhTBLhuGaTrnaja9OKX1IHPhTraxvzp
z9pSg3IKTjyhdV/XcfFsEdhxDx8/SlD1dIj8HOUR9XWfck7/TE3rro/vjSOnfeDxjirB/RWM8x71
i/MCyqcgdpR1o1ccxzrpAbvGy0NCh7YExnp4mAvDfel5ncAwx0U+FWTPJX5hB/dwTMOn6Ml/FRPX
TFqZMpm2EiykKPxj7pChLyymv2wEfhoD5f5yveFrrbztpZKg3bAB/b4DQf3prA57/Z8iCZ9EromI
PPg84+y0W/XklKW3E6nsY0DEvWq3ae/lxpdX6K9o2pDtEJt22wa9fcgKtGBhmy4fVSoO+ir3Ju+l
ozWXzG/3ZupxSgYN6bqmrb/C8ph92KwmAlitan5hzGVK2eCINrPL9jqAsgWeX2Q/4cA+PeqV7hBb
J0W3AHoiSH90Oq8MkZLn98jWzQ/ZzzMB1XP7krmVdaemcTi41dpQC4OSs1OLvZfVWHzP6NoAOk2g
7NKyXtSfqhNkVP5vFLEWr6oj3b3ZMc62bRY7NoyRUZF0MN+t2UkvkfM29d5RwPHUBx8QqYqk0PLq
Pmv7/LS1Zn9YhtEHeyqyO/1P0YvY6i7xTGgYI0tRYnDDHhtTPEzbiiSElihameUGOdWuOZSC0b4Q
ije0UVtf9TROjrSfY/yqs7Hbgtcu49fMWCt+kMp6sDS4SyN9CqqL8DeJwGVxeSvGTe6nAhlUiFci
PRZ4T3+XSEgPXZ2fPXDAU58JC9wwkwAaYj2U+Vof+76bjtvkmW+SAiaIAEAJiLmWQiJHuCXJ+XLw
YSSESCavByNnNwJWpiPokoHFFYz3+McJ4UyNU28v4wCZaFspaiWv5C21NYYzc81o5L4+56Qjdj/6
RWhJ54z7TDTtuxor1CLbKlQd8+Bnsa4DXDBFGTmcVm7E5tCkZ7Rb4L9T2ds6mweUZb80g8I1qYI6
JP1Uew4or9+OtEGSfq2vjR8WpMEcCHsbFazG0oV2t01vqpdNJH1L1JHt9ldVNtqP5yYrTZM/SMwK
toMy47hSesoXp/uvxjiUCQ1MMiG+2Xte3UxfohF92+NSWDU5HqkHoru1sb7aUGSrq2HpMuFL5s63
om4VsgupG1qfK+UNkYvZ9I7zP9sVGYPcMKKh3CqqXlNNCoJ9nP7TLFC4hCRftL9Nbdg+y9bJCCZ1
FXVJ8nke2j4LVdADQTUMGvbINGcWhklQtLRuaQZ3ttWFt+FOssq+vrX7qT8VTVc9m6wBHEwsdVwg
dlRbfABVZfYPvp3piKDIjfO5cqN20NSu6zznkg7TR2fpDgDqqJVRQBTJAa3idpzqlCOv0d3mbp2E
eQDnHUOry4Jo7AtGFUubTwaX80mSaUw/eY06rm+1s9IAozTlbrtp8PVzys0HgNZbx6bI5aFwbC3J
C9loUQfu/j6snXMsOuIBJ38IuEGMNUYMtR74JS5UvWdpgbsojTdX4Q4D+yoedRl80SPWIkEFoJqR
VI0kOSVIXqoI3d3G8iVZi2jA4OgZ7fUu91Hf5a3SQsJntfMMSTM8gfU+QkYAahVOMroGYJz9g5o8
a8mOZjHsZ7DoowDQ2pcwwgK6smXjC2dLBacgt7xwSW1x5PkoI8DC8Z0P+pHOjRNhK37TlCC3SRbj
Jx7gX6rIz3MjXNBA2knqbYcVAs32ooVF2qE49vLfdKTxTuroXe3JZGEIZifxCmStfuddFnt6DQbN
TMrpGnxQpzd4e2dA9YkiE8tuOIEq/7Cti5/G7MXOjTdyVq2pExeepr90JrTqwFJx5bOaWF+Q1F1F
c0vTkP7E1DtshQUg3uwFenvUFVVk9eVu2RrnqUeaiy623fbScD5oMvPfOQjLgxIlwHvj5hHCADq6
C2For3qzbklnts6eH30bp+bgHMa0fFYzGyJHm2C8CEZ2BRb60GRCemzTVFtCY0sVWmbTq6C7qA1L
pD57Uaa3WJVTl84xIWWyBcuTKLbv1c/GONdGCNWmmOJi7tJ76cFhltJ7tUQTtCE9wMXRDorpq5gN
HXZqJMiLVwdlwbLLgqILZ3PRbj0P6NQMZraiHlJeshj503gjyrq6c0BtzkhM3Z1cJ3cHtZE4Tu+H
ypPYJCy2I2tYb9IVCXngMGDK8TaQwXcx+XiV1mYO62pIFs08W0KacenKIF59+TI52lNPt1ZkSkdy
BQ0f4+iqA0slz6vDj4M0InLGZneGKsx8/oZcSCq7TZHpnGZn3e6Mpfqx2Vj7PIsIznFmAWV50aOp
Hpicxa2Jdu+4sC97Hf8Nssz3GHJzxBh9FwGumEDJ9V64BjzlysBDqiYDCH/6PBifYuxhbFfzR+FI
P2mQ5xeb1cfdTHM4Lo0m4adnMRFXNqRgPSa+j4qkrbYHbCFP0pBHiUgm1Jw1iK3C4RC2DdrNM/vC
fQvNkz6V5pdmqnmPimndDUsvvpYMlAiY68o6/vCG+TwyrkvDqPYKWi3CNPPEXTHcUdXenWqP2BS9
MdmxlI3y09yOXtocTCrvI8dOd/D297IJkhV9QE2Q7mHCsRqmyg17w+DAyZrmmIP3RXJ05r2hV85D
79rQKYhId4HqVlj/4U0FznQ3lI0OP+W/k/NVRU1b7EvUKIhj0htC+M1DR/kgWt/MxHEzvOCe3Vl9
cWnr/mdHugeaECBt3Gspwe5iOzWDfLeMpn+oB+95THEZOFXLHKuCcd/Y/nxbgRdEm6MdJlsOR1b0
HlF9u8ap3WdoB9AAY8xDzYBWM5lq8yHohcdZqhlfrG9fZMCQIadq89hVGFPMYYtLrDdhBgRjM0Yn
dYk6NiPqhno1fQmFdIifWQIZaVzP4ZzpRwP7N8yVLs4mdZ5lZ4RWkK0ZDAzgnxAZ3YCuftNVdRo7
lHcsqXWrD5l+8PuJwCh5ZQrmnpXeXZd4m+v8+1q3OSGCGp3PzBIBetfmqTOXz9FyZVjXdFqXTc13
lG1lKDqsJUYBitGP/ZHAH+QTeBFAKLRH05WnTAasm65dRq2VHbIKRE8viQ0uEJb3lMMf3BbOEQXQ
B/UpBInVPpKjmk+0xgXipqjUy7NqmrepN4qD5upih2VTXAyfvAl7ShQnyq2Jogh+0DCag7XwlGNU
uvp2KRENND1xJ+Q1M54UjIHkgMngtKwWx0jLgjnxgoaMgL/h/fxf/pp/Q9W74VyuyKEz+kM5ojay
rfz1TkrrgCWJ7RTmfC9JE4zzYHx0ELi72zREHNnjY40OBM3mu2XSdL/RchTVCHX5aBdd6x7cxt33
lub+9lPmZJHuy277IIPHZcZkwdhqdD4bgEXIztPvNdd+Hx0z+xEEqDO8LUWmV126Of/2uBTD6crV
eoxk70j3j3IeMsxmTrQZ8/zQLsXZHAf6bxBj9aUzReNigRn8T/bOZLltZEvD79LrhgOJMbHlLJKa
KFmSvUHIsox5nvH0/UGuW1ekfMWoRS86ouOOURMIIJF5zn/+IWBqzBCKkX56b0SJv4Yytau8SnJw
DN1qHPTnIrK2iVvvhfvdbllXeh+8xkkG02pagUYLWFnDZCpzmOGmmdY7s7HsRSn1aDf61m3f8rqc
rlwisKB0SpK1W4/j0rdzjtoIGlmAW4jmrgILxazlXIgIaVcW0/fFcZjns74e6Ok1Z9C/Wr7+C4NP
sfcHgejUN/WV4lvlvmkyZS+r72rRPiloKBwPwpNZ4iBfpMSP454x6U7ypTaGCQPVHIogZPsfnLMo
nMxo3ul6uYlSnKlGO1/4dc+crngtDW0prP4KEBq/lPilqfonLTQtomOR5lmJr2/C0gsvg84f96LQ
zPvRY3NXDIPVYjwqTficaa2+cdrLJhmbDRFmL1GWjMuhUPt9N1T9ogn7mIGsS9kCf85u9yJQd13D
YdJXA4bAZTEjku8qSaxLvxmWjh+NPL2cY7rTxpVmQnoJmDXIHgPJJnerjT4k8155rTKmtyqy3Btk
mIzoyrUW/RqYbavfcJNaBJyNY4R7Y6JHr4OZrmQeU0DW+IFZY4WLd6QSq1snLRCW/1iFsXLhoYtk
PSIwEuIeSSNiH12Jf/qNBmkQEcPW1srxFjhTx+y0zma+igvnmCvplnLU3Xd8WYGS3tmhe1UrVrdu
tSJAeuLl87zqv3Zo1GrT3/keQ1YTz5WF7MkVYGTwpBnJpsF7YYnkwN+ht4svefz9Ck+EjdsY/NDM
T+9LVMcLHlXz1ChPpoMXxdATLmJbKACTdm4lbrgYIO7dGQlgWifJERbjBUo/f01J8mIpwdKNvJ1a
anPYqT9TN7uC/e1CXal+OsxhtKxoZ3Gs7pTMW8dYUMt8DJcJshB8d5ZKjA9dKLKFofrj1hpNCdUq
1leITNcNxjA7vzchConceBwolBCDdy0rMOnmlV9hlDeq4yWiDbnp3Spf0U7FFNp5dau1oXIRMDEo
Zkacgt5aNUe3NF4rEnEH0BXR9y9EmGFuCDn8WzRZiyhVOB+7u8EzN1bAIsQENV43QXQhwmBZc+Ka
Hg2s/S2P0JDhsGQ3VrP1On+4HJkUreDkLlt0XnVgz9UBRAVYnFBS+rukuWlslJZOeFc24bgoUy/5
DqNrF7oK2Bf8v9pkMOx2nMpl9TWlagoG6uayxK8jwUh127eMLZCIA/cH9ksf4xZiUUoMaqWsQ7sw
d6XFSQUIVu4QUiy9rhlgsgAgFDYfglMYuwJglqyyluTtmWqPlsrJmGbGvDTTDtbLqA0NvDw7g3Gg
2PllP5blLlKRHOhjx6bSgs7NCNS9BCD9leGjMVfcgo1XUPktx0pU13WrWssY7u1sMDgmMYTwNoNE
nUKxdo8uTt/USgIDWCF4jiExdY8hJBROHzqfVWbOZYXkAm4gPI9VmJo+O2uIHLQQof3V7jmnu8Zx
IKqY6UVrh1aCS6zl+0yym/TSxT/Rn3EGIXErarkOB1pnUUTDgsshGgF7/6GoRUZ1h+hjrmZJvrKh
LzSzMVOfjazZK4mFuibFEqTS/UfNrLVF67DNt33RrFoDTqTWOy4ERy4xiPau5lx+5eUWyzaVqD1t
2XqzJArVRyWu1J84o5n5zHVj/zUr/IBuEkQMf+Yc+rcTvZjk7u792Fafy2C08PesYVbZfQ/TxcYv
IUOkV0d5DLsccL8I5iZwaKB/09BVXAIJmWu46eldw0Z47TrB12SEOt5HTnrr0938aNUKEoNDn7Aw
HcTMQ6P7DwR1m+QAh+14laJGRDJcRyvRY9IAmSS4HLomf2rs0dl2SuKuQKcqqtq4XpBXol2mPQyy
ZEyfvaK8MQLmB74KllSZhXLhV6F9xYJAOeMwT+CFqdkdZV+OEi0xv2nZkLSU9F730OP0sG2QfIAz
ucb1kDcwCyOnU7GCGY2dGYnxrg+pR6wYFZmPdcjAUat513ZMPRwjAFvXsZQzxS7lY2f0MBpMuCqQ
UrJV5loQvUt1XLVjaMyE3nAsduMi8RJxMCKZXWhaXj2lmjns4eJluywY3Z+lBnQCBpR6wgJHLKFi
ukn6s7MBso3A1hf5WH2tFaGy3Sje+BOD22SmBMJdA5Xqu6x/CKtIeSYd26UzsuqNRqTobeUZ3kKO
UODCNIjXfYS+xKqgsVVu1XOEUVxEFZnZM0FiyzxGi1y11EXUeIXm3gRu221UdAk74UFXGXozpUKw
45ecB7AdU0avQAxYwththlQe+PJQ0uEv/9vgQy4TCXo7hkgMk9ZJd+5YmeCao7eEvSVhMnvQSkuj
vPnnApf/a9IVjG4/I1rcPMfPzXvlyttf/5tnIXQDm4bJcNvAnkpFwPQ3z0IXX7B41tCu2CYA/Tvp
ivwypcUA4xP/o2PridrkL56F9gXTXiwqGVEzaDL5C/4Jz2JygHknepoUK7goTe6Qk53wB+NiqgNm
65nNMg9IL2f3rCBFoI2Dzk+Hkw8wdPQBGjKZQO+ezx/kVjy+kwubXBq7LuKNuM0PHmG5NziR6Mq9
9Gll0G1bRGNq6Ub00Cg+v9QJkYR75FIOVA4Tqx/H5IEdWf1MY9+h6dJyn7lgt1HdWqseBuKZGzIm
25fjR2lqIH7ETaAgY0p+IlML0OQ3KrOEPbw+QN1S+qtKNWOGOFa7rUHCVmaEhmxZlz2OrHQpESa6
rtHO1GmAM0MGC6M1F6m+GKGVMRHRkJVYImMupI22dl3oDZHznaEW37IAIoE0GoDGehi+InqoHqO2
6H62ga8wKYOOCp3bYXLWh3DagU7Av3p/OISJpn01mq74hrDc3nk+g0WGRbdlmnYLre0bwlhctYBd
qif9dwfR4D8z98VwUpAJYNk4qBlYhJJ5cPwyNFElmujUeh91dgN6kCWwGfvkzCs/cR55uwqfD+uL
/5DkcPIuLIjRXtXJam+O/kNLtdRcQQ3J1zrq88Xnq8v+w/LSsUYkxYZwJxK9p5X+jqdUNV4fmPQE
e3cIgL3UueZBjHb1VUj+afPiIeLUzJkTVXPsNqZqctW0NTNPdSYZGMnyRmueIzW8CJgCeniYoHRe
J861DoGu065M4N2I4YLf0WklD9JMOOPpkEeYcvpelEw3t2pNcX9w6d589bsRPEKXYmKCeIGp2txH
rwCIvwz1EpF9s1IYg4TjWvh0fNZj5V6H2XAbRfXccffQo2Z9eDtYr279MIzhrgsOWMesYrF124Rp
+lViD3OGh7r0llrb8X+fbXhBMkda1hxKiCWfP9w/fVS6gfBzsnfFkNE88aRrAspbXMeqfeYHgvI6
XTH/UFdhlL4GUTa1boIKwBufoTsqayoS7OSxJrgXUXTF2BiuhwttIvFda4f9AaoMV52JunlCwkeh
9go/pZzH+FoukhacKazU4CYKMgB9xbirbTEual/X56KC0iE78TNmOHMR2Wa7c7LWvrSMquAjLgRt
bJze6ZGVX0Q9ZEkzSYe1lub+byYjqs4/e+q8GbudbDI6Isgp4w5fKFtOKsR3i43oNzWnQK33ZiV1
RFABoIxlDtsxHwGtUr395XQ9e7gdMzfGxeTJg6t/keo9hNXOseatC44UiFDQtgNPKgiZZkJtER+Z
YTN32Wym3oh/chMlS8Mg4ODzFyr+sEtiSKyhydRMyTF2YmulNL7p82DrfQItCNDfK+aV51Cr5YOx
rCSE91gOABkSukYOx49M8eGMyecfjh5iPNirOXUAaidG5Ptn2KVGCw4WUcZL8mpcRwl3UNbNtTRd
68w+9MdLcbYyw9UwCzs9E1LDL4pqbJq9U5TarDcG2LZapH7zMeQ+92T/dC0b8zyM3gQGuG/71Lul
oaLMqEwiyvZxrtZXiYQXzUhNv+3autvxMPRZ5I8S3RS0JV+oOd4XJQYbSjZs8Hgli6vJ8BjCZ+Wq
jKECn3nvH3dkm0IHaZlKsWFa2rQu3v067IfGrpKi2Hulqy0rHHJnoCqoGcIqlwy+9AYNopRzoPIn
twh0mEuhu6Hd7FapmLqeuBtpB5kExWOrXnnmoJ15Vx9LIRTCnNw21Cq0O6eJy4br+ZYGPLnPMM85
JGkJ8z3qY2CGMl3bgx9dhNVo7QWm+Geu/OEEMaiCWI1T0WCQNg7f9v2zKTwVirufprshquTSHqJ8
4WECPfv8FXy8ClUeVSX/whMQ47rjq+QtUo6iD41dopbIiCcVTWinyurzq3x4z7g3OuzVKszXacs+
+biYAVtjPLTjLhnEGkVfCaik4hop7GKhEDj6drX/Z3b/F40CsSWTA+p/VszfPafeUdPx99/zu/Ow
nS+MhNCbI8HiA8dJ6l+dhy2/2AywVJYdfpv8L3/mL4o3PQnBFuzPKh6HuvnWrvzVevCn8IaDKw4z
XFDEwRj/l5r/r4r/N+v+z2eZmNqbdxWzMvUehqQKPKkBO9fDFqkGhBda/9QGjVi0Xl2s69IV68jz
GXcaQ7KkRE/BrMHbc/UtV4wyp/FA57kbSMpeHO9jRe8WxRCytBJ67VRPvwdJJmatoY7bQubJc+m5
7UVAn74S5lgvez5/iJGVtWE4jMxEmL0+qysDsWxkfrWy4KWI7XIFsS6/iqOmhevi1M+B0w2XOjgQ
/bUbrPIi0pC/QY39MXS1um1S2LxGpKjblHCbedmg1+80zdnmaFSWsoBwxJsGuZSJIaFgZCFxPiYf
RddL69aBiYINV2Y9FET+zhOwEESLaj2D9A29pun8pQuXbZ47jDSsdOwvAmFqs7bNHxUGi3eZbyAv
1IrhIXD6YTaivH3lE6W2Lm1vPsi0m5OEbc21CpEWmJO2dDLG7Vac/1I4M2ZKCw1DxS1w1lmNLWaZ
3a5bI17KQY3mjSkyjJfC4B47JkSFpIZZcwEzZE5k8CE2YEqhakTA2UB96QsBhOx18QaftZ6dfPR+
wptNvsNbsg8ydYe1lXXjpYmLELTEst+nARYj2G0rKynbajs4wSa1tCeJic1SVD5WTQbjnbxW85nj
GvEK+5RsC3MQGjmjPnvV9KNci66/94twLfuB+WUGPc4xyksr6tu5idHfHHEY6VNev0943mvd7hFg
eur9iMGRxRlzMSAymOHmBk1eYvTi5ZRORYt2Cwskb1MwNkwsvcHUiGa1qdPo1iprfDerKuUWY+d7
pTP3yvJG33p9DsVvzIxN66r5Q2t3+V1L6h5a3MbeFZGEPcDI0mVyz3Q07voO6VlQPjRN1VC7AqIZ
ipVsnESLH/+39sn7LOHf/wecM4VO7fuf98ZdwBj8uQ6O9sfpb/m9NWI8pCJlQcgy5f6SmC45qP5S
v1jOF7ILOCyx8eDDtDgo/yV/+cLmx9/JXgqZS8Mr829YRhHsm4Y1/WF2bTANYJ5/sjke741cwmKL
xbqERpky+UOEghlE5KF4dXszGJ229DJc66J2+IngqvtZFJF9IZjGIy9j3h6phK6HNNaA3pax04pG
LN89ur+27vfeOG/Zr/9uO6ZfwxAWU1CTo4QHL6fa4l31Jnq8v32YrDddzFC2VPStUCET93DvZgqi
2E0i0pQ8JpGscrQyy9wXwSIQzkYZ0+96CJWgriRdcSKrewJyy3VbGkjYOl29rPFN3Ket8wT37Wy3
MZ0kp7/b0TFnMaeSxDlNI+lDt27sViEAJa8u4lQlsqgO57Go1AWnSHSblS306VHW2xqdwU0qkby6
WgSNIje7XVN55UuTtNUD8qArs98mQryeebLHVfvbkyUuAl9+whUE6MHJWdhmMZZQEb8wEbF6QIXe
/grIMZ/7pWUu8bbBZFKOOVzCIpqLZrLxHe1oZQl/BtAVL/yqKpjcG90tJnvVlQ3dbh05gT7DVRAa
gpqkqz5o400mPfW6qBtv7/QoaKxOWguTGcXu89t5K1XfP3BdTPlnaMM0wVQUh9njhRI0oV1GuE5f
R7rFOLdVIVrNBrQY7PCQILwA77i56Y+HCkmN2LW1+gMTTus6qAROpkE7YIBRe/HajvNw4SlVfWXi
k80wKWtK5M+58pJAhHfniYVVCOTxNWT19AbDyeY1xToVBKSBNp6bd4gFZgM2dPuiCOr1OBrIBoq6
FPXcHfVoruRxtoOMoGI+nevx48BweALrybwNGv1xxJHyPi4q0mJh7IVwKnI//e5m7rgQWv3K+yqw
zKipn2aNL50rm8eRLpw6yJ+Muu+Wrte6WAIEojyzXo6LeFywIKUQmIztO5//ZPx7/HzVyGQgUAXZ
3SgQwJBZaK1qmRtXn7/GyRfp/Xfz4TLsm++/d0NPalNmfnaHbjtfKyG2L/E4Of5UGYx3RnGXufC/
swJ9Zmxe8pC6anrv6M19MihPn/8W/eQbJorJoFIkHoT8LCCP03RUw+6gkw5WfhiTUSwbHaZANpr2
wpKZ3DcCai6beLnuel/BVagTvwaEgPuELWuHWQLzc1saWyRgmMrb0zMLceEIBru+jvEQqLDT0H/2
GgiEZnSbZKpestKqdgKju41l1Mbc02WGLV05buKxjh59te0vvX7Ir0sp+8ncI9uYeaXeOHEnDvwn
wQ4uLBD2Mmf+/FG8SR7ffV2ETajk2kye4/jwg2pPzde7bbiHfujWfu8ecp0p6zBehjwHaAPzUXXm
QWdtrZxE8jpkmJXdEa5zpk9987A6vj7vAeSEZoIegTD54+vDiGRsZUTGwR2NYmu6is3T7bZInaAa
u0O8gRsc3ME/QHUVWHJmRLiqmnodLvjj5byDcrKPoqH7RwZxfBSAYVOgNPiCRYPyFlj47rHgP6s1
wKX6IRPDo1Vr4soMfOPi84d/slH/vggHsc61phyECT54dxH6f9dFQaAfvEDqa0vrgE+z8qIp6zMf
33EHPd2NafFpGypIjhTidDKiqaGsDD3KDpBooARnGUY2BZ57uG4M/QNKyH7x+Z1Nv/z4rbJRT32g
xEUN0++Tw730GaXHwBoHz6jQmQzXfSVQJ1pMEyJ09AnkWCs5c80/LGWExVN0lwSUMG3nBA8ioykC
CWnzA+mRoNnlnY9UbiybddJXyCkE1qf2skG/hKT/l6Yl6396z1M+lE1zbFEAknpy/DbhQBlYS3b9
oVN8b9GmFhg4whHGpHV3XdXaD36ShllZ0577hk92cBpulbpO4zFjWIf7+skObqQN3hGRXl7DjBqv
VKJuE0Vk287WsApjkpPAyQ/gA7tZthqjxH00fK9dmUNUbIpGNs8cR9lN6Bbnoo8muff7ZcDWorGq
p0ObwnYKpTh+JFEb8GVTEV8TwDHcNrI1t0RFaDg/Ve4dzQlOc7E7g5isr+Lc2dkV7MOo737KCDJD
YafBpqFoWfkZRsijig9KorKOCtPieMjzc4mrJ0CyyUBAI+MVhAkglwnBVIq//x4VLQ4FsK1ynWbt
vMJaR2mbvTAvHX1AEpsxoNdWHfwSNx7PvMKT7wWkjsSQt3EiNbptnsIXLnzYsOxqXDbTmhnOgONe
xa4fd3Cy81iYCGDHcOMU53JYTnagt+vqsO4IctcpAk7TPEQcEr/h++O13gV48FRZtVTsKpqT+1H/
xtX+45zh5MzFE5F8QtAhgGtdFyyG44fbDJ2obUQuN0OswvjusAIbFWXJwoZU4zYkZUKD+vyLPE3g
ocVwBJWw4IRRmWqrJ+svoeXCrLscD4ARKIGTDPw6QuU+U/RSbOx4TJZe6yUXetHYF0NlvbgqtKrM
TmGI4M076zulXblJKNcK4Oa50I+3/f3fu6Scfh4VOhi+YITJUPFklzR7P8RkPR5AhuuvmYjGpdeU
wRrjOGffEMLG2I+QarVR/acwGLo99mXVVdA0JZK6uNvZMU4qY2+Ei4A8s6VEiAfNQ8Bz9Umo/ma0
VXSBMy8jOghhbmDlV4kWjpdlZGCl1RtPjRzFKtKbfqtXbXhuNz7elH7fnEVjO51v/Nfk+PD+Ywoq
oHHVa8dDHAIV4Zrb7JCgRst87NF+F76hrOJEVNtQ/miSeGb4uBU7TpPcsoi+agMTIxg4Y/Py+ZI4
/tD4VVP/Cy2CZajpLIuTckM3i5YgZ8yesU7Xf5qySTd+WtjzIqnSpR8o/TeZZOVKuOq5SufD8+DK
liQMAzdmHUT7ZC2qdm9kJi6Hh8C141WJUzw+6444c9Iff9DT/UH7mABVSCGU8qf3507SJVHI8sAW
10JPNh+LCmMUHX/22edP8vh7/n2l6WFaOrnmjIhOFq9ulTjH6Vl5MOvQezIxz1iaqbPTJnbdNC8M
fIeIis+veVItThcl/w3aC6MljdpdPekFAT77ltOgOYT0EitL8bUbqyDlQMuU+i5k81n66KwfGjJm
l2rV1qhFRzoMqIoL3QB6C9IOM3MoKed2muOT7l8/bPqGiam0xSmaMXZ9qld4OxyYBlGABJr4HmhG
gzRCHy/Q4bk7N4pR49ppjK0EknuOlhDoINIWKWCFTxe2Avv01uYYatu4qn9knnw1UoRgdTq0Z/bi
kxn475+r8QwZ+qKhZUUef5xaSvaLwijlUGoMUMaiQ3ebWZhd2mTByTIvtnykmGfaZHI4sukPbSuR
H8Jc9r9bviIhrzvVhRCjv3f1yruiy6p/mEWNchPzul3i5dmrlgbJ1itbXCkLD3uAHJCgNVBXRLnp
7H1NpkvC4fKrMlO/q1FUPLAxlMYMVMy+0vECQJndlVd+5+KNWucSr+ixwlLcrLZ5gTEGILGFMDc5
Nw9/K4aPdmXUn3ChIFGxN7PETj5UafVNYrV+cdBdNDTOgKeAOxTG1lTaYWsFmbmvVF9u2q65Qb87
Pro4xH0jYuIpQtuLT6dfLyMLFaFmlpAJnGi4Qovuby1kJz8+/xyOy/q3t8gJ4vAr0a9zjkybwbv+
IWzSpBl9JT/Eg1FvnCGeYH4tn2U9Np31aI7Lz6/38ZOnmtdNhjVTZQ/n5uR6dYzQ0XTzA22G+tRA
N8lwGJ+XgQMMM9S4+ZmMpD+/5scNjTaMfZoAVgLDpXNSNiS2nELNvOKQ9QL1kBZosDGMAfFCfy4u
9w+P02bISIHyRob7gOwpbQv7gksx58ZnMwy9K2zpujk+Qek2btzozBH58Xq4EOkOWzVYIlQf7fhx
YsrvQ6oYswN6S+W+yztnjhvaAKk6b5dCCfPLzx/lh7OPepwYZaa1tEmSzvb4elVV12XQBqAeXWlt
cMHBrDHw25UVVNaMEA1MJ/MkuyjVtpl/fuU3DOnom5pQBsjB1ltLSLdyfGncjLBbt7jVAAfrb30R
9D9ykY8PdWpeaYWpr4FtVVwSVe0Kaa65ikzEqLFfdstc4F9KVHe2kG3aPEVamtIlY+1sKN2kzllb
/GMXff9dgUs8c2VVbshSU+aF0ZTEOrTeY4MrQJwSUMqnjOq3qFNEpO3QbeKuxrtuzM7wEj6s2Ole
SRcHiNVRPZ/ea166Q9K1LCPPj6uZLBjvJWyfFLjxcKZt+PBBnlxqeuPvNgA8+9LRFWwAknnmHOL3
U57iihh3zmPtF0TV1OLMmn0DPk7e5ER6BIyla7DZg44vabR4W2FBEx9YqtiQG1IhHih2iGjJ4Cx1
zcTxh3iwLDvthvSodsEWkV2pCeEpZZn4aOYk56BCZOuFEQ9LJcnjtcLkboWNKHPQTrcO+GSVu0Jn
QDuYrj0blfp1aiuWVqtk6qwvJ1uLMYNKViBWLnqZbUl5PHejJ80gN0au7bT7T6NpHNg/QBjKkGek
IESEiLXLmt2QqIV+mLejWq7SREF71ht3fqsjmGliJ5wZ/cPnH82H7WH6AQbTIX4GJ9EpnhB3Ldg8
M8lDr7g+KDQKstekM7oVxXr9dcBYef35BU8AlN+3TLgbUxmCg21a4eN3q6YMgELfjw9IZS3MOd2V
TqdrZpzKKUKkjadkRCS3xCbkxDYjXkRKZPqYVZ35HR9KZe4cozimaESS05OfbFRN6dhAJV4M+28I
1qgu/HVk2HgzSNcdMSV91Ugz2+AuJZduW7kLzmTQ9JbX5EbmLRoU+eyH517Hx89a8C7ehlVTDPEp
Ta6ptLSSipke8DOXj7bNpGTsoPyakSJuP38AJ7OxtxcBGj8x2jhqJ0L28YuAYgGWRb9wyCtm/Jn0
I0i0TFlQVlaevmyDxNs2yM1XQvKFQVPUVoQWNNuh8+U2Ja6cKbdCHpZMw2gtBIYQOmYrPDkNFK4u
EetOxR6xOCZCLNfJ/DOH9h9eoNQ5azivLU0HlTv+/QZ+pLnhgzcaEkP0tMdgEpxTntmLxLQej/ci
IUFp2IzwBqSpOwH82A0wGuza7NAq3isJu2jh5SMGRQz5A9PbIPGuUZgF7q2uIHhX3EasLVMMXyNA
nnmsYo/y+Xv70wdEdCJ6KIMJA8z86bm8349hlqg4sGBnR+LfPIliZxkNWrgNcuue+m+8JEelCitl
ZxfjvZZ0zaY914gckyFZlnwy+O9RF4K90gCeFBWeIhoNEV93K8ANlk09NgsjUn8h4kLzZlfl2oMC
utLTtlkmQFlJ0p5Bzk86IX6AhLtssXzJzmagdPIM9NCLmOap5SGHFT/Pxw6P+ip8gNDy7FU5/kyY
FCxCi3wuPNHbM4XGycL7fXGH0F9o03ADTwEfNa7N0LJgLkOg/qlhBLgHDE/uP3/N5odnPNW+0zPm
Ju2JZ3f8mpEst2MOteUAtAr9w+i81chUesbrwJdt0AlvCnMr2wnNQ0c1uZNhut4tFd937618jA5R
JsdnC7Oxq1SG/VoXkfuEC433zYMtvCbM0l9pft+sUn1oVrKuzRVizXGF6T6pQQA2m5roqk2Seteu
24GbNm216307WtvCf2qtOFnrve0s1cEvr6xoqOgxO2U5hANG9GOfXfo9HrS2Z4f3bW+TklFp8crX
KhKVihbrNT/7XhSrbNi1xDSuW9uAYrn6/BkShXL07fLdGipLXvKqQEU4bY6fIUEIUaX3+ngonOBF
HyTuCsi7t5jLBia+8qM29fQynYWB1q1dDycbz6++RQ14cRlHwY88S+rLNi/zW4nWben5frVSch+F
SSitXZ42EsZ01l1P9j6Ei5vpwsQgqZs12aCRKOFqCwzX4w3GQOqZW/uwBiUSFKj7mCLB99BPV4dO
WFPSSV890DvU+Gb1ym0a+O7NP3+AjFgsBnfMbmlaTh6ghfrD6d1SHJq4X2R9sPQQQmLjO7f8ciVF
fedLa6PgygQZbo3r96xN0xuRrFPvwauu00nyrw+XMNAxa0SwWW/isr7H9W0mcZsYMJzhY5vlevdg
cuKf2Sj/8PZBZQmr1h1yqh2YxcdvH/dRb7ScWh4aG7WGnUXEyMmM0t7Q+vhi1LFgwf6o8pheZKY/
0xgTztBrZ5eYMhiYp4DstIP0CZLrxnnRdtvRly8tZvJrjFKdbcE4+7ZVGTBIRY1/Rk7prziFULVq
LZ5TnsmYU9O6TYbW88zZfQofsLCneo0eEm6k1ADzj29NhCRY+T5auj7Sh5Wro5ELBu8GinF/M45t
flkqvvNQEXoPH7mxZ509mFcdIfXzbGAyHBgoPjAbxDZqxAR+xpYSMj3qrUVETPri80V0UtPwWy3V
5qCepjQAh2/zm3fnlR1lOD86jXbIkKkCNGfOBa6xZPIomnKmVfnjpcALyQLW4Puop+cS1MPYg+Nx
0JLQpf8q4sn/2lpGLK/D53d1ihL+vi3uS6O5pnxWT+rY3qyJBSRa9KCHaPdJ4BWLZPDgzOnqjv6X
qNEsuIhl5K3xdX+onQEXQNUl4SXwxgVyoutUDbN/Vs2//SZpUcxNAVHgIye/ychQk5ljqR+Ia/hF
LZ1jAN5a7i0e4faZt3rSOPy+FIfwRMelMjqFTCJT9W1y0fVDL5KvioNxZYTl0cJScDazM689E3v/
hxXPDoQ0Ch6BzWzndFbuGRkrfkydg4OLxQ+LpM258EicSgMDtquE9fDUd5pdLQI/3YyuVH5Ks5Uj
How9Oj2suv2bfPCWBlSuRzwD3Qv8z0iFAPxk7JaFw5kv9OPJA/bBVIkp8TSkPsU+u7ZPwBPH8I4Y
Z0wKR6170UWOOtyLdYZtWnNRpoF5pio6LQ15KZxysMXAW6nqmRMfbwtt3k7Bm0lxVzWadRFmjJ4I
TyGoIFGG6xIt9GPa9Poz23K+iHD7ux4Tn5wImG+/X9f/89v/CwnCu43iQxjcJUllz0fczemv/0tQ
a3yZWBJQJAwG6cwLOdT/om4aX2gyUFNAnGCKzWzlb+qmbsFdZ44yfc68VM6yv6mbuvmFLk7jcEa5
ybiH1Ll/wNx8Y46+63QmOBXN7kRrZ9ICt+90zaqdlyheRDtjonoPsDXSyMJqTHdObO9tCkMnGJ5r
Xb8R8fPo38jma5Ot0YPOrMG/VRk0EAJCfOU+IRWuqu4m6XdWbUr1QTe0jY7vYIDzo1dANA9jglo2
UtyOGkpR82nML7Ej5kCo8Ru+1/p1LaJ5u1PyFwLNHGUpho331epvVfh1JSxgRG8kHPTpBSosPOpm
ZNVCtHMXWUapFa+tfD1ZRIHsbTP+kB2rCyu4kAkZlOSDqgWRTyUGNeGixCtArW5yDzsL49XIbvBs
AXAo79qUAU7+a8QzwnWeBkzbRFL8wAXiusbzYpKpGhFURY/kav0yIlUKCuisT55k9IO2fh5kmO8E
OP412sxiUxTuPOucZTmQyRW9aDlSHfMOQ+213z73evZgokokQASyBMMHvcswpHxwWhpvTAXBtHZe
4S9tHYpfj5101vIQ61UnWvJZ9WWtBIvIzjcd9lGi/9V3yRpjoNy+HYLvUFVbnziD7Fvj7chImpmw
w9UIJ6vyKgkKrEm8pYtYt3NfEm2W4KpsaptYfRXjixzvFedZWNgAlQTQJM3cH36YFMy1F9zgN3zf
SH8Z2RuY6ssyitYqdjS9/aQG4wWhLfMmpxMhY7ox60vQE5ira5dEGj+ck8i+cNJ4jhHUuvWa6z7l
kRsFNP+eMbGYE163HtqCvOVmWQJR231+pavprNJgMGZLzNKxbqygiWpzIYulXzzjeD5XQpZOYMwx
x2l9PPerNXOceUWGN93FLidbb8zusLvtw58YcM2LEMt7mB5GfdFLsvvK7yqhr1qG9ZcJjhvi+5Fa
vF993VesbzNepmgSLB0POv5RulddWNUaZGDRO+na6Oy9lbQ7m0KK4Jx5ngbrUV7n/0PdeexWbrVr
+lbODdBgDpMekNxRWVt5QqgUmHPm1fdD2ceWqGrtYxz04AcKsAGVapGLK3zhDYDtFWPlE+xmcrL3
9buueyyAxKbJWVIjbRvwDOyEeURfe5La1smzyEmzR4xgmCZWqrKLwhcDWGZRjW6n4AbEbgP26fjl
5HYiIqsB4t7oO1OIWeMTv1bDaZthg4ayPU8/80QGbJwG1KZf0hiOQgq2dsgQ6c18pwnGdTlItt4P
Lp1XJzEu9YoXF0876VDEwwWw108n4eWfNZPPaGxjDr/+KaX8dcAgOkdgMuNAl1GrYtC2DpoQUfbk
HbKpUae3MeFzD8sFufZJvvQVxbYEMFSVeTqrkYwGwvddMLfzUSXsN3mC4g73WadI687XbV+9RK5n
DUCDX8MrDYe14Rrdf6pAzVsgR2AL0RwuHcki6B+Re87XfYQ9b2yhR3iSB9cTGaghOKmMCLQpIbmD
DpvyBB5CVgY85+4sIV/hyezQqnM6MA9Ah9A40tXXAFHjKBOwCzkp09xN6l0UPCvgbVF/7eKN0N8k
PERmIiWMIJSuX9QBSl/UjIbNz5O6qE99n9Q5UPsUXtN4SONcZVKn5FZs4kvkZd1g1m/Coy3NnkbM
9jLxQafEDeVkrFDmOIaJ+0AVLL/rzCSnwwTAiFvq6yNknSCYfR23diwZK0XHLS9wYhzJ6sskoArz
a1LstHamwFhp1Uo0HU2+VvVdJjyUxm7wVjGWgJxL8p0IJbpdCeNu0E58ExkllBSBpujbArMdoT0S
LX2NYD8mjvINGCHqepQ/l8BIiRUD0j9Btc761TaIWoHGmIzTETn5nz/RXIhcTA8DKYgHyEyPtKQO
tz5qhuLsx8YukxMXKhX4SHPAkHLrl8fGMr691pzwwoGzZFGHd76ETOBsjw6lF4B+QfIs068ND337
ut/6ab5FaNLNII1jvjQL8D30BWAeGmOStovzlQbUPO4R3TLsJqPSFI/RrVnDO4+TtY9z15ik9yLO
mT73PI0C7s50m2T5ASC12yt3AZu3D5tXocpWnP9ISJa7sMMtbz7NWyyR/PO+fpEQYGy08XKSXFjT
WJBU++FCFa9Ks10pFEv98aoKJBsUsWvp76OmOBUueT4bUzBgokWVDdbeFifqLV7xBFN8lyOWNiCZ
q0ocJT32kFVC2f4u0U3O2HJX0EkQAgEdwVU0vafCJZZ/+yrY4G7ksCrQZB3cpjuXutm+Gg1F1M8k
iVhFpqtWOY13Iya7EH9Trdka2RXG1JzqBc6rtS0ZtV0xDcZj51frHl6bdjdfwzAJNtp4H6C+r5Qo
GabT1goqp1MPBSoEYYjvo3jWDy3SGa+SeBqbpatPOHMIN2MUOmXyOprpXkxXeqTtxxarcevdlF4N
pkARV3QunT57bpFkCIwLA4xRetE121bcxQ2lQomjChVq4d6PO1csP26ANL9vWstFrcMRobe0QuHU
8mkvQbOGUDDWkM8EO0GYE5GvzQQMUQ8KCjzGipqu3Zj72B/cOh84PUcbaTYH0/lSRTwRq5BmGigh
KLtmSm/QUcK00eT+DPHv7Ho3MVToiiD+oK4ANsdBw1FiGHFcbVPbsqRe5JJ9n0gn4ONzjEWh0QXU
jhPZiWBUGuMLEsJuRMCjsE9ymfOeuw8+heafJr7l5iq5C7EZw2WBjn+9uos6z7awUjOmPahyud5k
yqYOQMHnUDH0O8nDaaMtt4Z+2SBkaU7Gdr5SoWxjbBW5BYHMTAoShYx2I3gyHUD2K4YzV0O88hKN
PYNZ5WStxXidQveTcCTQ+LXW3yrUwHxk3TrtpMNdJMZUU4usnYZtFZQVOwYjG9A0rZC8zurrSdYO
iXLbad2ZorY21O69VFCAvDUDLBFNnCBQMK6DVWQmLsqXqD9cx7yJKVwGngSd5qpsX/pBIfrqnQ75
DFXcdyMhAX4ZvbFGP2RfI+MlEMXK2AH3OvEI0L1cvs7UapUU/U5KPUcu3nNxqzfXRYXmgoJRQoV8
CnRKVbLjGPFz/2FWz0Zc0U0swc5zeYc1PeFfb75NKJOZAXGdhcokV6R0V5oXkC5dbdoqRFwpgttT
anFRCzdaeN8ON+D0dhBgbKsPDrOA44RApZQ1TiVfeEhGGwWE6/pFyPle6kPfQiSyMLXATiLw/MMc
UvZI/M1FxLRGGg9AQVC8ZPV9ERdbmVhzjC+gC2P0+iiGwS3MJHeqRUcv/RXxnVJvBe+sxpHUhNzI
TVkFTui/ywWhpjY6Im0UQXJM8BgE3SMB6diAOkFUT4GK0A+ogUeXScx+GVgr4/VEOGqi8CCf4Rlp
1929B2gEL1uUh1WnwWVF1fFyNgd3lB9ycV/P0ujs+a51g3w3y955QrNW5EsJvXYaJ+pKDjAPCTC8
5IzN4zurh4aAKJwZaqs5lWil5AIR9JVejvRUkGZOEZTNmpWCHnbXqqiEJC5uT/aQjLbo1RclLrK+
PmwjhNQTfadUxC0QHXSdbVw9+RXitxgY8bWAnt610a2UvWfESkKEJr2OyaCo7ryR2Cm6A165mnLJ
jQ7J8KqR9pR5ux0QwmcWBAHxi3HCSFa3ges4YlBdCfV1GU87D5LB7H8Aeg8XyW049S5FJGR80TXP
oPoqw8rMDlwNNXSwpEluxP4ECPZmSnYduqLCs0QleX6UhrqmJFzGPWbf5Cu+DwOs4klRVDa12la1
l77XHFNi24qVq7BaGxGuM0KeDFdqGGS36hqvTgcrPKflHsLNyDarZOVrmi0b99p4SNHTNjHDxLcQ
lOir1EzzkdfC8SKCQM8+QNUNkohj/DKnfWdte1VzYu1MleUTr7mNxW2LvmZXbeJu24mPPWjEuDkt
UeAuDNyS1QtB2wyg0fqrSnDDbuuLmDPt1QbHyMOIcKG3TYgKTOnUqApXxpaEWtK2LkW3RqRzePDI
vYh9LLwfa1B8sXxSxJod4eBQPk34hM7jpMl5WkVPKBXizFM+ATvDixqzm7syxwEnnjhe5HU93FSG
fxqOJBIsWgtZYDGSkYRDSnq4iLXRxb7XMQqY14VxLpB/Nxh8T1gbVV3+ZOLr2eFWMJQnGHKskgmZ
2NM8xuF3uJHyXa6fd/Ejis6SnNxKFaLm0nuKP9U4rQv8dMYA+vDAOp3WNKegBJKY4H0wPQ0I4cbT
2sscj4QoCHdKO9FBXZkmGDzMXAFUjqJmjwYHeMxJVCA7fDXxwUBxoDBl4F3Frc1SHVpMyUhdCx3x
GHeQuGQwVTGrZl16OdwIXNPxMuAw1YpN2ijbTrqdLPUK6fLVQIHf12P8abv1YFp2YQn3JUd9n3dr
uDN2UByGGgFZiPMWCp9ecSollNc6u8HHyoTkbhkPJPfnGDQ4WXnrDW+CMJ7DWd8JKu0mGRZhHb+L
9JtKVHqnYIdgNVUJPsyjADu7saxVBphVSxA4FbMz1N5tb+AgjrGn9Ejnb3qlgcqgUV5oV7VCvsKy
LvTOrgYNX+XORoEY2ipNDDWzdaQG8tLfwOy/CXOsC/L5kov3U8W2xjUh7bwVraKVLs5oJxdMijNk
Tsr8iJO3qljsmDPZA7Or8IYa5svllJ3JOOGCIlslXDFJh5lsx31eJODyUjcTt0Ea7RsRWWgEteMg
XI0JkVyOAj6XL2pOsUpw0jtjqDkpZt4CezmgrtJ47+WQujQFwUajMm1cDrPwAE7fCgrRMe+Cq5o6
oUAs0LpJWfraJgUtP3PaINRhloMEgBe9dfhrzsCnOMWeUSm2ap2sMXk4D+YoRakvonC4VQrRDdUt
BnbrscYYLWH1iMWZ6udu7gE78XI3bu8GD9OUOlrpHis1sjtBQR98QE6BsDNOz4rmIo0JP9IKPzSy
1iF7RgvtvEV/Xa5iD+/axo3RqErb15ojkwbpvu2kHZ4QaxM8DSGiM5SXuGKsauTDwantkNbaBxYJ
vb8y9PQVRBP2NWiB4v7cVE/1MKxl0GYx3zEHaulhqjymkhPLRJ/MEYpaTiesOYwbEZmcyR2gcfiY
uKv6Y2oeWhiAnc/1lz2wmlXPkUZxo6ZoUTeBGwt0evzATbynGnPzQEi36kiqnE9un99VdIEzPGKT
/HbKbkkK5AIf9klbq8nEGbauimdEuTdZd5ZOwoNfxftWlU5K3KDMhzQmpETyfRaeGPIQB5XkQgBh
2yv1bkIrY260UoTT1AR9+whl4PDPvsy/qjz/XgsAEsnfLpv/539mq7l5y8+f07f6P0BWYIa//L9V
BRyMdv9rVyfP2Wv9uTo9/9bfwgLGH4AGKM+QDWvQy/jRn9VpAZjhH6YKW47+HfhKeup/l6cF8w8S
TfBrVLVlsBAUAP6uTyOU8gcNSsrKaH5R1AZl9W8K1F8xHxDhRZ5DQlSSYji9RGXR8zS0Ad3wylOu
a0FG1D5mQ6lYQZNN2siMgDjxkB6Z3SWmw6ep+k3dirL8p/z9Y2CQz9Q24C1rBliOr+WNdCTPhlGv
XivzSZEb7NnJ4CT/eZT5X/mnSjDz/GnaURoDhwyZBaGvr6PQoYzatG3Eq0lQzgSjfANzSZgqDPu4
f/XVCLV9SVz9PObXWsH3Mec3/1Q7yuukKoZIFK9q7uU08I0NagzjuhD9S7Oojgz2tSX252CzcCI1
F3RBgT4uBkNxt2soHl0FWS+6VtyqqxJjOU4UezqkYh+sf365RTfsY0D0MID5QcKhqbEESoFsVCqv
MeSrCmsf2eNCqLxyl8UxYuX9TYW7+A7lmn2pohMOXR8Ox5EH+NqO/ngAmJpQCSiMzdqn8/R/nl6l
GCsLY+IrhlJOW1U+D6282JRCD4osn0siOiqJ4qy4rgdZc4jxgiSALIosug/DbCfsGuglRwDa3765
LGtgs2mk0lei5bQo1vmgDiVuQONyQknIDusRP50EVI5RGPRkhvLYGlvw45gFBgRdCA+UvjziCovv
XnV6rZvlpF9mmjUL+4SHShLgqRcl0SF+hUIjTzdJhm5eUMKE7yPH6EGHCMVY7ORMq1xwvQeEaAzn
58/z7TzhuSDpz1A6mA3GEj8oylzjqTUZl7mIvnWi7dTGe0qjtlzRJ5M2gS6ethWEyDGRqiNyE7+d
E4uEdAZ4AYxYwm6rxDeIIRnb8OvT1IjerbFTbiVk63na4d6w2gvK+Nlm0ip1BbXb39HX3eSGgrtC
N6J6O4At+nk6frcuII1x9HPUATdbnD+CzPnqlzKfCX/QS7ikpdP4LZIR6iOYVPnIKlxOPsw4VgN0
UNBtsy/zolPdhx5m6JyC16bVPlulDCREWHdCeTMM8lMwNbeof7hUIb0jh9ACtsGbcb0h9jHr3VD4
BXf9dU/2YVAU+EtI16p1CI3cjk3fVVMc1/a+dt4Jp2VDhYgWaEpwpAIMC0krH3+e6QWW4a9nAGsN
vJ1rlaX39RlyH3GRqZel6w4A1JkBB1H5pcrrlnJT5bAW3g2UfsMt8tx+5hS5E+xAJKP3feQxlsfT
x1R8eozF8ZRU4Zj4XOLX/ruurqsXqd1KgVvh12HsERCBLhuVTvKsV64h7QnDjwy/vA+Wwy+WQJP7
iJqODE9GEEpbX952oUuNLDMuesq1t5ShqJpW0y0+FOFDllzW5OJvRx5iPu0+37rLh1gshzZKMygl
IgA3Klpa+dgBhW5p9HTDSyZeFSyQCjOaGtDUzwMvwGl/rQFFmi99OicIyn1dA3TvQni3CZ2QdBUH
DubFE9hpOk3DBjorWES68FuuhrkiHyGpW/VPU36eqcCv131yY/jYwZDIKgdKSGmxD9UdzmS+TrK2
/flJP+Kqb1PEfqFnh0QUp9bXJ000oa1yWrPXcbUerM3U2RdUkszByVu3aQD7uEPhevjTHmj0li/d
e71DzF3YDMRlybrIML45R3VGxpt6tHsXadu7OnfbwAGXpkqYBmzl6cjSXmDb/5xdNMs5ZIgW0WNY
HGZFYHqpoHQyZdNNH2/H50o+9TuS3kdDXSUp1T/b2IYqD78qyfgoVvpXU39LatxlLt7MR067BRXy
+/MsvvYg4UGSAwe4jkcnQo4PfMC52Z3hkg0fRTdWlMSj+KzG9BTTgWGdlreRQr5Kltde+E8pB1Fy
lYonmrgV8Y2DuiTe01dG6VMu94ax6iqsL9RNAVEpcxM4gleJtyWXFq/Tf9fM+v4mi7PLEpumFRpm
NpyeGmtrGRCsN5753I53QEN+XnrfIjhL5YDUuSbJL6gQLrnrqhDAE8xU6doCJ3KlrNNtvvG21pn1
hA/hkXagNn+DL+t8Mdjizfq8UI0ASvU1Zq4FpggILFYrDIfs1FgZ+Z4qoJXt42CDLXfXOQr1deKn
YboOgXiOeyW66NrzRlqh+RefAtjArl27Ek+neDVgeG4i+gSFx5YO4QEvvzK36wccx6m062fYgtoF
LRilv6mV7dSdBdEqolw2niq+yy+HLxilB3hjZcdAdd9ugI9XBrxIGEjKt7zziTZVQc0gqo8bfPRo
F6XaWnqhL6jTIcIeY4M2W2cAqTtFxasqj+xS7dvhOw/PJcx/uJcJkL+eLJSCcO0rmHHL30T4xKLl
TRODE1hD3phLBzD5eaZt8n4VoXyP6bYzvNJU6+nuo4eUn1GhDDxacbg/RXd0tQRs/yifpVdZ56rs
teR0qu+o6qsHeRvGNJ9W1Rt+fnL6YOXXvuDMGpEldL6bSToRiy2mQghX9sdOegBa39cVERUZMAQS
OHtf37IuaphGPpOcBJt6mhvj8jNEuvwO4i+NtlY6K30qPfsM2+/zubBI23ByhpoakSvWm+bYvW/8
ftr/eaDFxes1nZRSXZKuTbqRmMLJd5F62mObfCFETpeclc1FF150+r6NTiQd3UpahrZ8QOufcjCt
DjjaKuen78KKQj1PD9yBj5LZ/gW11CB32l/1nfGCI8t1cKU96zjHHlhd3rSbUR4jdUPTrq7NtfdA
kV65k3Dzpn3yztViUna9S8+JAawL/GzoY6brvsOyyKH1QJJU7IXXn0+YD82Tb5ve1GfoAnwa6hRf
Pw49dLRphV66Fg7WhfYSvVqKo/1K5ZNG3YkS5P91y3F9Wu21t2qyfezALnj39JlA3HqAMJc/A1dJ
z5trZVXcpTflTnuvzllyIqquaF84DZfOS3idnXonGbXtq/q03uXHsoll6P5xTMLwlYlrzZlsv3gJ
I8mbweIlmFx6eZDhPRRFzzHFqfCGpm0Zb/lsxht6dFgkUJc9tpM/eADLaZyTPDyv4CNIH0vuU6bb
wy2eicbydfCa4a9+i6RZuKGEbakbDyjSAFt0nVhrDk0tcsQHeusn9U12zQdtd2kBJsHGZFLpzprb
fna1cw1h8/OH/qYMN8+RplO+IfiHaaktFr2V0mDRISJc4y5Fmyyxhxvuf+1qRcu9vmxuLfd/OeDi
cEOLvBX0eWVlFamErb9lhVuI9jh7GNrT2exnSlR3TJL76Hsu1kIWZ54J/Eu69m6nl0a2+/P2zbyR
rqLn7tm6S47Ez9/SuK+z+o0ch2/an6P5dx6NAcUxn+VXDazUhGrCkevi94vsn0+ozwftp0XmT40e
1Bqp2zg54kCzyPHHixzQRgaRYcgfAqzJBzWxiafyZB2KaxUTUHMdcgN7N62xzeVLa8LK81xEOEGr
7tTsTGW5dWRe2oVXHnIQU0cWwe/O/k+r7kNJ+tMjB5EgtErIUTvLo9DPvs1yZPpc7NKUkXsdVAA9
+iNj/u5S/zzmIvbNsN/WMUhhBfAdJHuE/2yhGHEgxqS3ptwKhptd0+vl1bVLrzi20X77yqimyOiW
kjktKUOCj09BO6XytfcOGW/ce4+WtMp+FSc4MgrNRZgeia2/Z/TzGvxnwCUzQPa7rLbyUr7WMS03
3SF2NGudjjcZ704Pv2O7o6SZyScGcVYs4hWQH5ny+ez4dvp9eoLFwuwqq0b7ilfubnBGJS0CxUGc
PsY3P3/a+cj4Ms4cPhCCQ56cK5of8dTn1eRX/TB6nngA5RQH2B9Cxi3XHS3DIpDt0PrXdYrFeMv3
itEkrULGi8cVjtMtxsfdJilxk0YoDUsvt0ldubxKDDcmeb7trgAw6Cs8fv53r724o3vofV6PMvXB
lPY4LXi9k9Z7yX8MaV2CWvp5sO+nzOKlF9tHgzVhegGjCSbKFU4J761eB7gdabaP+7O66vSLFEqb
45krf9iJj4jtKP4Z7UqVxppn88cX12PoCiDd8R6WKGlSxncKef3zk34UCX9aDurX81CLvc4scp40
QR2hcfziNFBWU7eJqBSeB/XOz08K2EcYlSBLVqEDBOCjk21tfCnVc5VmOsKQZMCoFgEXRXq8N/dT
eR5XFMDcEXz1AKk2OQ0mNMRpKYuBA1J50rEPBTRYtk4LjljY5lLuiDOSwTik3evPb7jAtrLSP+Jl
jMggOFIqXCInNSGI8KLnDbvs4qmwgJ7NHpe7ynA15VGJ6aBux+lybp0fE9JaKDN8H3oZL5ihJQYi
QwfqyrA2Ec1zkDhYxwZOzVYAyekdSRS+Z7uLt11EDFkW9n99z+Q0F3eiM3QgTtai/moEbLgzxVoZ
9ZHj+uPSXC4i6CXQZKGN4SIwJwufzxRBDHUxGqUDVbim3KniphztgD63sYYTaWGXmdjjncDJably
uI/itRFgwmQH/RpsQ4eO/7BLk43XzlWgCACB4HgwRyJX7W3tun+0MPzaeeqL8DQ++qxFgG3MIv4p
5McqdgDXFbB1byOCfDkzQwRX3FoiYJ0D1TCzA/PUKkBJqPcmPgv+3kSMFREp88hWmjk5305WELr0
9yCzY3q3OOmQ1mhlvxHEQzjZjFfVjn/avetONq0N78KCWJC5rAJa6sEvWC9T6LJ9qvthPzgUCMwb
AbY1EEom4IwAD1yiaG6Vet2a2/DRv4nPUvalPQDnwp2w2wQjEt2gTWy9ABQFk+UWkkurvrfCPhEd
QBN9uwaBEJq2vKFUNDGZ94FOOf7Ny3YmORpV4WM6gd8iORbf5xlYHLKNVVvQJVjvtXwFUKXqNqGw
1XfP8OVsSdj9vLHlbzHKYrTFIYu41wjDgvmmyLKrXgw+tZmu+pL4EcAbpr84YAtvCYAzGCfZRiZo
3pNjkle9VE9RbHPReL/iYxWg3y2C+ahBWm0mWi2mAF0jMYynSDpUuPjUNgBF8pKfX/x7sDK/uIbE
HP88Ay0rLlmJlV5aDdIBeFyFBr1lkxo3r8kvf0YiA7qC+2DnBcCsrX//89jy/PzftvqnsRf3BUR4
K1BTxga7rN4Z9+IbsGaWoHbf3c8I2MhusAcnHX+k2oMEqn8PrE/A9xpLXFs8oiH4u1jm80TMK+TT
ueNbYt6HQy8dwLxNqZNfYV4v1m7lO8daTd9TosWcLwowmTWNQlpN0qEes60ZU8xjN7pi+wG741YX
SFzWgniGDMLPM3505MUlEqdjII4eL1mBY1aw28bMbNVjs0qGIttqASYbXLlrHM0C50/506deXCXY
pajKqDGw/tTeVY+sMf15wgUWtdk74S0QnbJ0E+hex4pdv72xP3/W+Zj59Fk1sE2mETPXmnINBljt
XL/ciOcEkMrF+Ky+tcOmQHNUnI4sp4XM6Z/3Nf1c2u3wimjqLk5wKzEa8J+iRD/Ewc4P8zthXFfe
RrMadwQU2SF4f1PlD5kBIDJ6CQEV307FvlIeS0myU+myj+nA0IulFejBV5EdXR5tBVSvItd0WFY/
L43fL/9/Hndx1gReIXUNIx88igBwxrhn6p0HjLpZteWxMu/87t9Ww1zcghGvIOyxWA1Ngv1YoRbS
AdBwqYPwRgVVUukVADU4DQq0hhHFCvZHS58fKmQ/DbxYDaWQm0WLaufBI2yHlgVacXDK2E1khGQd
MIP4fWMzM8FWWMXyuhEcvXVjSN01lWD4bysslup2BYMaF7NxOJFphjcbNVor+qluXMGo8MN11O3Q
ZtDas2nYePWRA/u31+I/U/fR2Pm0nvHKloQ6LVlWQLupTFesD6qhY/TYDNsJ0ZXomGDf95LkfFzN
GqQmWoQznerrFkqkCa57Q0QWGDtl0uwqOq2llvwjc9VkJ7duPZuyb0rRqdTtWKfrgRwQ9oSerhMs
oLI7LT1LEggmtty4WngxTGemDFTQRXu/KnZlf2aQNRn5fSU+hu1Z3a2m5CFRIaTvZHObmKhjT6eg
iqGpl6ssol4uU1ORrgPvNKwPP2+DD3O6LyuEBoACFAUhNEReITp8fVlQoWGgDwQCVnGWE9qhXO6i
J2RLeIneVdbOaK6i4oLdmqYnaCgb0XpKaMteabUN2NeLnaxw+tC13hrLUd6lcRXMUFG3JVYjCCN4
OEf+uaLQnpG3nTQbCE/lGkm4oVrXxq5/kE/Qu6IcSYwJMyu7+vn1Fh6rnEqL11tcAII2jU1X83rq
sLJaMkQHK/L8GePAvbXr4jUukhm0WJDzkmtgDoU4s3GiahSk1mq1pqRW8G4qYHfIr5hzOFb/HgnQ
mFct06Rsch1fc6cWNkUBt2+F0dawVbNDJdpq4vT1tjFsywSZ72oYoDoSFGvZrdCs8R2w2Hr8DKS4
kc8osdfQgmSXjm2V2i2GUnhtDnbM9D3BeCyeSF8rGfX0ydY9RzXXlXZfWEcUDb+HRvNcoVA5C+9S
N1oKzFdSKIG08QmN1NWI1hjg66m5zPzChj9kqJtchdB76Zd4hhJ7D3u9eTvytZbH5OIBFkFp1cl9
o5fEf2a0Ncvbojk3dMeQT/pjRNjvt+RipGUkVmgKmCiCbdFbNaSW4/gg6VeysSsLtIP2lreNqxMj
hNAO8Wr781su9fL/XJOf5nkReYmpUmKVypqEm0Y7emZ8sBiGvShs+uy07nZasNYGiOF7POuk6Nyv
NnrlWChici0eK519z7MXU7E4ABDjzSQvCqRDmp00xtakO9Gu1EP+Cm6vBD5QH4vJvqV6iwEXWxJE
j1pNMq8PwDEbX8tul5o+aPN7Mb2GGl3WV236wKwTunhD/a8THwAnGCmgb4t8NmzQ5RoD7z5kkxof
Uq3oCL4Rn1KbNFw11vToGTlyf8mkkly2T35pBSfxnH7VGm6BtUE2lGmathkr77yv0sxRx/HdlCHl
SZLwVjX6EzHfuFHS8SXw193UG2fcWDdTXVVHgq1v0SUvgcyYjo/YLKy11JSdW/WGEkrxocpmUIVe
DquBa2tzZKF+C1tIxyUkrgzwG7TnPuoln+7exhjwjPCN4FCa+uOAXNdKgcxuS3lDiyn2pBVQ5VOL
Uw14Gp3Tlqa60h171+/H0sdTAB/VNApQiMx/vaEGJKN83xuDgz7Qyoxr3zVLPXKww9B3auXmJrAp
S1WQJdAxQcTq9bSO5INRSrdtHx5zj5h3w6fr0hSBtOioRsNoR/wak7WvD1MOQ9kEHow4dAlktwyT
QzDUhi02/ntfVcfU1z/0ghbDaegUzz2zWW1qCZGMzUyD7pjz7p1yqsuhtJaUJnDKRr71Et9OCjXc
NrJSrYosfS5jMincJoWTWpwe8o5bvJjtCFW9KFd+kr7QAPXbVtuWHdygdFAVJ+RgkbQ+3gVoLByJ
epcYoHmu5i7ErBFJ2Iu66de5GsfcACKkWdfyQOtjKikfVlKG1LgX77wmOdMEQ9pl/tBAl00D1/RT
Ye1X9JCKMobto+d3Y47XfSjKO7kw/Y1inujBKLiRMSB92barTlOOfV/5+wf+gFkh6kI/l3RmETH3
I2xT2fDFw6BL5wHci77EeqE3w/pkirwbIYyFKzmdfLrug7FNgiJbZbUsbiKzP9eiojkZBoqFwEtP
xzAddy2KGoWnnYXgumFyisGlx3s6bYs4AT2k7jwQ2/48FMTIydNocn7ewcsyD59AB4CFPCe6RLrB
n6+foNHbyAo1sT50kVVuooDZxxsNcZkhm7UAQoBY0YOhS+1aromNPB8gjZGi04ZDES5wiBXtBaGn
GkVnOYtr7zxC46ND1W0d0uTOq6a8amQjJwiC2tN0hWnnQuW58kB2/fOrLDGbQKUBi8KrZ/+hOAqa
+euriP1gdVZaWNdRUeUnQtjfyoSaqW6caywkJ9cL2LBhu9UmaqXKoPXnaQCgRZHMeJ9I8arthWiv
JJFNopq7wJ3g5ipc9x+P+a/YL/8zastF8ZYdmurtrTl7Lv4D+C1UZT99sW+6S3aePaPa85nb8vEb
f5FbdBPTTASzDYoD/A9Ei7/JLfwICDJWBKCw0eqazYH/2zZTkv/gb3L2iTLcF4w1ua3/shTmR6KM
lw4fipucr6j+G2rLx7n96aBFyRHhpT9ta5CKwMDj6+pCLjISYf1LbpE2ErXeJHeGRoX9NUVA0MEM
IXVjaZNjVUl5h5OneKhU1dvVoW6eaBbLCOPgB6/HX7jCrrWF5197L3ktUqhvg6mntErZ0e41ND/r
ToA0Hk7tasrE5kWVY/22bXGPtftqsB7jJDPP/FTV3zAVRCvFK81yByg7yu0BI9izftT19Wh2KMhj
i7BmYvAU7vPeezRq6RjzZlEl+ZgWUBsW1VJTB9qyOA2ByeN07MkUAbrSW4XA35Gu6YqVBhHSHfws
39WTV6Exq/3ls/X/YyN1xFZt9fZf7KP6v9Zt9op7a579B2wpDC9/2lLnof9Wfd5QH3//Lykz7Q8I
LVgLEcWi6kir/7/3E+60RIQANmf1f2QBsbf7ez/Jyh/a7LOJZiXxyywW889+krCoVZBCB5WPbh7W
GP9mP1FHY8P8s6FAacJWE9myCOEh/grA8euGCqtyDNEaI2dOUPrhassREhGnmLS4rLRXFFUj4sbW
E40tRBOY4XldYomNe5MnIJWLjLIT4FsbX3qC1SV7D4tZRH/MMSyRP1CEc9zdELDyIqTw6XSV3n1S
mOZsrTdkL9rQBL/qITLPrCaTTESwkiJwdASa9q1Y5f4voP+FfwryftqbcpNviPc8CjdeZ5yMIqbX
a0+CKtu7VloZE26qYoyUxFipRXU2NlVXb7Wwbm6rrIIGnFQeObscZeW0mupgbsT7WTC9j1MxokuF
Iogtx3FUbM1IR525MC2UBAY9EvrJjZKAft9omECFS03rxLesTKwyW7dW0qmmnbW5CQJ+6jNL3aYj
FVayVW/wnsxGHul3aaOinOv5HGR4OM2g1QMILNap81VowRiC5r22bd7el1gnjnY5egDPMPYW123X
gRXvqcpe42JN5VUsRxUSctsHl3FbU+lSUCk5zdE1qtxBLkto7i2UEbcRxbZwvLyW3Coq5Ouimi9+
31dPPB2rRqcZk4cR0xmDQMCKzptRMGmojXr6kncqLhsNcmMHqwbbmw6xRXRVyVQgVS16ShWfnlqf
WG3oSnkIpkIsqmrnlUKZOrGFUjIKaCIlUwnK8HmcBHXhhqjbU+OO2kep75sahajpopaDHj3uBnmf
XFawYJL165DiKwetVVM/LPvw/1J3HktyI9mafpWx2aMNWixmEwoZqUkm5QZGUQXAoQF3qKe/H9ht
MxnIsIjLMruLWVW3sYoeLuDinP98P6Jfo/wySSO5mfm+yl0xevOnOS+cX6WTBfCaksGtyBXqWn6g
9sdQhG4Q2PtGYn4oqMzWhw32inN0M5gxY+UOkcyIeDtx9ZL30qqppja95QXZjtl9EVeDf1/a0h8J
LjjuZEXhHLud9X0QZREYG6o7u/mxhiVGwFxKEABtynH1qJmzkS/fRVYddKzmX+bJEXd20wY7J3Pv
+2p8mAP5t6qWsvxaVZDIAD4neXqM+3zalhrqgjZ1FBiaAAd7X93n3QA2JsnLH8JpX6a2bfc+luY7
VesBUmrP/zm0dbOzRiqEg4YTx+h75yYb5iXiNIaxWSNBTfL+RsTjvK0T7ZPM9U+ZHREJs2V3mAdq
tfMJswe9UfdjHeyMIc0Okj5TxVWHZud9iogqV3j+dT5PE8SMAZgjSqDhR6CpmfVf3Vh+mSf3R+Pm
d2nl7ueRAm57sGGe5PYvLacQx4+etWk2P5St7m3tYcaGqgJPQP34PqpNc2dN+IBMAipHPni/gLVj
QThFVLOYA/d2HGUwHmlCXxlPc8NTIom0bluNcIhnOaQ/eub7boyC0C0wPe4aFs3gmJ/LKv5Mycxt
EMRw/bwPg+DCPKT5t8CR0a6xC3/Xa+qx9kT8tU6Kd3h0HmfRWzfCAGeXq/Z2xpt4K2vtKU6iGxHl
n5NY4x0Wz+UOgilJKVOPPmZG4b7v6vqjUw9ftUI+DXO2zTp5pwtA1k6lHsaoKj5ySyJXq2T1t4ub
4aEayNqaqcNmMXrjdDvU7nugyWqT9321T2L0wbjrDJs8V/22zW1zb84Ad8jwE8ftdQS/EA3mbYQ8
ZdtSnHjwXUw4SlPVNyKX38jC9AfhuL/AP2UPwLTzxzJon+MSyJABYmZjRG5w37VA2rCjRK/gdP6j
XvK4JPvwvu2Mz/mgH0Rl6RsyoNk7GcgbIUy5sSrn2OkBTIToa+LaP8oAf/taBPout8fPOHyD0hvb
6BDPurN3rS55KNGRNxkscPjM4ibu+5pyDGun2gaJcN3ZjIL1YKVBC7QRJr/yNPhQyQJQyPo7P+s+
eKp7rjXBFlKnyU55808w8+8Lw2lu3R6D8cEbvuR5XHxoK2vc5sPY7AYdzVUqqewxInljGv34CMPE
2sUeZSy1DtvAau7x2iOWW1T7DpPnr+lgha0d/4D+b7/0g/2UF92ukqqqNibLFBfo4KZIUCMkvJpu
nKH92I3qV+FWD1mW3pX1hNB5Upi2Wl/xo/C3bDba4ygnaEZpnm+lVr+D8kQVtjl+lDqkAt3GzXCY
ieGz0Q9wOnnGbg2gkHMGei7hi+LhE4WpbSMLNqoblJwHWVFHgbtbWDnBLp8Q8MtGe+5V/6vSi9sp
bh4to+GGp2vHvrTfsb8Vj95Mn6UPuhtmO+AZp/41leNHRy//Njucs4j6T01N2URV3ffpFIStMeWH
udTe5XqPaD1o+dZH7VjgtVX3OKAlPXjFqBiJ3QwQieA5be08By86Nz+ranoucr9CkCB/erE97fwk
Le/sNtVAfxBuklRJZHr8flaBBc7QJZkV/NLG+UnK3H5Xwe9yicLNhi/I6vtIZcsbjvYMn4jIzNnu
St2Rzd+61LMXWbEYN02cV6TFBKJFASrJsg8WHjSI3z1dq36OBo8CjhTPIj+WUMT4yU4o145iTxpy
kxgma+rQVbIZf3pWO/PQzqVpgGObqbZFAxZ7lqqJ9vrpco4Nfu57L5jPZMO9LKAtYgLGTXpbSuWk
RKPxKAyag65x4lR/m8YCUT82bBnmvMeLhvJYqC2iN3CuivG7E/zYjpuT2Q3mXWqAXv9m640cvX3U
liP1tKOeBbkZWqU2OCIEWW6OZdhJOWpQw7ryBnxXb35k8syqf5xiMP04CwTP49SM77ouxW9d5zva
1ZwVZLM4GJLxQ+s5WeXceFriwi8teuvQtM0cO59B0cPvsuJs5AVU2qyhd7nJd6jtK80adHm0RRV3
DV83EOu9i2MxeS5Nt+u4+BJNRJMoBak+6kaBVftTSq1eZxyVn+lfxxLLHPRLQmItwcHnmOXMe35S
tt2M90IMfkFpUIrz5HvTgCSSpk5BJiXT4kaQfMqcOGEehi40sSKi7o9Edq7Qh1vt9FCYumpMuHK5
U5CeL2rPZ3ituXSsTZTU1MP4lVXCfsoKUuidn3vsCwhWkvwxidq2e+5wFmWTbbldv5uKafK2VtcU
4Sh5yG3jwO/Sr6XRfpMcBCnFxl3lfRhBmsVHoh919SNFaCv2XKGeW00JzpMZMwOyUK2MH5JO4/FV
BG0/eBw785AU2UYkuMv3ITXqDaBtM48pXSlbJ1J/kYmfAIVl/ii/yKoYi2PU62O0o8Kbs3EcGXRc
U7Fp1qp8nF/8mOqkA4myQTzNvpVP/j5tW987yAHoTpn2EeY8Q4F8QXi9GD+Xhdm9jwon9jZx5xrt
3m1gagN8D1A2Jv2YVJs0n4B/lmNOPZYMhOwIvmjuTQSV0AuRdwqdz9s2dglX5gKHqIADdDaCAqRW
FGTbIeFGs+NLhxpcW4FG6YTmmkGMpXXZyQatDGntBKj2FJfeIdKxYTka4NbtT8kgVYSVETWTvOZn
qGNE5Co0XSnuhpvYmpfncoqyaZol+DPNbb8Qw4Q4ilErdWJZfltIE+mYM8mwHev5sxlZ9VeVC8Vd
zaryNkj3Y+eY1DUKaHKRFne7GjgQ+vJRHgPROVteB9r9GHjV0XUz+z7r1XAz2+Nw1DqveV/l7HbO
pCn8jLphJxnuW3eGfDmPvgkt2UludX9JHjSFtg+Szgdo6IIGqqIuu3GbiHNsjrM7P6cyxovy7mCl
bvXS5ZrcdroPtoxCugetr/PvUmAXJBJNfBKjp99TL9f+jVZ/sQXhjv9Xjv/p31gBILvXPVP74avF
o9XkK38c3VxAHTZhXfmUkWBT2RB7ximLe09qHlD6i0NDwOenn2Z1sHFHFEoiat/hM29sCHX84Fj5
URPU2XSYeQAMa/znxnCzHzxZwSW1kKabKhM341iR2O84Ko9tqo9IHqcfWuUMxxbtzo3TBlSHpNoM
YFiNYp/G7Isgst1jTAbzMDU9iEmz/MKpk5ONGesv9tTH+yAjwlLUUfKp1gsqZXN5F6gOJ4YcVJ/M
al4nnnKNQ6DYbjZlb/Wfgy5a6kJSb5fwgtr6IEduCPX/1fnUhnVOUr0bhua5KPviPk5Z9fNgeduM
IlfurLnYGgUuCxtsTcydScCY4nn1kWhQchS6re2xRzrYsVcyjL27j2vdQD0dTFR3p+lPhFG8Y72i
esDeLNsYisBkJrr8QxNDWzIHewQI2Ndkx5Yb6hQoxMVFP/GQFO4Rtuj8OBRdfVRR69HxHp8Zc4J8
l3oy+3fm7n8iJPP/W2zzYmjzJfnrf22+J9+L793raMwi7/tPdNMz/0VNE15MDrkaTOQWPs9/0D2+
/i8LojwpR7I4IN+XEH1JYDz5P//b9P5FDo+qS2q6l/9m+aP/RDdN/V/8NfijURQHd4ds3p9EY1bp
QmdJwugWXp7E0I0lmHcaiwFS2U1gfeowSPpqSzITnFsLxflVcOr537GdE7r0ScSH5NzvViix9BcH
hDduszEZGRuJYx3GUbTtZYTPkB7wdNcQIo/VVEKT4MV0uc2zPYNpA7CH6BWuI6c9m6tknifyW2Fh
wyaf2m7hZ9fd7nIra+Hm765R8IFcFOEotj+rrJ+KK0moqqthWRcNuIq0tCkNTQLUAR1PzO2UwOMk
j5zG91MuNVT6sZbfWgjKnUNrNM6x0ZvRRMld/IC/FXAAlQRtPghXWio0a89O8Y3stPspKTXzGffb
2KSAYTEpnQAgvlzuzVoUSW9Ie1PwS6Gi7WI+SBDytURwqOZAqaCvKIbV7GfNxH98Y5eJSTFHYn5U
LqfnNEC96GQQHUSr9ze2XYvDZJSwcbQGbPuVH7TM0v+LFS4rh8pySAzELDnCSbqd/iCXBCduBw2y
bs13bylxHL+mIyzJGeDtp0kL8mdttrIw1np3M/qlxUVxtK/UcL5dSYgXDRs7MwALS57p9Dc4lR31
femVISfq8Dl1u+Kh99Jpc7mrS09Oekpq3rWoaOUfZOTcVU+1lOhiPMR5mNb9tPWHKr/VXepccvwL
rozqkto7bYo0BnFYdhcaeuM7azu8PDq9pFy+KJu7YpS8pwGioPOuyo+8GLVfRtwCErzcwTfDyB7n
EfBdfPE8MPOrD3KqAS6zbmJYvAlGNLoYofBlXXFFQ/NmHBHRLPaVi9IBwNHaOzI2vb4xpAHOjlzh
bZLieJH7k7iTOY5zf9ij300hjCMXTILot8TylQgiqoOMPNDQhJrsxEsS2Xed5rVXlO/L6jqZLBph
noyFtMD34K52aIFBwYB7Rx2m3I83rRyzG1OO/VPRBu1DrhzvT/dqOCJsAjTlQ8dCrnu62lNOq8Cd
xias/OHZtNL72RYdVeb9vhg14uflf/KiIP3iv6rnf3fl9eHwZl0s/C0UDEzY4nHyW3P5ehTZ9ubS
9dmofRfx2ySoXLcS58/nilYCi5+/wBSs1TB6qjQLXOjQ4pXQTmZTdXvDgCr5xysioH4A01jSKMgy
VrlCL5WMaG7X4dCSFJvE8GOERH6lkXUxkqMvI8YXzD0ARJUerKYokk3fsCrpiw2NYIDIuyVfITfo
6D8VxuTe+5HIoGfPCUx7lR4as4z31aC7V/aRczPnAUpaMGr8qDXO3iwhc5kRMzfUHdzyPLCI5jjR
lQW5BnL97q4HjsoydHTSzOFqRTaZ63cG3Q2ioN6R35C8bvs99pkfpqJ/SZoa1QJJDfQtQIGbI/rt
b2NMCDNuHYLkRqTBy26v/KqzfWcjY/wNH5rNaru2nTiLHMOsw8lSL1pkage7ma7dm8414puIM0CR
Ibv8rUh59WlYDklkvaWRuqbSRtMoLoKeFV9ZT2d2TLSwpHCxamWbX2O3Oh62lWhGIOctyFhFoOol
Y1e7Rb0krmzO66TxsnI5yFH/MGQWV97TqZyYjF61qg77SiJtLykswuG63NUmvgVqzDTgXs20b/Wp
vtLJtx8NihcImuCcSDty+q2ajtw4EkRS8B8auv6rUE55W3Yx8lxFtsjiOnanvKH6q2MFP2CtnN/m
NkgEN3LSKyvHXW/owDItD7SKzgWL2/3qh2iU+1WyCkgtxsQXdY3E39Tn+0hS2pCp/ppm/c1hv7wR
0OrRffYlM1g11yEq6opcK0NhF3gKtGWDprpn+T6KSA43GVlV1Mm9PX38w62QdhdrSuTjIDNhT5xO
tXTcoRUwt8OB59EDpD25yYP4mq2aveyoJ8fj0gwX70UEBBh1rc4YETl5o5qKMAd99LHx/ekYQDm+
IfOq3U110299OQ3HBDO1UGpe/uh1voUam8uAq4r5KwM3HXEpdupt7gxuTcZYjFhpVsGLp+wvBR7l
7zKNY5DHSh+6ZsckZU1DMGeQu7GN61tLg0lX6qPaaZqj3mGR1+8BoGabMu/1u1LNyR2xP7nzbS3d
W9KCw0LpQigle1IWqygs8jF7JBzl7qaZfe2PpwGeJzbmCx6Wd8qyGl9tIRqQ38H0ppLCxsnZFTpX
9EZcpeadWdO04i12z8uLdo1hHUxNy6eMoHEb5T/jmsIGF0pdmiJOB46IC1ZfPieW9qHU570AJYuv
kBsmCraORQmbUZJPHhcUfh1cu1282XF43lKTj0cbj2w20ZXMTUVpX0G4ZPmbozrORtvuZoKGpBdR
5/dGzBdgsgvYqeFfOR3fbKurlpdf9mrknSYQvhr0MiyGYtiq3gG8n03erkhV9U8mGQkON0SXT/zN
nZdo8ECCvgx9yOP70m3QgbqJs/kHSwm1D8GHRQSy9qDLrNqKhLZ80R2OslbBvFpz9OnPGzE9jnsb
RS+X3tW2oWtOQ7BPK0gO4b0yKxO5wIAfyuVWzq0KAhGL3lsH9LfW6rpWG3tRLZgbLheHyLezL0k0
OLupG6oHMgXu7RCDB8paEFz/YBSRssF55TDSUdScLos+S1MFUbUIUVymn+yc6mWtHZybyx0890Fi
KGotbwcu8+ta1rmLJrzR0yI0i8a9K/NyeGRXTAgzotJsYzv5frm9MwPKhBFtoUFniR6c9socSYaa
rihCjUxB6FgKfUEfW6EgLryRqlQ7s/c4Z8rpmpXwcnFfHQA21222HuyEeYetWg5yP+8xBMjDeSra
HeozazurmSrDrBUfXCaVsh0wP3FHZq+qa+NKaczy119qftkFXn3likVUa6rLQ62xl0Ql5bmj245X
bi9nphMhJKcpXSSM9ltS9aqVDKRsHXUOrQS2czNy80RnYSDCSEx1cKxWXtlQ3g4qmyUbChby3Jfw
rDrt1ayN3KqrJA8r/mxXiuoLzjPOV5/AMlBIlzOQ2PyTlqDvLcbeP/7pYoIaw7dJJcZCrfJXF/7B
ioFrunodiiZ7Yo8OdjbJ+qdG4RaSI2ffssj0Ry+Pr+wK1tthRstIDI8rBSfZGyGxYTUDIfyoCpsm
ld1DVrRYVFTC9rS7MW+sv0ymlxdIqzXdu1El3QPPAAex1BTp1b6Ix+DziLUcfIZxMXyYWvcrAgcg
fcS4NCQ9uSc2xjRhISGF3zobXUnCnh51aO/1DMczJBGkMjZmHBnxdiSXaRxMX3SfSkeqo5XF1TeF
rmAAnFTX0AmGzn/inQPmRXP9r1bsL4X51ZB8y/xikeP+XyT9f+eR7lNQwsWZYBGPPWut9hwkkpCo
F3XoYdL+tePE3si0rb5ebuXtXRXmKoWwyCrY+9lOTpdd2c+Ypzeo7jQCHFE83htD4GN8VL74U1tv
zA4TkMstrmucOMmWF4/Lg4TXP3r41SndoABK/DYtQyCM6ugWQ3Q76Rhq8X0g6DEjQSHjUO4x1qFI
tm1N8dR5eABd/hVv+738iIWoQuSKY2G14EnfVJnZRUVIkpTbeR70za1qZv9ojPE8AbmMgSBG/vzr
crPnOs8B+Ns6gGcWbZ+Ot+tGSTw7dhHK1MsOoq70RwZMw3OyFdAtpXxME+F/A9TeUZTalQfRiGul
RG+3GkiwvMmomeEkJq1x+hsCLWkLPZk5OUqrfsktD41aKuXeGxqxVXEC0ZDgvbgTiRwOdpZ54T8Z
hFc/YLUCKvxgUDCbRahwxXjXyFm8G20n22OwRUEJKpa7GG+Fg5ZZ+ba3YYGmlGBdWYZvT5HTQVgG
6dX+HskJi4TJKsImVd9jWfrvHXvurpzR5xoxSNb/ju7xz9WmLjvC272pL6vMSp673sY+0CysKzeP
861QNfx7RoEennYlibNB1S33Gy+ydWCghfncRogGrsyaw19zeu6apAYIsS0qZvvNVmH1AZlhHwVF
Igp8W4HFUXc1yR1ZBO1BOvCnGjX2z2XEc74sMUeZujH7y7dzMEyj5j6WtZPdxJPKdnYmxR9fCk5/
3GoMlJtUIqCsJ2z8ag7NvJzeaZGndpfH4OwQUHynW45HXGNd/54kg9UogyEo7Tr/aFlNeT83WQqf
NvnTGDRycRMnjYWJQBxuHbqPalwalA1MeJpTzNja0tok3pKsTxfFSnntDfD2GD5tbrUtYSESjxwu
NKcjELAqC+/6No6OLsrwYxBp13DnZ9sjwwPpmxBx4C5L+tXX18l4aNK+KEK9x+evsCoj1LrERRHj
SaLS1TWa1Pn2QN2T3CWAay8T+6o9PHVdP55oLyqVdp8PsYcq2a63qICm0ISn9se3R7ItDkljEEo8
EddJ3rLs9GSYSC2hkJu3rquSve9U32dj7u68uagOl9flurpvOVMXsjeVOyYaKcdZ+v+qf1pcmVlU
aVnIWUchrcj+ljW2d1Liil0+QbWKN/3M5TXN7oXW3KYRMhaql1sjO2hVfF+R68P0SRyQwu3yqj5Y
eYW/FAqlnHL5y7/1zBFokSYyQf1T2/OWLmUqmfaT1WShKQA9LcU01BsbNud/P9zIub7HH+QhciJK
9OrJDP3Eaj9c/glvP+MFMg9EDVYe1Qvru703KKUSM0bpUVIUYRErurGqiWohyl6v9PbtPYOmOO4x
duBxzSP7dGKsVCTorS0RYgHR3aLM82+LvpQbfhu+8E7fbJAN/3FOBHEB4T1kDNQ+cdtYnW2eu0hW
MxpFuwerQDNwDRkJmV0exbddM8kPsAMEBjg6koynXesjkkh9TSrYzj194xNHsqwnNBbgqiYZ7LAn
C658VctgrU4gUlZM3OIUQoJ4dXHx4thIZIA9nYWyL7Q8bQk1IkHWO/EQu6V7G3uQGFPyxfvLXV22
ozcN+2RRKaFx4XOstqs+rtDMAkQNp0E5O60WDSQCLEkut7IGISxfsU3HrGDZFT3+x+mIap4+D1WU
ZKHMSn+bM7EHr0y6p1EGWOS0c3qLBHH+nsvU2gWG0h/1fsRVNW/R1tm9/5jmrXOl528/Fer6KBNE
QkJ2l4fw6U/qgrbEsVdkoVc5+tEqJVdVPcX8M4e8drn7Z5viSEC541Ilu97Dmrz3idLT+0ziilzq
gghGLIujzILPl1s6M50cPOTFeYUsMbzVOirMRrf9zhc8OqNiV1lNe5AZYs/LrZw5cxyKltEV8KYn
XLIeOn2yp6KuRFj0rBzEq8EHhZR5p6JoBjrdX5OSnBk/ELML+9Un4k0A+nSqEEj0POyXrSY27Fsy
WePBS9vp1lflNU7F2aboGQksnYTc+gmnNESsqSlFmBQUKlgV9NV5sswjFc72lYvQ7xW2+vYC9n/S
yKwMz3kzWZ1RKdUHKdkUY3gJ0BJvgz6rQogRiASzortp9Va/mcspObiNaz/MmlseLTLBd5afRO8S
VPb7idDmL8uLIeBqI/DyKcb6e2zTnd5jFOJmJIIQxIo7N0MoPVF79pQh98Vzcgy23dTmf6pv8cmg
WFAUeHRT6uov4/vquFa6mzXdTJ9GslY7twfeMzkqu/JBvd2ggYT6bJgGKS/MSlbLHFfjLs17bDCq
Zu5xyqxdivR9FY7IvUPX1aIDZW764fKqf7s0OBS4Zi29IsPprW6S1kQNRZEnaUjYLDuk0Cz2TYXS
yvP6l8stnbtIGGS5yLQtQg1//boaNZHoqP+TEEcWaC3Ktw8AGcxbVTXWfkhMcLUV9H7qOeRuGNDJ
u3Fb7i7/iLdbCYk2pHwctwsDZK0h6nmjNyjJ0rBFLHZwqlzucY6qrszkGrvByUAzNlF6dhR897zV
Q1IpDeFLECRhjqqRu1ysGftW6NFOm0GmxfgA3uRIfQBVVeUR+Xv8NAXltziqnft56EEYsYjvrGlu
wsvdfytf44cxzcSQHPIH/J/TlWyQRLOgBCxzoEVHQAAQzcaYmsxiNjdTWY6PpdnLfSF6LKRMHMbn
erEsbdN5H3VI3S7/nHOLj+gpAOxlb+eRevprHHcc7KZykxAdvPM1mib90PPQwkQmc65QX97eRZh1
+suljov3m0/Y6TieLelkFNctzOCsqzdCkYKcYhxK3dIG5RmP2B8P5bWY6Vt1Btc7jDMAZiKuQRCx
vlOWjV/OgDBC9svHmcrap6nw9WOQ+PG2NjJZbUQNOlOPDC7yupYeKW+cdiq1YcNH1BHVha/dkzq4
M2qj/vTHM4B6gugAwkwb5c/q0EusOHf9cRa4V0+PmW8398KnKgx1pn2FaHLmy4PR+zsFDf9b/w0b
e7WH2pkhazcvRGgBoAHFVcAG8myFLdblHi2/+PT8QUVHhgUE3W9V62qv5gzXZmoZOMGticpe241x
N+/+Eqb+xHLPr7R2Zs+mNa7UaPbYUNa5FdmaeuKgJQp5QUaHuaMmw0qh/052gb2LF+e7XuXX7LfO
fDZc70hyoBsAtLe+V4s8CJphDLiplBXsw5oaTzfgUmT11rW86Zocsuxky1VyoeGzo4GXPf1E9SA1
kkGPWCAaTD9KZNJWPnJvuY8cc98n3o1wqHLLiI1Su2D13nu9WewMukegL7syJuqOf64djR+9ur+5
PNPnNjPsdwhusWPhwLMG/HheplGATT1WTuhzm6W2t3XH2th4Rjrs3CJzDoNo68fZMasjXYz3KgIw
7mnKRU4TX4shnHkOMFTcvlE7ccciEXA6VE3HUZoBvABhPtX7VHeNu7Fov+eqzp7jbng/CEffIf8m
MYBsdZu5crzFkbrdWw3lv0lGYuzyAC0Nrj8F7JEWOekiEVt7n5XoPnRzYOMRtQchsYDXW9Z6s41K
qEB1AYViTgL3c2UmPSTy+h+ctUwK7028XXCnWQdVes+rEh2f5DAYat6ARmMDmnHdK0fa2U7CcEB3
zEFLPOV01CPKofNem2iFtMk2IeL5SfcnY0c02tnkfPZbeB/6Rgx28dhVYJsuj/HvXrwZZF4nZFaB
BHFJPG1/FEWsBVXP4yQ3uPMm73DG3KjGPQ5Gtq11f9+AxHaYYFcFT1bJDkRx+BMxwZd2qMPZiA61
7u0k3PDCQGqRZremn99KfLoA/oZ2KX5SdHPvxf09wsVto2fv9Hr425nq+9Ik0WWme8eJX+JqfJ70
+NEorS0amS2qGQqLchGOlIPNgfk8jtnnoqEKk8uO1zYH3lRUY/sHXgAPls/3McljpoEyh7zZIMgZ
yuVi7R+zZjHsdm6E22/rNLob4+AWxtcDdWIHVZjHQjOea7c46lP8U8uGu2Sw95pKnsxsMmGG41Hl
5TAxqSBzqy9Sw/TPd8JoLMHFKgzihoayrubD5Tk5c9RAxFlCD9A6FpHu6ZRkiC/0Uou55E1QLZQy
qzDzM+PKwjujl1sU7yT1/UXzjuzjtBk9tyiXSJlACg5TUFdBQZ20zG6KeYyOPGi9+0AT9fuqzKO9
3ibO3nRbPSy69O/L3X174i0vLS6aHiJhrnarE2+IVDd5UcPxk5jVfeaA/2s0ywxH/Hq/N43lXdl3
r7W3/Pmrk1wHNt/qRBsP3iQmABLkFMY5i/dNMjksyLa54qBx9rgDVrSIGFDSrn0UPEtRfT+wryYl
6e3UGvVDIROYnzIIXi4P5ZmVQ2J7ER8SlQWKsuoaI0YxNEWpy2nnh0kwpUDf8ms1G+dbsWmHQAMX
w9X6bLJAICrURVjGQXM7sDFsXM2s/sGFC44NgdulMARl4+k0NaOVm7k7iNBWxryLKRrdacWYHy+P
2JnJYV+FVQddkNDsb8HAq8VQjw7MJXLyIbI3G+FYPW18XJwOWX0twf522S2JbwQXZOjATK3lkk7f
2omw2egn15/vey3D1yCr/KNFKeROZHV15cVwZpYWL3MerKgCLeJ8p+MHS9uRyqRnOUmVOzUo8Ti5
0TWp+vlWOPZIPiyJ9tXxRShBFTqPgrBQkHCgqFDj2HOFujxLZ1txdbKBv+Pn67UA88/HrpCxK92p
uXPToAdA1RVXYj9n1wLRR2r1EFRRzHc6YlzAZtNKlAiVMMCOyGLaDXEJ8Mqr4/3lDv0OWa2OXVSL
+F6TbzMRbq7HrdfTQZNU6IiJ7YHdNy1genhpN9y0Rp08Ka2o5n1qevi+ovSTDh4krjPctrBGBBiX
aL7zKJlvNnwnVbrjopR9BnfTvGRz8MuJ5nmvjdL5NKZuk+8zT0N7WU5B/mBM6FU2Te319q1yatPZ
8G/ID7E+ANZOjKEfwnFyBU83z8D9wiZB8tNDXHzI0oDSQT228eHki2+Md5HZLoY8fdF/cdtUYIPT
FoMMG6fHWzalWG7YlkbvhnmFXBxTvMr8qvN6F0B27eJYGL1JdtpyfqIvAmZhFSSISjAHT20zHcwS
MtwWLAaWIBXpUbhPqGvQkZr5t1oG1OmX3jTeuPHMT5WB0+OZQKXtlxwix3vpgi7a+FK2n5PG6H7M
Mwn3baISmDRcwbIvfDJH/stSbZzcsfeWnjsKio4DMjAwexdzG2G9B3EkHURtYG22Ze9i2NVkXjZu
JuCU71rEvFgyGbXYdbMy7hkzNd+2tYg/goBrjhNB32d4TO1eTdTDe9VsPjQDqEXdmYqbIPVSfRvD
7wg2bW0Q0/TcZv5sdaNPiiHSYBteXm5nnnlLLpKICRoMAjurla21RtRUupOGhUOAuA78v5RFQbHf
ime9rdVt1fn2levFuU+Wd5TH1oNglazr6cfUJlZJmIDIuicLbTd22rxPUje5Etk8t6nyFem+R+iP
A2m1yalYMp6IAcKBpztXU9Ppw7l2xoNpRNPDPBjN4fJIntsjCKQGCNeoWcTf+LRbuj7oQ+fQLUsS
E/Mp1t7YFWGZofA/Xm7p3JyB+NXR3y3lp8FqAKk2nwlZjWmYukIetBhQjVZOBNmLaQgbHu4/cveq
Q/u58aS2CZUUkWBeI8uPenUc5srso7RGvF4Oo3nL+uyPVjECiRHjT7Js+pVFcmY0CRU7SJQ4oxCV
r66gbaQ8o3Q7gipQk7ZB5lS7uk5/zVwU95dH89xjm6ZI9XCrRruylgD45tx2GZjV0PXb4iXKOUx0
vzV2DcqobWo3HtX3brK3OpHshih271qz7vbxzFsi7vVrxUVnJvfk1ywD82qc/UI0nh6R0RhHeJBV
JbdOYRe7PoZK0mRacQxstrvLQ3B2sC2kWEvOnovbqk0p2Se9lu8fKkOwt52khv01OYfZq6wr+82Z
ZWQjRADxQEUX6VrztHts+7HP6caVF+jfDVUF+iEWogQxZHd7vSNSf7lrZ94ypGteNbg6TgdfqNFE
7x16M7LLWIwoyWKbZHsbNTun7PotmU7tWImyPJj1YG1l7gV7qiCvXLqWj3J1rBM256JHhJBwqb/6
aAesnt3M4N261Ors+lbCdyrKb3DH9b0IPDz8OhtLljbTbsxaXfuczGX3WTdPvN4hgUVMiaKc03FH
xTaWwjPZM/QSZspY7SssCIYMQpWr/oJ3t7cnLM+z9lM0iCPyonsucFuWw06T9VeM0r94ZnTM3eLJ
03ss6NSLqYLpykd/5mSwqQYlxbYElZF3nf7Inkq3uFnyRIPb5dtWlME+U9VwZbX/Lhw/HQsbvYeO
ZpyYOaGN9RosrbG2ZsM++IqQ+i7S4f5hNy3/i7P3WJITa9t2T+gjAm+mQJJZTqUq2daE0KvuhoX3
7uj/C40qKXay1RNFD6ReybKPuQ0CIAsY2/5DWw3VZzr7gjJ2a5Sfx2VBpxkApDZ7emyFiEo5M46+
VlloDx1SLLO/AKdE8CUyR/sUDwnYg2VurdxrNQO16AFZ9NewYmrdrBWIyzlZmaiPdoPqCrXVHtvP
uG/wWWr7SfvZO0bZuW1eNLErA0P+2ynS8Sfc5vy7sErMYxU68CX+NEkz+N3SLndNjNxrkLQo1fmF
jIKUp6ekSDiESUswI7bziqeJLLsgmTv73i7CNL+ERlk7nmCWUOTqUDuKTCknosUcA6kj3ah8c3KW
wTPqCP17FOcr2Gr5ZKb+RGHqZUqtXpzmWXxLDamtTnIYThnCM5L8fQ4H/WWyBfq3VTFN2QNNlsn2
af6O1tAqQYbgaO6bzmKuUoL59MSvTx6HJsdxJ52LNPTSXtaGE03c4vXgOnh/1RHjrJhTlPIdsEqb
60CVsgRcnuWgYKDepVqPSp2koyfjIvSFxNg8N6e0nOeAjkHoKm2KSJquItDYC/FsI7JzLxx0Z3DC
6Wu/lI/QaL8L3JutSY8ePBJuZL/T9esTkEyN2onadoLWalFsi2SEDIkStcLwy9hSPAKnV/iNOkCl
UQKNhyd71fMFOm3vVxNxsjBsHyqr+MT2PN2euvc3N2dTAcWDnsaan6yH983DZFX1rIRcXoHVxY/j
olmz20jySyFK/ZuCvPfBxf3uviS4oSqChK2BlC1Uluvhoq5O4rhexFmPMEBiWyHsFSfDk61TCJyS
iJZ72GJqqvyFGFN38Eq9e4TXwflE+iy0O9+h5pZplfOMW3GG0x+7aJB+NMcCS/QUFfq++tfQh4+3
J3d3wNXsnHWnuSpvwh20jOx6rAZuvqEKz1ladJ/MGeqKM1Nn1WvDdHsbJdPbg767bgH1g2DiWWCS
Cem296AENy4e+Eq5x6PXRGTVK0KU9G+P8m7frKPw6FHBw+QKBv71QjrpBG8g4tPqSKnuIkOmbCtl
uOu0c38aQ6RBb4+3TtXVEVrHo7JB0ZoivbIlvRYTLcssrtfA3/pQl7B+qULYT6FZ4KI39pY3qJWx
ti2Ouja70/lm4M3VUg9RM/UWEXKSC9nFDGAIwqE9Qv7uTCf1UOI0sPtghrbQrMnU20EVM33usujP
0pKixrZM4mTK8/SUGofMv/cBFGRlnfE4jGs7e4sekqJIUpOwjs+riOrF7DPttYom7b6K2KmtLaq7
bu6z8zwY4YMSWaUfCg3/LSeRPt9e2J35NWh/EijB2ABPuAlhqimppbiIYiKo+Rfie9EHgevc3e1B
toZ1qzL11SibQ4FKkdFINozhMG5wDNDRxVOl9h/Setg5PB8ufZg7p56CBMvUmZqQP5czRkh0NF0n
RDa2s5sTvTTdH1P5hPwxFKoZ9UtBx0HwrE+y/DK2yccup2kCTs4VtdW4YBseyMLNU9t1R15pezsG
yOfaSwQgwBm8PoB1Xw2hpabxuW0l3R2JeU+pKX8BzTT4mIsckfLe51PrDCJODWuNfFjZ9sMnK5eS
pbOiczzUf1siU/1k1rWPKZRzPw+NV0Ob0xNQo/iRC7ij1BBmwWzCsxo04wjju3Ov8o4CXV+dq4D4
bJLyQrO7EqZ/dHYqLTmhMRmhEtQiaauO5MuZSQyYLUcZ5c4NtJaM0RxYMU+wa64nnBQjypWOjYrg
30sRJepnJ+rzTwoYgc9KrOMt1lNNxKbFCo927873MjQ5OueUlsLWrItqwaLMQsTo1ZYPkbLE+F6H
OMeNGX1si5pTlwrI6dP3Cau6JA8xCcfNzqx/kQD/XRtEXmONeHmOyW6c0s5F7q+Shp+UyS+RY8t+
26A0LFGpk+r6p2WU7anPcS+MKunP3yYIwKRLKzxt7X9ezyH65KYxO8zhVKhd4FidFTgKQg23T/vO
lQJX5fc6Aar47THxNqahKiYE7ILoPJJ3+OxoFX7hbB+8SLuLAlSKHgIECo7F5ltSdEbTEfUjwDDo
1+exjG9iptzlJp/WLUXiriWXg62w+2nwNlaVCfAv21ZMKovcGSwtOre686vuFOVkRCI/iAnfp5UE
0pxy8C9UEdfm0vWnlU2oJzaQA5Qe8APUa1wssZuQT2jd90ERaZlP+o3LiuRIX6Sq7ry6yeQTkD/x
CUzT6I3DpFMi1Y3nYel0n/YRot9oFi4PSPhnWFv0/Cllh6p0u7MDmgHBAsqe1Ouuf3eC3VjYSTJL
0juja6pIHJlD/O9/2F0U6tbC6nrzbp6SKi3Dxq4ZRDbb7qwlOWLVTVH5fz4KUTKMCxAt1G42o2go
Oo40QVjoBYGKYrYar1+jgtujvMd6sdIrVGYV+4EyuY1Q8z519NDquEkjOflaj4t+h4Zr/GwuAgke
knoffBiI+xEw7FJNL+i4WCAEQOClAKgv4zQPbpk2oFmKor4c/Lj1CdvEfFR5cX4hLrARqdrMgRrR
qI9gn+Msm/U/QZPhFgvxy5Pzpb6XjRYF15y3BWy67s5mBtWwN4MkOXaxWwd690Ogv6wSTXS+tmXL
ZSlF0aedFMyoND9HYnpEmtm+LHKuB0ai5c9FNeZe7IQoN1v5v6EeEQAsw/RSoVv7cntWdvY4cn5E
9pTYV4XJNS54k7BFTjs2rV1KQZXNtY/AFlL3IdSaPx1l5a0QbQOhWlUeN49dWyJkHS4oP5mZOrly
lzR3cZYeCWq8v0IZhflcb1DO05ZZqMuzmRbKEgYA/vDKrOb5IlDm81RVTBcVfAlO8Op0cLIAVrxb
Toal1s2bSiEadO/1FLZi1nA46HAB6RGTEspjpeXVL5oHtnySMa44V8BZHbdyykbz+rzNXo3Qmgbs
Oo1JcUd54RGuLPkVoN38Ak5M4hGWn83EcT5FGF/8mEqQcOizjmQN2qLmn+NYU3/Vmjnjo2D1s+kt
g5B/9EjnTn6t485OKanL9bupmfCzcujwZV4YprjPZtqSfE6aOQthNQpkZEUeo75rUeiq/FZJnMkX
RhmFfjgYkuPZktokYF+y6GmYO/HY5H341zRK8Vr1qX6KqJ8zN01WfzIVjtLL0Ff6F2Wc8n+LTsUo
oopqgZ6lbIz0sYyB7ewI8gJJ/C/VO+eDQODI9NtCZqiQuiiS9IuJVK9kjRUYBxPC+zKk8a/ERs+W
e6EVP6URnXMX+QHxLVLL/qu5zDDf4Qx8VcoFmfQGv5AUszK1OA9q14MQgk/0a9KV/tkUmIm7EDma
y6zo1kuu0BgEdaRKj0qji/CkAd65xD10MBeLyewHRvfjt6LS25dMVxa3DuX2xabd4MVG/pj2OTrE
jd3LBYChioJLMYafzaE2HrhdrM8ZiJSXOknCE1reDd7ohTM/lPRJnUsn4YSGGWHm4AZrt5X8v8pK
O9vVR0cIj5zIaJDTTEkV0GuTWjeXQmfExmCOfijFMtR+ryj9h2TA8+PcGJWke/+XdQniOrUK8EBY
MVzsSndepNQsPgxyYXzJUCnJXdQ3w48Tfh6vEfiryC3sFNYasvFIW5NwR1/szJReRlSzv94+/evp
vr7vgJRAHqd/gjjMO9R51DjWFCJ4HUQt0qBhjEBDXyrq2WrNL38+ElCPlYGKBgaZ/fVRJLKo1SbK
wSQhNvJQtfG/XZ/WH2SnFQeh5943ARBTZYMgHuWNTWxQJlG0apUzEqlBUEd587Bg1ue1vfT99je9
Jw4Ar0WZDMUb7k7aeZuhUruybYkNGlRI7Z9jbck/SxatYe4G7cJDMvux3tIaBmDsx9EATzJFD/3g
R6yDbNaQH8EPkImB6Q1sLrmx0oDSjaET5JG5BNmEZq0xOVNQ6sUXde4fIEo3GAzbo2eE7c8isSlu
9E75gFr3P5HzA8uih64L/xK2iRGjZv7bV0t0aROtOnjld9aFQhKUNDJZmSt5M1lTbS26XLLXOqkd
zk1s/521OCXDjw7d21Oy89roNALB9UAooFezyZjtKATpo2UhTs9m6Q+5QX+otyz8XycZJYhMm1wd
6MCf7zuauata1aqnBcDpeodHoRgThqE0jdHk96FTZiywk/HC3zX/w1RCjqF+xMFF43lzmCyl0524
YCgnjWW3F2nsgjCp0ZPsjswmd/c4USn7G8tPQN2b7Mcx0n5Ey8MJhmYEV1GGOYrkktGe2kV1Thl9
+buRx/ckGcrg13ZV3NVEEgebfJ277R5HQoccD+1bfLs2c2tGIpqpVDjBkihZQNGQjmo82YHAgMxH
E7f5XKPrjgxccbSquyPTW0HuiQuFvXu9qoaM36SUUTbvIHefiqKpXT2u7XtpQFo1FWP0ZS6T5qSm
hnqwyO/jP5BXFpRfHEOpeW7jPztCTqWJoG72oNxPM/pH9DecI7WpvVOpEHyvfq7spi1KeKzp1Yhi
coLVWMpvEzP8CUnoETiWddBB3f0eshAgFhRV3glU6wRBdZaqTqALs/4AVrNk54ojdMq6Hu92Cth7
g0cGf6WtsKlBi90h4GCUAiknHNMwUlCm7EmukuapoPJ6cNfs3b7qKlQOlIPa3DvycpPEE7AUJ5CK
uH52ZkRvsLWpTmU5oB2+DKo/dFruaq0WPxfNeNQY3rvquE3JE9grqrFtSwtjyWI8BJwg1Kzxzoon
56OaYMHV4wR1pt8Fh0gW07fb9+vemXgz6FZiaqyUEGgUg7a0Jn+1Zpg8aFYuAuhb+cvsrPbNWqP7
kmV+vj3w7tdSCQXIBzWIrPz6MHbmtDQAWVhc+meIhjSlj61JdpG7uvHmLi4/IcH16/aYOxVlSjAq
2M61l0QmsbkBetNIQqScOCFK/LPMyF9Iz+O/B92UvF6bhwChlKVx8VJSA2zCivsGzV4XQ948CDuD
O3rOW0Bw0kzzxPpmSE39sTU68wM+cI6Xs0UCOJ7mpdZxUh5oEgeAptW7jOIaOD60VZGDK/inWv+r
KfLo9fbX7W5f5MTRu2X3gpW9nlE9wamjHJlRo5DS1pUB6Dz0rUMgjzXCL5Gho5oqUfwgW5HmKk7Y
HMmt7Nw/VHd5XHQKrpShNjd73CwW2RbPS4e9wpMsi+xJYGr31Fh67i1aUT7JBvYcdmc5bot0vVvH
9fhRIo/zMdaQfTO1sru8n+zLiLQY7qlDeMpyyLfpXBveIAPB6xZ7fFClBV9CJLdCxDsvqGyhI7nk
5pPIlOiEvoX8xbCHyW2r1vIdRP5OctTGvqwCX5j4LZ65qMoDEoOopikareVJLLS5Tz22f62OwhcN
VD3u8J/Ll+JJ78X8XVGi9O72au1coSgfIvcL7IHC1zaIlvusxlGPPWV0+fBU2YNzkkWsHVxpO8d7
lXqnQ4XiNf3MzZ6Ic0OEql0TUGLBfIqwagM0jX9J1Kwe03Oa+Wre5UHJYxLc/r7fsfnm9l7ZAtR0
ub1JTNYJeFPzKIUyjAM9HnKqJL+rYq0eHuA3q71nm5OM/09azT8yI1HuqogDocYpumwZblgwwabZ
A/yh/1WIpv/UVbggeEg+yY+2HJcFKtNtiwSzUMRdvFh4Y97+5TvniB8Ok4l7iSh826hI59SWMmmd
s0LRLlKUdZ6l4gzZxHXpL6re+6aBvRg5sh5ITn+EOts7RRoQUN67tcq3BS9GAD6muSkJ0nIwmbMa
6m5XtTgLKuHBFby3BUH4UCriAgL9qV2vkMDgERk8PlQRQxQIGw29SI7kgy34nrJGJZTgfQ2ADLCm
v5tUbzbCJHKRt0tDhNeMowiUVtiNC0ATAb6JUC3zxJAMn9qmiV5aHJzvxzAT2UVImaD9ARiQHKic
cZfqJkd8ur3Uv6GS201KwQxGCxUlCkvrK/Xmt5WOJSWhlTnB2Jk+zls/pgRomtznpyIyLlWZPgxl
9sHBN3WJ9Nd8lP+XDstTNef3UVO99PV4Givh4a33aaAwXnWal1rTRVLKk4qUseTAxo7YML02+JA+
GldFkeRgfnceUop+K2wAsib1uE0CITKzT8HE2wEJEtDIHnxKXvVYNunGo+J0nW+tSMKDeVu3xnbe
6K+DVyBXJpDf3CvZLKf9sph2MFt9+zkUifHsAJsoKHpPKZ9bd45L9t78D76z+h2I7tjgM+X8lBpK
Um6N7+DzjMjPL9yFp8bXp+kpoTqfu7Ehkr9USUHgckYp9Rt2cF3sNiUaqt4chur3NEzwq7v9NXsH
3oDLC7+TYITi4vUmmHo07ONitoPO+Zll+fKA9G1+V1TAyuwBpeZGTk03rpv0pGEPdb49+E6PdtVm
MoDrAMGEULx5NbNQCa0KAkKQ0A92raR+UML2LCXNZzmyaX0rRSD12afCUV5jU/pXh1uhCtx9b/+M
3V1k0ToiP/r9fF/PgYIccpSCSAuWyPmgjPFav194LwuBW1dYd64V/nN7xL3bB3g26dAaBQJnuh5x
7PGQXPPioFJGpGty2/LKmCvo9ii/kTPbncoNhwcD9GKYzNsTLmQEQHqety6af0DatYMib2AygCj2
1TTHVzWlGV7RULmb0qK5AFHtPUeJjS92iLPoIiz9bCpRfV6WtXErivFCKzt+nFFsfECMUAuyivLt
ZOIxiKr7nzcsV1H1FRO0gkz0rbB6u2hS0VaaHdSDmj7Q4lMDWR1bN47U5uwsifQUSdJ0cCB2l4YY
GcYzlCQQLtdLQz18QdADT2EqMwkVzNrEVq82DiKEvWNHoRJ6De1Ksjz1ehRzaapGC0c7yBS7DKC5
mJRFRyeolzL5YmDg/SgW4Txg6WZ/arI6Oxh+rxpCEWTVJUGZYCUPX48fNkPtZBLjp3OCQgfhGLFk
Ku5KkBFeF8bOJysTI1HAuLiylVI9N3v14EfszvQK+wLJx+u4bX5KlQB6NVD9sGNdwR7a0i8dUmf+
7UNwexRH3hw1A7ziROXcDiStaR/7tkAxAMPG//It4OUUAGbgvO3NfFK1mSmwtGxVpcdqoFcsP7LR
/vgP3wKWBZkcQlqgbNerlhmpluv9wN7EVZUL2fxUoIZ4cCnvbU1AeBDMIMasGujXg6h20SEZzG04
xYX6nNmL+LA4BGLSbCcXLbPQaptahB/qUj05oM0OvnEvT6XXxS9AwQ8y4pblH1paWuqoLXM0Ygt5
ogQLQq9Ke8wNatv+0ZlO8l3X0glHQ3uWcRaVDQkTaiDb+j0ZZ+q4WPdUES47RfhvP1Bzcx2pHGwf
oJFFr6MwUB5VZr4jqksFkbbGgRpqJno2eGltVc8LxnCRp/X86UppvXZSLCd/5fqMXjUna3/cXtS9
NIVYm74xMRh86s0bCCojroY6I4YpoYdDLDaIHngV4PSNl4Sc+tRpveFNsjV/uj3y3ru3skrpKHIH
Acm/XulUVWuThjqv0BLFHzF3j/zaTL8rTfPJ7u3X2FqOQJEm/8ftg/R2xM0G1jMbgIvMO4SWsk8b
5VdmqcsFqpC3jIt0cCb3gm+8N8CAIesLEWrL8KqbXvRpzyubjVLxPW/KqXYrdL1PdYtWRUzk8Qig
ng7HLH2Nzc65H1Gn9CfNTr3e7v+uFeuPHQFhI/Osr3QwkBLgia9nvHEku5doggQRYmGXotCH+/8f
WcfOul6NsjnByxA3UbRerDOiBGfUxPUAMTmTrmLbfkyjWTxL8n/Ip5DuskGaUdQi7dauv4y9O0rO
es3iSD2SCCyzZ67Fjds79r3uExOIjg42K+vDySReD2NiRKiUQBUpLqnDi9E7MfEKdshTrMSnNlLs
r03SzcG8Gqa2+qzdY4ms/6T/ODwrRpjdx6kkeUsP7OL2D9u5NEkEVlQo2bNMUfH6d6EWq3dDiUIN
XosNXuaApDGZJFPqZcPL05zmmSYpwWBo32y5Gb7cHv29iIyDlOY6J3DqoXBvLStyEpGFZkYYkDIO
jeck0fgUh8ZQeQISB8pu+Bv6qd1Gr0q9aqesLPDYFZJkPSxdbWDtCGbYtQsSFF+ia4wF/JTFQYIT
8XoWOF1uamf6wc/euflgX5IbryxCgJGb+8eaVENKxrXi5Kjj04y/730t1f1XJ4uRFxnQS7EofAVy
G5oHigc7QQHtCHrFcJuBjGx7qynW3Y3Tw6KndtT/rSRT7yXDYh/QtXdG+Q2B5KRbq/Ktcb0pnCRL
BnPBp1qZMWd1HbvSWtfQq9y9vfzvzzv8RICWK7GLW25bTpYzq9HKdsBounUyX5bS+DVOmsQz9Mk6
T6Q9bu6E6esfD7o2W0AXAYVZQTHXH8d2rKpUwbpED9W2dhfbmT+WjvItNNXmsayW4ldjTeZBcLBz
pVM2hLW3FizQc922efA0EtSfYitAPDu6p+Davs4GtQU7UjQkOamX1koVfmgcMCfTZDof0JuogtKk
idnadK91q/rzhIEyGUefWuYKdd1iguLeDiO71cwgc8LsoqV1f8bStj7dnu73LyejQIxExg1cF+Im
19NdZXos8C4zAxzvsktDPOEjPeEjxDaRpJRH2qNHw222bqs5bceuMgNYQKbXylVzcgYQvLLVh74q
hj+P0jn+JHt01DT0C3+v+5talMikRlqk2QwmrWqwpKcHm1X4ZN+exPcXDqOsATp3NGaP2y5T02IA
Hk2tGZihmvpa2E4vgxZpQPAkxsMD+dECceAtYjqSdFnn6zrwodAIFptXn6IwDe/r5cuiysmzuTID
ENCSN2ctMsR6Vt+J1BqOWhHvh+LzgHMwoRCHtpXNKkNPhQDSCEQ5qnfQ8sI7eUrr5ODS2fmiVTEG
mwy698R0m1CGmkEeQboygiyWoodUJOplAEYUlLVVHtzWO0NBw6RRsyIZYWFtHle9j1EnKGKIwEIq
kc5bag/nEcevyuWoFLQ71Cpst3qVAc/arFPcxqJtRkcPCkOUgTSinBqN6nhWIBMebMadWxtPMFPG
9WIFBGzh2DTS8OFedD3A9hp1ozREdDuOjA/yItJvSqPIZ0p2y8Gq7XQmmEZOgQ4FFxLUlmMtKyRN
2FFryJ+SBNcj0nZTBfk0s/T7IUsb9McH/XWM1F+Jo4lPqQaMEC8YEUyL45zj1FDuF8QnfDPTuyCy
0yyo2kZ2O9RvHq1w/Hr7wO7M0e8iGfEy7nEInV0fGzKSkCRwodeQ6zaXHXdD4Okg0S5NHsaX24Pt
3HnknbSfmZsVJ73ujTd3ED06x0YvSA+wQdceCD2MszRLAzqHGKDMUj7+MeqfMAt4D9kukuggLK/H
G7Nq5AiDyA0XYJuNgrZUbufi4Kt2dvRvthKGzquOwfbwWMmQ1FUmGMWc9VfTyeZTlC0dcv9c57cn
cP3Bm0uORBZmN80jIOBbmCoW5FmhJRZVwblRnkOnjWCxi6NQewfsj9oStzjazTSzaWlfz1udW5OB
VL4aYFYs3UuOHb62aVTRlUL4InWFLpUnu66mO9zHpn/yspmDYtKnuwZBgWdaNMaDY9IONURdLqi0
ZBmCBkqK94qI3d6Kl9YDFGl+NLJ4Dv50gmgOU85ca74cPmtzkXVaXXZmZatBalBkz6rwl2030X8Z
ZNX+QAwUXdRtD02pl7xHe1cN8PMegMiV7Q8zqovPtz/l/WHBJpk0DzEiikT03a8XQc+jNEECjtIy
CnsufZjYW7qONAEYBeLC4sj5byfFuR5QvR5QGmF6J5NpoY4gdfdz1pTULuP8n7FMxX38GMP1U/rB
Iz2z0AbpycTEFAfoCI1/5ThdQQm3nNe2LeuTJahxkkMW57ZCYO/2vLw/bvxMcOhr+ZiGyrbhp4ml
BrRnWcEs0tqrewLBapR7FyyAdrDQO5RIxkI7gCIu9xVPyfWU4FvkgOHCfltESCFCPWt8pSwVT6qT
KQiLiko5qs93clW2PtI+sz+kuuSZRV0c3DHvDz4/BE38tZJLQrel9ukOGRqMDyvAkWy4jCGS5Nrs
HBWPdorWDAOTgHYAhJl3GKWoWLI2pH1N1yGC8w9Z6RKFce/Wdk12ZVTIhcxINma4kD1UoKFRiFSU
g/Xd+9TVVXPtN4Kj2+KyyiQm7aHnH8SRpeO5GpeeJvf6H9+kBPoryBj4AqnFtsUoV7ZSroZMgehG
yw/ncb4khVWcbu/VNUS7vq8ZBRIvmjOrzOJ2/8h9M8GiUVdKmwUI0Fami7JY/4yxRdKtKjCexjS/
V4kBDkKfvUOyqmOvJd5V7GX9YW9eWiRluzCrdSZxqayHrjXCUxtmWIUrxdFQe/cUtxOhNxBTJCG1
66GQ4tekama9xn4q/CGho6UoIsFVueNRN/Q/T2R+p2i0iEDQrgSc6/EUHEZaaRqtwFTn8k7tReZm
Q2wfhA67X8X9vp769QLefNWgzCtwf6KyUFi2R9ekIg0XxUXk4xdtqrOPtzfKb4rYu52yNuIo1RA+
bg+4oO4Xgw/k5AFqOpVFPXmh06tgkOcwUCMtulu0gRYSlQjAq2K6V/GGhPRRZZd8Qo+XQLHzFbnT
7+REQzUiHzK/k8TfMBHVJzp5CpBfo7wonVLdd+nw15JBr3AUsAlDmPfPRWFpJ0gPkYsgSOQrWOD4
nQIOJUrCAqT/Ep9vf/De/FJFIzhbqT7yti+t1b1WzQsVFanJ1CDL0jCg7MB4cAJoP2rKEaZ0XbDt
BHOtrd6a9AFQiL/eNikNQDmMbTOYu7JAnr13PIt59GOsGLwo0iq3hR5zQXPXvIzEXwHME/TkxyZ+
FvpoX+p+0FwpWubAWPBhyXp99GYZJsnQ5oqLBPvw1OMV8xjxPtI3sdt7J7Sni20Oo98vK9hzjOY7
a3EaDwiYXLoOasKXqgnxR8YQQmtRrTVL22UU2ywnbLcS46zOWvJQTmgL/F+lNF0kmsYK0hwCZSUt
7X2W8O4tNBm/3V6cvWvr7VxtNn+l1DF7jAZR66i123S59tXoDOW5DhPNq3ECOqNHZngOoCnv9sg7
lz94LpTHHFJeigjrtnlzb01R6eitJbiWB6N+7Ce01ZWsbS+3R9m5HUHH8aQjgLnekZvQCpTslJqw
m4Mh67B9zIzqIrTycTKm9uAaeZ9eYcf1ZqTNrstzDanzLOIaiSLD09RixEkBkLa0ADmyJCxzG1lq
/sskwp0gBl6D1K0hhgSfo6vbhFfHKKZz4VQSPYPkCM+8N4lU42mPrQ0gY1sojOs4qvSKQmHa9CjU
yFKBwNao3neScYSZ2x2K22IF0IDl3Rodx1IjIkPJLILNtPZrR/0E2ze5tCUohds7Y6f9QcrzZqh1
g77ZgGWe9WB2TTOQTMN6cqy4CtqwTB91OFjB5ITVD6nM/k3sqXPNoY7vhU2s1xeN5daZ3Dz0hfkr
A/B/EBP9f/ws+h8Ii+1Qd7qhcESX55wLrZDls6VgmunPdqmqJ1HKpmvD/UKWQozzc5UveuOGRt0+
2KNetX6N89jFnEugZ+gc1d/TTp6Oiqc7KSPV97XJCTwYC6KtaBAqVyz+wBLpsYn0RBxU5fSwONYP
xVmeYwlUlayQwOgw3+Lko9ZPl0GNn8YV8dyn4uNcSXemUnwtjc6bNflDa0neuKBYent5fwePm1dg
DaLhafOukz+vXaY3y0upw1rajCKvLUkh/e1+nB8cIxpOnegQscKMJ8jVtrpE+Ka51VKOF7y9ap/o
LjvNkzaeJITvT2k+Jxcpy/QPTp8sj+ZoguDmkTgl5qJ8+z9IBQpYbgPT8QrrZrmwxhPoDN2F93OE
z9sBeDHx1KxXj4OVoLcJh+alniMr1c1g1ef+NVdt6aISM/iJrKNQHk6dJ2mDepbUfPkYOwXQQUeQ
wue5caE9fcge37vAwZtBQ0YYZCUbXE8wLrLTnCSOGcQrQqNtcrR41Eg/G6GOsFq2oHNqS8LLV21z
OTP/aYZigD6dpS7x6eCOjdwHDWTMgytxXdd3605JAEA02RPX/vXPciSwKRlPXtDG4SMPe/HJTKP6
Uzeg4VrJ8j+msKpLDnE10BaE+W7vur05IdegSYXaFHyTzXOjjkOamEloBiQ8s6+IacGpRRy5HO9E
VJT3AfWulDIi/s3T2Svh2FLCpV1U4jFrhP34WMzZFx22wSnpnD/H40DywiILVKFFlrFttK+Eg140
lhn0cWidwkkTfq0iIHx76nbaUQyD84JORZX8aStdlbexpkgjbZIiTXsXMaDMo3D8bVFrx5/57x/j
jHBE0xj3WlQit2s/2ZLhx/309fYPeT+7GKUjUY+gDzwr9CyvN1CjtooZZaMaTHP2FymX6hkSNN4I
a3qAVUV3sF/fv3gMB/OJ9aR4jU7Y9XC1Meh0BAs10BdJ6l3KIL07ZHn8oJql/sftjOuxttuTlwEB
w5RyVihPj6Y5/G2pSPH/h/mzyYWJ7QiJthIZWRmmRmOCL5xnmJZ278gnba7Kk9V0ZFbWfJTf702g
AYV4nUTg5/oamL256DGWnVfYqxJMVtW5JaprzwRDxak1lOl0+9P2hqIMJZPmU5mlhn49VCHn6CKg
UEWTvZBPvQAIJXc2vlNWmB4MtbcLzfWzuEQg/G2beMiZQoNGDJ+ESdeftbKq7lE3rU4RYLaHsCrq
g2247urraxPpfVJ7eBYrxXCLVOO6ntNYlHzaIlPYGilOnQS+l+QtXX4K5Tr3Jbh1/pQ5Ryfg/aXJ
0CqVbvikdIu2JnzApoXaRpkSYNfenEt8ONwCm5aDCd0fhfOMWA8actvixdJJc63YQsGTVtG9rqdO
AoP/yB11b4fQySOhQTwHitZmh1R9U6HEybKtYuhwleYF38IKKxS9bg4+aG+HAC3h5SX8B3exOcwo
CCvwo2olkJM2c5NoMv0m7lU/In91O6iwBwnOTvwByFXBHAwxKgPhpPXb3xy0FWu2jBLqvpnSiY+S
jeyNLkeGmyJFf8rZQLGrIaPsm06oXuRaXu50ta69prBaLxyr4mDHvv9+fg4RPGIoqzTZtgEQtiRb
tGblgHqIeZpLuweLlmJNBvnxBGno55+e/evhNs9CIZcK9D4d07fWhsgj1yIYeS8DuLKfb4/0fqeC
O+Lgr7onxGXbC61FDyDPC0ZaVSvOTh2Op0wp6gPHjfc7lYYYLw9VQ/Ig+FXXq2m3BWqxpbMgmdYW
d8LIoqAAxHhHAemoUbrzQThWITNEVMbt8hul+mbjtEABO7U0lmAxEBzG56b3ZEScDxK6nf3AKHTL
bFrA7NDN0bND2egRBl4Co41rKvPZU5iGH5ShNVktZFf+dJGoDAEfgRAAx/xdN7XqQ6ZMm9SgV7U6
QNgjQ1Cmlb7cHuU3Qv76WgaJht49+rHAgmhBXa+SU9R5RLYpB33fhpo3ylP4YylUQ/PrEeUfd5Da
MPXHLFyIZ3FVf0gAmlZB1JRxf89fGaNT2aqxdJbCtBoQJpSal3mytb8GPdFqbymtxY/x7PtQx2Nf
4LixgAXuzK5BpbYQdvuqSv0vIxmqL3iFJYobVv3yLVnCZnS7pocSGQ+SSociGbPsObZHMqhcSWoF
EWCJDZU2QF+n/8fZly1JimPb/kpZvdOHQUzHTrfZxd1xjzHn8QXLyoxCCAQCJIT4+rvIHipdEZHe
iVm/lGWHwIW2tLX3GuLundtoD3y3QJPP4ahwes1rv2X/89l6vM4i3OcBRUHdYGWuWysArk7omUaT
m88jl8dhrlzcUSn99POnPCGbhdNqrWeiY4GiiK1+QJHWg4oG0fFidtD3rTS9b9tlgIAeVBHYbSiM
w8BzaEO2h5VZD4ppMsmXKVMBaq5FYG4rJ9Q3tSrkC7nUBZiBwFldCoZ19z9fOFg3KHmtjRX4A9ng
iwWkpwZuExIV5Rli5JGgO/Q/EmgO62SZ93NHnCULHT9xj/3UwCa9KFJAescmCjXqIJrIfQpc6A1K
IsWXcBwqvppjyeZKREXAT3EqkV0x2QfANlTjIRxjyIQGvai+oFE8pceyCvEAChHZJRsDOEeCkpWA
mNkBe9VmuAa2XgYIguh3ZOyKUyBRBQTz2ffvQfNZbqt4jF+7ZIYDmdvLdtwXMRzDMqiV0XYHtUl1
8HyIley8IkznjHXuBHbX5I+3holmx8BXBVOY1+2XMWzhCTq6jvepQmp3V3Ww6DgZblC9gSS5f0jg
uNUBMgKk+q5g0CPORjqQed8koZpug5SPuKsGFHopFO1IVIJRlv/5gnqcegGJg9QVqAUgmogNbdRu
XflzW5s8mKP2ZuW07gNN+f0gHQBaeEpBBh/bF1E9XxKefRwweDLwGagg4sr1iGkBl3q0gVO05ofQ
nU4+YKn7IGmnC2vxiafgvh3AjgM5QwzVivM9DOk5cTTDxiwV05CSXaCVT+bolwGicDlYY39lXyJl
ts4zL+xjCPPJJS87Wd1EwIjtqognG37Lj0+xkq66B1U8GIYF5KJe7XlvujwNwOf6+Yp4fDbjtwD0
gSwLEwYFifMZ00mtHShfYcbqts+6oQoyUrfLrsQOd+Ha/d1y0NooAKQDVhB7ZoAbr1W37pshmHrj
A9dBFMoydObNhwH30eG6cfwFO4LT9Lfj7JbtjVMPYE3TQMOYpHRN52QscJLoIBcivwhBp9s0IbQ4
ksL071LUveluEA64bwKkQGh59amTpcOiYNrXtf69LMCZ3U+9xy5VkZ+IKKy2tQaD4gg2aOs31TUc
hQyqo7lJ6uTaaFmijTOuxFrXb3dtMjoHhxtU5CmN9z//dE8tdmyagOxA+DsGuOb80zWtZrBQYfh0
JXH3DQM9HiVkd8tTVsTgCnZLcMk+f0oJXG9cmcTkuEKizhpyvXeC4tLF7HFGtRIDcNP9NzLl/CmD
O3CQGAkoACag75dwkkfgFJtjBwGgHU8hPPfzuXuCY4naKBo1a/0HeEE7pddL1AwKvdicA/l800h/
6nZetXwogwLC2wjubBa4R6TGC9+DLZW+hPm4OMbASmZBMrWvh3YZr9yunOAdBQMHZ3Ih/1Z1wDRp
vz+RocfdRbBvRLr0HehD7YUt6PF8rbsPdlPkhIAt2J3kaBSxcnsy5wPxdK6Htr6lporeFOHsw9hX
RReuJE+AVtbOFjiHEKaE8gNZF+MPiTWSm6mAsssMzacUCG5WldcVHYvr2XffRXPAcoiUgEACzcMT
bmt853VE3VUiuJClPvUeaNis15W1U4968Pl79KZgkTtLDcBqKz4CttWAHITu38tOlMOfjoNyFkAC
mreHoNfmVevFQwwDsfhLSzS/JFXxePPErXjVekMauHIhrZR5bqoQS+O7mjd6isEQq9sQQnN7bhr/
l08DwIVQDMKpvSLKQ+vMiRmFy1CDR02TLj9PxlH7EfCdCze1p6YXdX9U0pAbrNxya3phnJRGU9To
HK2BtxDVKXbNhG6tWSAYMze3iwyv51iTneNPV6Fkf6BQcwkI98TlH5dsXEdxIUVuDVD0+Sf2TRhP
jaFY1jU0lEKsJJjy+eWLhgR9hqpoh/ZJGuRzq/hOajNeFwxeDl1Vyh2vJnJhp1gX9vmhhbdBrQ83
Stz4UJA4f5taoGg0OeGU8yoKXotRLHutuvICm/CJlQSNd6iprT1P9DmsY8TrE9AjRjzF6f0eQvzl
+EYucDDJXCcYL/yi79WTH3/SSllcy5SrJCku/XYVTGtQwpFP97mnXR/WbUxC1Mz1aQUp44oiZS6H
pcuEPwUS5KyWn6aoUzeN13/2OVfkAAI0w4Wu72oC9F658EyVgX4/tJPnXMODjg2QS2ha0DuQJt+P
kk7vY8j8fGumDqZALVxx2eRi3cAvKrp0Y7LP4/W3oYSJPWrtFgGhe/65XNE6BOJhsLMB4uyAq2fy
aYY+81cF257clzR51RRh8zlx6vKKdDq+I8IRGbSc0XuroHUtyDTcDDz2TcZqN8WP8uITMLiASVMQ
y39+Ctlra31ZVJFR4ALmaEUNnL/sIIQTFbPqc03aeEeXJUbqopcLKZ59VuApWFBQMkHNHxpSdue+
iIdVJYD1OZBjoIoqXHQaKrqsqMznFmiSn/+mR4jP9XEoj4NdBiD+CoU7/1FNmXAYXAPapMc6PXBl
zF6RKdo7q79zsoQjQJV98IrMlJxcFzaYKWfOaQz7P9igcZz65XiIRjVmfu3LrF6G/gq6Ov4BMNVL
16FHHXC8q4//rdBeyHkDBmC9K3B2dEJSmnc0ovex6avboKHpK19Gw5XndOiuyaAY4EcxdK/ByjSv
WdytXRMDpAojTPi7ZeyCV0tKLomjP7E20AFDqwbqFvDksbXRWwNX9FDwPp9h1g4yX0DzuisvuTs8
ES7IgvAU0AtQoLPrGHHvwhimELCjNkNzD5H28Q6WU9NOVW14J4o2uoMabX2gkNe9cBV9BAvF3MNQ
AGZKgJ0DE24TsAruQ4MPjid5E/L3POrSrAxcyLEMtavezLBnvi9G0GDJWHwSdQSN5nrWF447e9eF
nCSaHm6CTgSYRSi0nH9+eP+Gvo6DKZ8WmJFXQzRe9wMqWBDUuCQy/uSj1k7fKly04q/PHwUlVKeS
CdTWljp5GGsTXJmu+hBxcYkO8Whe1x8V4U6AOxYuBlCIPX8SFMM7LmI+5X0B/0qXwpwnruvgTWSG
8tDXEGyZIZ63L3QzvK3ddjmQ4JcpBXgH3I3XBC1FRh/YJ0xUYra9KVX5kgB7EVRc4riQl7bPJ+Z0
vYEnBOVrF/661pyycElBnywUCK9tDTjlWOxwUVI3HDWAC2fmU48CNSvEvKIhgRb1+aTSEaC8uIsU
ECiNu/dI2Vx3nemvZ31JEs+OyHXqgAxFXKDbAK60tSaXMJg1LQFYoLHb7koHfSqVhPVpgNtyFizB
+BqmrzIHVuiSueIj+7D10ZCVQqkehwX6jtaPhHdbMGgxqLysjIJ1WOBloVCg1qflkHl0aVGvpW3/
ZqTrHdxdjpEC/kx5g7gxNBWnwscdF+EW5kHAa3jLk+VtX7Tswt3nqW+xGnevNf61yr/++w9XkQk9
oIICVpq7GpCOCEL1x6EU0wGQ4fDCZ7c3YUBOVqg1sglsEcBBWJdfZPRGwZO8z1Mp3J0hSIuULi4d
md+1VH9MyPCYEOUxlE9X1Bvouee/CHVPAEzKTuQBUdD+BmTVfA5crIKsNHFyPcNmB9wY2GzeN/M4
wnGZUrgntcYfvAzVbVZBZTPQxUG0kb9vKAkGYAFjuR9AIcpj0zRqFVAvxFFMILVnuL+TT54a0cMW
SwWL47IeO4OLrIYZA/QQxbXxJfz+3KrCtuHCbTgzqR4BwWJDNe6aqE2+YSD3ISRKvhMkKMs9m8ap
RZ8a1LhskVV3ZM3UQuO9aMSXgoU0yVrShgAKRdNE87QIoemRtJ56FU4eLFrLoF5leyDM71K+vOV1
AbAXbjrZUBGyR6+vmw6EuQ4IA06VoMQSifGlXkYY0f88fbGTJXwKaKmu+cBK+nx8JKSMaMJCkTfd
NO/doBZHnWawaBJeFV941ro/WZ8dSRkq+7jHo68TWZ8d8iEGqG0ucqBfhz1P/WIPhd8aeCX0/UXs
FHvIgV468b/39M6fCvZaBB9PnPlgCdgXGiXA/gTqu8IvHB0gRyvS1HseDauJ9bSkL8K+SRU6rZoB
BlzgnyF+OLhfw5jCl3gxoKxUkSk+Q59n0QcTVea+V3UXHkknR5oTH+K3xVBENbp9zSIOM+T0zVWU
DtVrAw7vlDkUBO9D1cvCz1rYPhyKlEJGLcDVfd45LJhhMYR7ob9H7xv0+5jLEoTpMpIqj3VZ1dCQ
8FwI0wc9rEjhGzYvh14rwfc8EABcV1XVfCsgIvo60M1yIqv5pXHhlYWHEfXWQbjDm3yZ0g4nRgga
ys/Xz6MiZ5giZQNbGQp9OHyRW57HcttLlztirFEQwUdlDkNLmiu1vKwWUXOwTro6890haBFNNZUn
KUUgUVKTzuelgW7VlbtM3UOglgrQQdRSM8U5hJxI5eLOxXqYhGfjtDRomSyjPDAhIn4ombv0J+jS
wdVBt6bjL3/+ox5dybEtYaGsDjEBepGY/PMfRakKZK2GKpfwVQZnaSJq2ZPA6V8WJnViWEhWqdjV
DsW50YBMN+ynWaTNTszglB26hHgoYBfdP1PI//k6/2/50L3856Id//F/+O+vnTDA41Jp/ec/XkwP
g1TDw293X8T4W67ab1+wu7T/tw7ynz86H+Ifd9XXoRu7P6X9/zr7IzzpX2+y/yK/nP3HoQVy07xS
D4N5/YBbqvz+ALzz+v/8b//xt4fvo7w14uHvv3/tFPSZMFqJl//9X/909e3vv68Vmv/5cfh//dv9
F44/+39DuY7Sopr3z9H+/ScPX0b5999xYP8NcA13rUtDLcxFw/r33/TD93+Kg7+FaAOhaA3x2/Vy
iG/aQuSW4s98729AHCE5X9MrF/kk/gzs2e//FoZ/AxdyBUJAeg/NFlQX/v16Z1/sry/4GwoxL+Fc
I8e//35+wOJBaGnj2bYkFulVh1OPNiC1qg9Lav4o1PsfJuJfT/pvRrbaJk1Ygq+iMDJQVRmr5gwy
nhdi/LmXtvKjajGS9HNQH0wav4QwzMvGgwHspte25bOEin2geYDtcnWw3HWhD6qOaaJfymf+M92P
7lrA2oxNldQHDxSxLtyB83HY9t7Wdtcxl80m8erDMrfT9dK68JKpTfpm2+hWMuwXw6Jb6IOAjIky
bkXYso8c8mHb4NbxGxuKSma0+ovxGgZ1rfyC/miycV7WNfRDkrokY0Vgxd4cghFFyxJt5qE8bXtv
KykF4nBOpCubQ5Me0/FLU22LHGJt8vhsQqQkrFHzG/17dLPV14BV7iVq3zPRY5PRCuiSJqxSzUHh
8ou98G0dxv88EM7Og/8i5u0rb9zrXkdN2xxYouabjinvrkicS2Svs2ztP7FjK0uGMiZqMJgWCm8l
Ue4i4NA2fUhbfLyIUPyLmY8PyVogFBK4gzr8Utf1mem2LRCraaxH0sX1oRL9i8KfylMoZjff9uZW
XOKu1InRE81hgOTt12Xg5dUIzburbaNbgUkaApnAaWwO4Udc8JDTbRvWCskCzU1TAcB40KNAmcnr
4di9/Br2869VYgUl9FUjUNOxSsqZ4ToKlh9HCrTxza3InGpPir4amsMUowLYzGjL6ET1G6fbOjFp
C0hXCSDAIUkbbChJtYtikH22Tbp1Zi6cL7ocl+YQwz9yDwmPNoOGo9z26nb5MvIhPrZ0GF2w21G9
7cSFAuEzwWPDCIHGahl0jZpD5U93vGhYBufFC2WM58a2TswoWKibLoQd4Elw1dWcf6G4kF3oJz03
uBWYfZSM46xhVsuiqP48RO5YZ+k4tNvi3sblLtytIKwZsUMxVvmiOwLHNGc+bloqj4rxnVEeCofs
4DcNfKDDtkbjSW48I2wcA0OhVLbwrN0Pg8hc8Gz96du297aiE7AJmM1Xkh1GRSAUp8g3YAi2hY9N
Km0l5JIbmlSHRLh7PovP1GN649hWaALPFvdL0DPg2yLQyIbxxOOL0o/PLES7yiCnWJphwIvXGnCB
IIRPAqtfbZpwu0k9JTCK80O8OMOwbtC+G/mlG+9zr20FZzuDaJ20GHqIZXwlg/jaHcDX3/beVnDW
aGqTYcTg0BzOwnA/kAv39Ofe2jow55GAE4fz7GAavaM+Nu8oBoJ221uvD/0hkx0ZlHhQA8Qy6eFp
MVKwNaLUvNs2uHVsNoUjWmDP2SFiDWmOBSiO4ae4053Ylr19r2z88PaAikpBVyNqukjYVn6gwyU9
l+cm3To2TeyouQgwcueYa1kKL4NlxNtt02KFpggpg+rxQg+M6z/A1botQnGJhvPMe9v0m86N1TzT
gB4mgEBfM3d+B3EG/5foX/9Jg+yOdtH2qBmnqjqUHr1rHYl7D2wztp3Kdg8t9eG5TGBMitvgw1Be
Jb+mh/PXS1txCW+sBhAvjFtod+eiAD+retvys83cW9ngSunV9KDbg2YNxEQ3JlauFZagv3rM9A2F
BU8y74O2/YQLLd0W8zY3vhA1XluG9FABFnpInBHWGHzYlgDZkMnWQZ2q8jC4qD6lVBwodbelg64V
kg5c1lgZEIrVNycZMOkpygVet3FtW0HpMvTjNVCnh6IUtwggoAQ6f9OEw3DqfJOVgy4d5SAo5/IL
DuU6KxRcFbdsJnBzPh+7ARNNK76ulMZHG6mU78cyTTYVI1AnPh9cT9Xax8fgsQyzVVyk25b6oJ5+
PrIKATZaDJaJZnIHcSmdqai+JJj69CYIivT54KtMFWBJmG8OJHfGeOfvytTRm9Yh+qnnozM2O8w4
Pj34BjZ8ri7RPgJ9flOeDOnq89HDaVrtFzB65+r7ptYP/eJcUgB4bl7887EZOjeQUMBWODgJyUBe
PtQL2urbFqIVngTWClC3iOgh6n22h6IOSBW8p5vCE6Sc81eXaVRKySVCSBTqWMCAbRfotNwYRFbw
wzxYAYeOiUkcsVvEy0h83DQpNtF34MkiyzKGDVIFLg/T6fRq0kmycXQr9h3tC3SZYLJUGFBkmgKS
TpuS8EfY17LTra57jMx6tjfDCbTebVNtaw4MBq7WfYqRudNRcAD+mBXqY9tm24p7cOINfNKwXdV6
8PbUhNChmvkF4dtngsdWBhUAcTZdNyIwFZhC0zLtJ4CHN765FfUUdClOnR6Dy9vKHPm0KamC2MN5
2MQwS4dghaIH2Zlb0TR3y3TYNtdWuLsD2F9JioDsmswrs3FT+gDMyvkLA8etAJUdkJsk81XkyZug
+DV2378TQeimnQ+dgv6VAOiOWFyia67vAlNdYDY/szRs2HoD+RkNGAc99JSx1zQY37UKmP1NE23j
oGY+gF0FDUdMNHkzJHeiL7ZtHzYYaSZBLAeCY5KYt6U6tHTbooutMIRfoDMMI8IQHfSvBizgZQm2
JcbQNjr/iCCx1iMYApiNzhkOi98VUIZwth1hdiM84HFgwDzA4GUrvsSJ8G5puDgXQRp4x78wGn8t
QCtkmjQaJpZieNUvUG2j81GWTrDx3a3AEaV0kx6kyENYD/2HpehgpxHEKrzE3n9mjduCBKXr1g4r
BXKHhr2qPXAlE3PatMJtecZuimkzjVjhnHsn2ph2V/F6W3UdNKfzBdP10RQPeg0ffozJ6vInth0I
kZXCGhaEFUS7sZ+0yQmsuv7oBlAD2jYnVgzVvGZjFGAfNNIXJo+hIjjCiw/ydttOHLsl7WJT6ecF
4vdSzcBpOf18aoD6ebnp9e2WdLXywULSQlpfwaqATTL5CJMstW3mbWGDgS90rkEvyAGSA7K/psHL
qZdyW+5juy/GnKcSTkBR3tU+FETcmt9pmKJsOytsk7fB5SCdUXzYwSHLTd2ob6z3yetN024jGpVY
ROBrFzu693bF4HnQ8tg2spVIqKLxNew3cemh6Y7CpQHQTH7JmfW5vcXaGOO+q5x5xuAwSTjR6m5x
qm23KZvM2ySAOgYtjgv47LxsErj9wK3o16ia/9nPbaGI2CyeX7QKRJRUTrcKdIfbHj28bQmWLXca
uaKEbOcCtw8GYscwQZvN6D7cOLq1Ldatx3BIyygvJ8GP6SCXKzCSzbZp/w6JPavLCjlD2wUnUKFX
+e/SHMCvuaSi9MxysXnutQOgok6HKK/TUZ2GcoFkE8or2w5SW5bQLbiTwjcTen+AHd5D6W/ZN6sf
46Y4so1A2hC8nKIoIXZXTy5gjmNzdCAEcWHe16PniQzDBl61SDBa2DdFOWcd+xov8/KSjcGSdX3P
ck9Uv2bZ9NfKtwI2qukMyHQc5nExeDfImlzwjS7SeJ/7vlYqA2EFf9YG9ByeRu0rKB4FVzV4KhsP
PutkdVon6N0YRxNnKgERLuqXO1eGzsbTY/1RPyx9+GIRGFRgeGh/dHnvJABHJuU2kBpEyM9Hjz0D
Kehqtazp6avemfmtmBK97e71CCIUoHLIShyrNWRJroMxnE8FmBEb591aMyBr8xR+kCBdkbl/G4K4
/yftLqKun1kzNkgIfuFVP5eYmFkqvoeLc3dSyPq2Hdo2Sih1xyDu1qjliZHgbHVRNkTLJeflZ97d
RgrxwNSc6iLMS6XocYan22GCOuu2cqUNFSLA6zGYXCPRYxDsG7/TPgnfuCBtUfxKoyCvqIN3D/t5
L13Nb1QUbgOtwdHsfLlHdb+KEnOsmXDyT0gLkt3im0sqGc/NuxWq89JHY6Kg8KmrUb2gIYgOsBnu
tu30gRWqnMCycu50lA+6fd07IblWLYm2XZlsbURV163w9QQJV9l9q0eRXgWSdRsHtyK15ElDYbYc
5qoJoz3IG+pIHWcbFhZSIeffNFB9tUBKG6rqMGr43JMmOLJYVJtacmC5n49eEzYEDYf4pycT58gL
El87JlAbuy02dKilTioYgVlZ1yuzK5LAwFcStjGbkgObXVBE0kCgLQ1zn3F3x1uIjSULKy4kB88s
d5sPORVCsMBHqJKaO28KAE33nkjSS8aHzw1vxWoSKzKDbYv1jtb2DWureefy+ZJB13OjW7HqQy2S
zzWiqa/8KHNhi507sKi+sOLXd3wib7LhQwnzq46DSAtl2hEM5hFC2HADmq7qrk/2276tdYGaYzCf
CoGtDKwS81F47vAq5elFhtNzv8CKWfCo4Jqu8AuGtGvvh6JpdyhiYfHDPHnedoLb5mhURAkWTQQC
oJijqxQWcx9xjOuvmybIxhS1U9V6+F+YR4mqTish6zhKb2Px10YV8ZhVEAogsKtbIBg4D4Tn6RRd
kqx9ZnV+517+kPT5JV4cx16YJyWMCGZVxEfgApptFWDPKjTBYVzhooOlQ4kTHcjow2dHgJy+bd6t
uA2p6/SSLGFuIqoPbWv0Dn6Zlwjhz82MFbfgi9JoXHATdMaSn7pqKLIlFMu2ZNuzzliwn0EJriAh
b0LslUArJicwMDe2qmx0kScLXZUMWZ8rufg2izG60WVr3m6bdytiZVgXE2xRw1zCTu3gg4N/GmQV
b8tYv/PIf1iRk9tj43OQbTM5mWYPotrwIMrOv2T+/Mx3tXFGcxwNOjQYfzTGJ1myxPGxmIizca+x
oUazI+q2TRCvgGNI2DOP1e0C0uaF/X6tcjyx39tYI6BopypaV+UY1FO5a9Aj26Vpl77gQRXsi3pc
YDoHGchtIWZ78E3oUDA/ruMcVFe2H8kg7jsoPG6rtdooJFzalgRy0ijlNH2f+YzQHTQ8yGHTMrWR
SNGsISQokCQbABLe4VQfMiA3yJtto1sBDKun2ZDV/HV09XSDvp/MF8h7b0sGbSwStPGGei6hbx8B
IePtWvAG+x32oKDY1umyIUke2uJNia0n77m/vIfpMPlzSJONRXTXypQJIFpi8jE64PvpIfHFR0jF
mv2WmYe3hZUot4GeJogU5Hqa5zdTS7wXBOLZFwLs6e0BHOjz0bnf+XUMSb989D35cnKMt4t5021q
jkA563z0xA0d6rQj3Gqk7oqrAsZsbySiwNm05qELdT6+A+oYBP54moeDSqEVOja5Y5BMbZt568Bl
PVEJEV2ajyML7nnD3dt0rOOP20Zfv8gPGz+pwwQCAkmaJyPYeo6K03flIPSmzgs0ks9HH13wLT0V
pDn0aNmVgNdjVop52rSTQRP3fPS26BaVOBEo5guEDNww4F/h69U9bJsZ68A1IDSkk/Ix75Fj3gNt
JmEvAmTo623DW9EaxbSGOpZJc6f2e7kPlyaqd2mRmk3VOSjTnU9O6LbjTJOugIji4t11tUwzULGD
bUve9uYIA6Wl37YF9Hq8+di7uth3kA7bttnYUnpdFaYdfOPTPKilA86765yEbNJtM29DiqoR/H9Q
oYu12djcaEmDa2BT5LZwTaxw5Q34cCX813IqkHhDRi64l60i26BnxIYVVbRIeQL5xbzvXPfgBA77
wlsu/9i0KG0lySEYTan81skrDaxiNMFNI5zQZNs2uhWv8Zx2BaohTk5T7r2Lgq7ZC03Hb9tGt+IV
ggrQGpDcyQtu5oNKvOKopeNt/KxWuPLWGdiYNkVejjAbdgZTv4yDOvi66d1trJGZuxryy3j3Jmj8
O+o5/Vvc/5vdttGt03WBioqMlHHyqZ/mj/5c1tdFDJuEbaNbpyuJIXxWK1Hk7bL4uRbsvip4t6kI
BWmC812s4Nrrx04XeRw64uCZucjmhdJtu5iNPCqmqBVOPTk5mUJxAKGAHbV/0RLsmaTGxqD6RQBF
pCV0ctk25XLVN6J/ExSR2LgH29imkku0A8vAyb24DoAm0Vp4O7iVutsCyoY3MQiQej3B+3NXRhD4
SIoPAamqbQFlCxHWIVT8R4qtRpmhv6HGsCtSzpdubM/NvRWuOKf92CQhdmGjmisfZLz3daT5pevm
uvweXwgh2HO+LGEfPJWm006eUBWWu0LN7hEUOpXXPa2hnNlF8bIteG20E5DMScPJ7ORmjHXWlYEP
9lI3bhzdCt6qi9ymKhdsycEcXLukJNmAAsC29M+GPFUAaqUOL8vjqENNrqEEHr3rUHUZtiX2tmYS
TTsj58TtjxLeZHB3DfWJiXHj7mBDbyQMJjqoV47Hri4b2FJPdZstXbX8uWnftME3RIW08sCcP8bp
POwlDcc9pzXbtrXZZrSMGieqfPi4EIXsknaNPvYMVgfb3t06awuaOoUThMUxNC0cEHzmRA/QSi03
VaOgVXMeXi4YDVA4liX8Ax233cN1armLoP+7cdXbSJxp7LuuSKDBEQviZpM/qVsp6kvaxc/sPTYS
ZwnSuFqN3E+jkvCmFk0JmeCI8m28awgwnc9ODfVaXqukP2kYnu1Egq/aQgxl28KxsTg9vPLcoi7D
k4Cv7BHgBPGqDqTeVJt+5DnR1UpjXc7OqerFB6PD9qGJ9fhp06q0oThDMjHNKy6upoA0n0OPiW9C
tpeQobAGfHrXt8E4cFzyDfGVuKJGBuVNiFJU4R1jCYuN9tb4VDkp2EMjc29E0sXkrtawrTpCwdwU
DxrOS2v3r4VqHpxKx05Az5k6iyPvHBK3U7tzoAMa53HkUPZH38K3NIt9dzawhDY88q9pp2pIqQdL
kbo5q6ag/sOZAwHS2UIi7X2K1z+ZkUBW/fI6mqHget0WMBq7i2nM2uuwTET5SbWqV1UmunEe3rh9
rxoIdRkpCdQkEc7lH46vvbLIatfv2DdHO1IvuzlVc/mugAh3P2WEOBSLrjND8QKGZmy+5XJeomE3
elMCf3ACtb7XYoICxl2HpvDi7BkAqex1DF04D44mc+nO8d4IEw7vm2Fo6BGUg1ZcpQmELbNSTnzq
9pPbNBy/n6oFxlADScEZcB3af/RFE7T3SeelfbXTA4nkbZdCk5zvtJ6T5BsncJa+j2nYux+5hFq5
u588XuH21UEnBw4qrU/LEj9WJrVRVxPG7Pv92EOT7I+lcUPawzSnZ5WARexcuNCyhoR+DCdtH6ki
LG/jYoIVXqGL7p6ZVoavhjIcMUISOo4fZg0azKE5lAmOohdsbGt2n/rL1JxS3E0EflBBOpPL0cO9
c0mSqnnFZi40NOLJ3C1HGppwvBtV0PRNBrOecHqzpKEvm52E5VvZZ5C3K8WJwvLK+cQDacY2qwCd
i2k2zbyFg5IbzqGGRVIiNBy9AdqDhucOfD8TBDcGIowoq7megZ9BMbdxyI6QrGrKcdcvoxOi09Im
RVTtoLhPxJcJfuH6nar8hL6DeGw/DZAdgJhOtYOrywwlBicoAwqXuS6MPlej37A/pRs78IMCSn3x
22yKHPzZLqITm09sxq/yjobDPg32HZBe8FxoTMZ47gHGw2WBmNCdSv50x5IGLKtYX4D42CeqdT7C
yhpmoLuBLsHy1YNwi/ONuHHD9yBRyH5HGUxXDoHQ/dzetKZeAyzuJe0PIKt3KQzY225K5xtSdYE3
5MyNI3hyOymVgbsLVUCLdh8nFdcPPuoN6nXCS1ONe9nJItrVqvwUzUMXH9gokz6DJxaW+dDHlfzq
jZijbz0bfVFi8rhnrlu35fEtGPKj/zrp0Uz1Mtwbm1c8iqpr7dXuSzg7NeRbp6eu3kE/bPnqLyPb
B8TE0BSCfvpbUnu6/FbCeYEcyzilMDIqg5n2xd3cdLK+1bI2RKvdTIq0Lj/CHJV09R1ZaOpX15DK
matmp+t0oB9G7A6kOwxsjiu694tIdzB0Lw1cRYH3K1m/J42J9IfIccflAUKg5fAOGroiZZB2RYUa
coMBkcsr6hU4juFMFLleu2t0XLMF9kjAk/VZ56KHKfIJIIHBP8UupECjI3iU0VhkHJJG/Z/ghgmj
sxJyL1IAnw7VlySTxCT+lMWKsf4T1OIAjYDvqYTL4w7yRPUEXcM2VWUK73k4WWHaDfSzPobYStPX
AzzOo0+BcWTpZ+nEB4J305MmfzZyCLpXsKJI+o9zxzuPZ2QmQt0XLvPnL7qcWAMdOOOK6gjl92mA
vBWsoxTMnhTl8GjUZRQDg/D/2fu25bpxLNlf6R+gAyABXl5J7qu27rIk+4UhWTJIAryCIEh8/cld
5ekq63SNu/ppJmIi6qEiLIl7kwSwVmauTLmOgfRPcqZkpqli7RDM+RgXAUQKyvc0fV4Q60w2EZMh
+248NGHqoDuRdHBYlWARzg76erwa5trAJ1cimQrxcGBZovsStg/kFY8V1rFpvMS8alIcDTa5gScg
/Pk3cwfBC34nahf7WgfdKPA21wuhY+qJFrkoOzn0k4f8KqjxxXUIo9sh9yfuyIFUbMJ5EYVzLFJv
sMXbKtVc3spIWXPdFQP3d7g3gn1TMVIcMWAY81h8xkEPX9tUxbJBgkmpm9Ye4oG5YYFoO7aIvwL5
BIIdFplz69ssMsqIz7Bh7qY9QWytfdYKnvVeNvCqlAgNnJZhsllvFzLfmgH7zKWuS3V2/SEVzWCq
TGQulEviJtVdR2+jkk1I3lVrhTywntlFPXmFCV13i9q+BoUxYiC4hq9w1LtoY6nulwvQiB4nqe+3
2uygSaZsPUeJNQjLbUi3Nq9cLaziSPQsLcDJchhZX6emhN2QhPWDKK/ryIzYshFgzV7gbKbaJndz
PVGbYrBn7MMUcXdqedJIwtTXjZTwld6VpC5lvGvpPMZkQwX1qgu/a4lerxG2hvif7BxeJtxl4Bye
VTrQSY1QJ0wrKUje+V5TN3kb4uG22dCfm+t0coHX3/ZTrJFShsHM1R82zgLka9Np5KKNr9VgxZfC
6zhKgmWc/OWd4ru7IoVTfD2/MWsTKN4WDcveVHlLO+2RLWED2EWTwg4pjAptfEcMxWCCSHQ1Jylo
IbT036vCzeuw7UFLJZ+xAxK/SmeYd3pbuC0bE+7GsEewdNq2pb++rsi8GS8KX67kCOtRZx9a5fR8
yZDINJFsGmTFA9QWDpuATOHXiy3p82I1XpDM1/AKHTO4lMOvM1sXv1kesavX3lcTrUjvTmu/gQhC
1ElQvtcJ4iIextgEnYCRbFDGNBtUOCQnToZYIDXCdHLWWUX7rtqvLfL2kjyZadvP6eBhd7qzXjRj
S2ZsYO1NENrQHJAyN4W3jkgyIxIqqrirM3+aRKuzEfckTj0qAkhIUJIauMuXosPMEiJwAnWPSHMc
5WnHSz599RY7i/e+LpjuMezRWLOmM6j++ksie9jQpJ5VdfBE56QOynQYOzQwaREb53VwZ4ZBFd1o
1/YS6w1GtCtH5jJb6wsezmN4B+Y3SO4rB9fdCU/CpwNA2HCoWsBfyGcv09AJ2R9jVvD6UTnD22+R
X/WIp2BItKBDqpKRht8qLnAMpH4VquoJ2V3FKDDq66H2QY4RL4YDMq/rokpZAOn0o1ZDBQvdaial
hxsYThNerWKtIrHjFepYP6vgCVpjH5y5RzG8AIMZ5EVPI9pipLyrvjjAElbjDsp1oSfUHCx+DBT2
xm3v6NmjrHXwn3teu0DK7TL4Fq7GTDdB8aVxSadv8VE4NrnCqEZfWILcyJuwYTEyuyD7o/D8bU2X
eYmcKBL2YOxX3HUFWxDJsCjlbx0ykTsU3HOXfJ6ichkx8ajF+qVw0ShNupZe0EwwLCcdu/Qc1sQt
QVZfHaT9kDjZpQgb5gpO17WaEnz9tRM1x6kxt02LkoRVTG6CRIsIPv2wXoMNL+EJfr6pwd7ueYNT
6smtRRQdlzru+LOg2E++uQ437FaOE5+vy64J5qsFqpnyCJ1VhFk+tM82PiJecJy+09618+Zsn88R
JWEoUgKLOajNs+zh6XEfQPFY3s3WC0yXdphTXh9lpeWwBx9bWprGJIy6x5GAM31zTUxbugnGeQlt
6oMktA8yGXwU9LOwPT+sQ22raN+IWmHutCo906S06A1/p0bWHOerFM2jxSaC+wNErkI+AEHYJJ4C
1vMwXCyuUe6FQBl4u6LV4qfIeCOmmydDbpbOYLIiqMYq+Qzf5XpuMnRII7/0ZCLlFx/WVfW1BAjh
b8ca6/BF6AFrMpO8SDhGj5A3gQFNyt7novOS2xX2AwuaJ+sRvkcKru0OEsZ600On/Kl8XZMxxtfH
Vi/X68i2iHpKB7VO7aXw1tqkviht+xwsKCNT2CJH5FD3oh9OIymXYDebSsoHzvuykeksV7/Zq551
A3YBHTwaSL36a1PMs9zpevK8IZ1JG3sPZT8I/12qyZodTr5hSVuo82iKYzHCW0lrX+dkmmtyGpkp
kse2bxXDnh3zPqeVifvPyznt7oC77LAINGzZMTJmQpRkt562E6BnI+GRv0EopSfzGfmd0Z0n9OIf
x1mwaF875J1i0GxJ1FWgnHQibRx2n4clWReede1oOpw2otCpC2ttLgixZXgHk8AGzu5FiyRNsYlp
bNgdYDiut/UyS+yEFv7+NSK4ETW163UTRxvS61noHBPKzG7gAlG2JxSf0XyMYkHDTaONENs6wAo9
Nq4Niw1nrkazG1V0OBWzJGenU9NV8qJqmEUuF56knA5knUyc++h31dUMZZc+mNKBYw1L1TUiNfiE
4T5qRRVeLXDJD04NASWS89Cre3xYzDhFaSBiRy6KMZTdN4GoRf1sIjrQa6pQRaOBwxxOeC16LcfN
qKdxPoXWD/sDKxA6kfnUzORQsZEuJ4ynwt4iDeuJJV9lV/XLNoYZePsgsYrh6lA7OuzGAE3NdThr
1qO0iuuonIEY+UlzqWTru6s5xI1uVWa8hfj1ga8CCac5tIJVW2WFt0YJLD390AvS/wzk+ECi8WZA
FE3NxGHBiQhrmKYbILEBb/z1P/v7H6C9wS+wrhCrcFALGS5Ar5Mr2Xb/2XQB4x+QPb+ZTIQ6yR14
V+rUajo8rHFf3P5Hn/3jkGrE3Ti0QWcPQ1jRo1+q+ulcMf+C6PrN2PBfoP4fp1SFpaNY10oeVIfM
pHrDQgczSMrG4sAhdMJ8FpwiRT6FvofXfm0gkiQw7H6vEoleq+4Ev6rwIk0ATFF6uSVjfTKu8Esf
1wAHUYwZu5yZJsYP6J6JYucPXdIjeqr3o1QpCGgvvSRq9VHMFS3xWmtwYgSRu7+yif0LWuP/G5SN
UCuKerGHJEL7sJ3HZFr2uqD2e0cmKnMJh5ZfccF/gZJ+HJtdBhl4s171YYapnndUVZcgsSOoKOny
pHOAYVJeOMZzoAkekrtLqEvWFPo7itwHb3UEGRVJYPWG8skbt4sq9LhPmsDnp3AuPJn1LcbCzIZN
0kOEQTSMqtVXla9CFGTw2TcIjiiE1v2IHKrImis4xSCYAqVRPBzP4rXOy6NCoqveVLVnJN8o5GtG
uT+Wq8WOiX3H38lQ+MtuFiO1Dw1c5qmHMIq5KZe0UAXcvtDNon9fd0PAkVlkByd0mRHElHa5b2Fp
tGmEt+j5yOIlma+aOBQwG5NW27bKf1sSf8se/y+t7n+yx/83TfT/B9rjnw0x/9oeP31XojLNn83x
z7/wuzl++IlBlxEipwHJK+F5xf/ujO9/QrolDc/5MjFgNXoeh/phjM/pJ2RcIwMQJloBxujO/OgP
X3yWfMLbGCGi8YfVPvs7tvg/w81I/AK4h5BNIH1IGwqij1aoMEFd1NCEPJUcmENh27zpzJNR7KKY
RwRtO7370325+X0n+7Nz9m9Gon9scD+uGNLYR6QEI+wjkF51MPSpoaZNzeB/ZlS+VCUS8Lz6QRfm
3k/MbdybPi1s8JQY/o0E4x0g09e1GXQ6esF2REFZcn6SU5uFg37uApjn6jkUEKPHv9Bq4vH8hMYD
r/QRiA57XBpyjof4kQ4x6G/AWCA/BEbLLgsataQ6HORVWSXIqsEzbbchK+v9FE/+A7AidysruRvL
0e5q5z6vXRumSgDdnYMC4OY86jRYkBgc+sgrVEH5hVfgEOqgWDMdDMHX2CS3sEHJAwAUKUaF/KOL
rwVyaJCnFWw1nF3ScYqCzWzE/LltbZDzqFnzrqj2yA6tZzjGra+LP10tM0NYRoMaLvLomAcUEIqP
OHehveXOH3uWmRG8PnKt4DgM1cYJ2oooJwZg+xh1XxsXmxzhH0DVdUkVYAUd5yVH3zFMs3crzvOH
id9W26Ttg71xwIQGF7FMGbJJvOkqomEMrcxQznlbr8F7IT35rjtWbw02pXzy3QL/Wm9DYoBNiP29
1/GotqCxnkrUS4cojp4d6+85Iog6QadML0oeJavqXW2I3MFO1p2QE58cals80gXQElnghDQsuEEI
fBxzRI8iXW0Eeki6QW/EjLzIefgs1obcubm3mwa12IZ6swcmRfmvCTP1rliDHZ5fsgeFZ64FGUqE
kiKeDlXmAU6qb7bymhuVFNWJI36A5i0QhR26ESBqYFd3NZC/ebWBzKeB8ANPirhKvaRgF/EKaLBS
rrwfkOK86XCcZKh+NwAp4IeLkKlsAkqAFcg+V7LZ1atMDonzX9pkbHLaUZetbbJg3rBtNqhEb7hD
rIKZXJujzUPkUjl2V9CwCLQbHZDpvnf4Pw5qVpn+Uq3zgnzo4nsdlsB+F/6iV8D+86yaGgk7SIZB
skt364qmzhtBEY0T4g2tIWTNh2gE1AMmBjP/pdjCm+sbeszqxY+9R1uq4DrQlTy5kuqd33vBRUnF
S+Q69QyIltwD6VyykkRUpoIXOu8DwS5HE3gbhBA6BOvUpc3aqG+PY9FfJaTovw5LgUaEgnRoY9Hk
uonkwav6NodqV27YWFmkb4fXZU2DBwwo1Lg5vDk0I0It+6Grr4pi6rcY0OavUQWzbm9YeUbMMm4R
AnnTcTVtIt5iu2mSZI+9T3weyHIHLqnGAhVqO07rXnXFvioRxdRjrCAf6aTzYoQBvRDlfkR49CYG
+HmnmC+vuOnhQ9iy7gpOk+7L6kf2i3EFu1UrHTd2BOyL3CCEhwNHAUGT3GoAihcj8vHShq/2kiUr
Mykqg1yhx4PQgPgB4onMq1r4dUjHNuvVuCFTiQhNf72sbPSZrcEbCzQ7Ja0FotTFBiY7xCHDsobp
yNwUQQbIbxuMMduR0MaptRGU+Ejr1BsERVS5NMvwNi9ekglQXF+KQj826wSoq0RZALQ9STXHcH4m
wEM9sta8OORGXVFErO2jMXyqAQt+HkSob3VgiqtOU3GJLajKYKNPN1LE7UaDRbluJ8Qejd3q35y9
ub5iCr3eVXhXb/uh70991aobv5ZzhgDPIStCEFs+uubsPHiV+UX/ArIV2oi6m74X5UDTao3ENWc9
SVkVmczCEPN56MuvYCVxL810BxCUAn/m7KLhc5Qaj1xPwj5AZvG0cPKIsaUmzGzRi0uphnIv2eiH
GRBOeqcDshy58umBx7XOFTbIdwoG64JiAWP2qzA2BdUyRinSphNQT7WghwZJENmITv8imspizQFA
qn0Q9VjXugHMmeoh2MPtA9VZ7VFgtQUAzBQ5fv11P3CCCOdl6PNu6M0X+F5RRGQVhrl0ANgls7aY
yEO3dgvu7Nh+Z71p9m7ygw2hRYR4WEF3UwSvqQL5U/60+nk1xN0F66GlXBJwJWkSFdErp6LbBl6F
NPokKf10UbTaQNY1HgUfMYCgwikv0DZcxkHd3xajktdMqXUvFuYdRAFGOYVc85urMMy+4bEpHnRk
aFaZcqZ5t/b2qhiW8jg53d4KcHcbvNYHGicIvscQcAC6cFy3HulcbsrF34owmLtNwyOeN4nzNtCk
IOp8LIbzHVNHU9u87YHVNCUP0yDp4u1c+vWl7JPiO7yk5hskfdlkS1tw0lg1W2I8N+OtByPpsxVo
Iej/sk99p5KTKcrvFlayj92ok42HM/4FNuHdBXLfbQ8Y15kLgA6yv+pNiNQ1BdwcYauNyl0zN9dn
/PXVWzV8JALr9gub7/2hLY4wazEXggcMdrJQRPSJeS/hAXall6bbhJGlW1AVxzHSclOD67vRyGPb
at48jUAz0yVE8BROg67cr1VLMqFUn7dLXF8qQkQOqUuIbWJFLClXCbntPH/ayMVbRCpjkIJBP5yf
obd84Z0AF0xcZlSyTZrhusRMG+p6Ox1mWZxinECXqAxAdixAEAGs4pAEEwYaa1T2Hnmd/dabKivz
eHb6CjTf3QSGOMOCKE7elARPAeqODMBhe83B1OxXw/cAeMYyq5GBDfc+j5R75BnHp0EF9CAZLb6b
aLEp0qa7C0+X456yftx3fv290nFwqHjYXQxUJY8VcA6LLRs4d5lrsw7jkdT9vNxVZFQ8ixGodIyB
8O5B1hko32CXnKGxYhiULOvc6XC5ZAMAMz/87ivk0adlhww4pLndgNtugVBTHWHuX1yOJcDUWPlJ
jhw4RF03NVBsaXCq9ZzhSAr5FaLvhlwZr3921VLsB9d1e81scVEuxXgS81I/Ca9yW93HQyZx/F0A
+ZzAGkOwsI2HsT62GAx7ZaoqLqwM9bu3FEWT2kYgerDp7KUVa7gLYK90BwnFLVC9Epl74h6wRHuY
waFkDjqeXRK0c9YVgKe45SQHMzjtY2w/GyOmIY9ApV6g8QuuYwvvqngK2AmBgvrYJuu0czy6qWBk
nqF5REZwLN85GyBV8yTZR2W7l3FQbQ3iYCF9APfZgrDegEfuchPYNYNDaruf64peAet+kjOvTiUr
7lw7Rg+24TrD9tIe2ey/tcBHj5pNiIxugsd+nqdbMTtYdOGyHRnfRjHlnUNCZDFbmcLQGeV7Wd9G
mHFFJsxsbk1sNA42qBKucJLWj5h8kFc6EB12RwC/E8ipGt61pzapw/ci0P0lJCT+Y1WJ5CmeigKV
wppk5+iQJe/rNrwpwdLeWHhVgFMSS5m7EKQnEGwzp20FMo8ntU67qn6OxgLFo29VHsRDBTJUjVd0
Re6z8FSNvbu7KWjzANm4BnjXknQBhLwLDD/63lrdyz68HJRWGffHzRR56hQE63OtyzCdwkQdauB9
224Muywh85b3YGAXv8qaqEo2PMJJNpf1d8Scuhxd3ps04UtTTA9r19869GLA+OJvfRi8rDYsH7qk
LGBe6V/KuHnoUWQfm6p8VuyMYuOT5VUCjIRYZKYknkI1iei/V6u1gCp0toe6KgYE2Pd9phQ3+6qY
+LZZ1ybval9m0bD0165x92PXxltk3yEjQS9hRgTF/WI3eJIKzDXYDUX6u973y2xtcIIy0/cp64o3
yKpAvunFZTPKzRXqtq1cS73hSDPPBhxgaQ27ANgzFF5atrp/CJksTzIsvB1HPiNA3ZSLYT4QrQFt
ctUcBGRCqTNDmwa6YShGY/+GYHQixcgg29ppVpnvpr2gkd3WvY23SjT8zi79W4CIaVBIk0bbFGUT
qed04cmU2TA4zmoiyJZmNm0bF4ATjr5Gvaf3y1gt1wxGMrVV01bUsbtoe6BhKZT35WlVPG8tQ8Ol
R55J5eUIQ6W3qsMe2YUsj5jHTv0YNDdlpUBqTGdOEZTOUS+RiTFjo7qnSXskayt3kssSvyVT94SM
xVcyOJsHAxqcNIggELY+mV+FPNe+Ecg/fxIgXmAMhhd14eO+7UFMHlbTMaDtvslXDIOukDMEILC5
MHszJPvEeKAl+w54MYHiClyR7fHqocV0xfRdSMI3NAE4lUJ+W2Vu4jgTwd/koyZfBv3dimU5zE2M
CKi+Wr5YOyfXS+kn3zzpXA7ezWYdKiREuShoaKhYtouEW2HF2Z1uwgmoYnA7yuS1Hcm9mkpxZAg0
R8ol2shpje6rsp72Pg8gYmjDajegJV+a8POUwN3I8upro4b1ipx3OkDXKgVTuOySJDKwW2Rxk2G8
rllTlPrdCVMch3jtwcr5UZsnfvemjWvupfDBbbSgEpiQ1wqLL8fJAlepkcuDbUyBHFd8ssEkR3ym
L+H6qFaxblvaXaNZ9+/GaNmdE7xc2izrHe+iZgvYXX/BjCC6ZBDAOwNcbkcmMC+IgUWruSD6Y0pg
Kzs69Ev4fAi2s+fbFGPB9v1Y536FmewMYz/NZhT1sUfy7RYv0CYsa7lLFpTAZDlZiJgw4guNC9ic
ZJXy0rZIw1aJWIEGQLocqT0TEx56ESLLAKGcW0eSKY2xL7rZY/dBV3qPqLnNaQ7C9YDBnOJbtKBf
h4bbHAPCc0yp6CfwkscIclbo8Mo1i5IuyMGdxbnHbX+soXTwMxb05DN46X4HGNG7dMA3DtNM9TYa
O4gW0Mu+u2Dtv7lgrEGnDevv7MLfggsfugb/fYzF/Akr/PcQxd17d06o1B//1P9ECPE8bP3XGOL9
C7RI/7ip3keEjL60b/+4rAbzrn5O6fTPf+O/MjfDTwSR5EEc+JD9nlM3/wtZ9PgZc0RoNSAryn+D
HH8Aiyz6RBl+mmBojxPgi8EfwGL4CRRchDkY8Lohft3/O8Ai4KWfsDMOp4CEcwLZVoKccQzUfSCT
mAf1WwUF9w7SOr2PbPWEa24H3ZygbxsgEIAGrHar2Cg6lVlU3k1yuXBtEW/jud7Be1VsEIdX7nkN
+nWiwVduqzA1ZNiwNgYJWzUXrHFHCBCA8ZB706mvdlRol1i28gjWT95RLDg5Z6SWptVSv5naP9iE
PcYlogNApU8b33TPSekeE9on2fl/asFlDkFRn7FFvDaIKNtXkZuzECA6IILo1VH9jpRcb1OE3rIZ
Zsz5SgIFP+yFb/GFrwLWfoXWZd+hK89ruOvlmlca3uIjSAaNUq11XU586S7d6ty+VvJyXFiZgm3A
J6jq7/Ey16hVR3RffHhWffM16ZpNS4vjZAKwWnVxXOdoS0tcvpnkK9qsBN5CgdicRSq/f6yzYjId
B74DetVnUON9TrzrpQ9uYDgi4efVfbVreFWKhaR6qt7KIn4QyGa+dGTpAPWhya0m8tiUc3+DghLi
C+apbLExUIbI5Caq34oFB38nX5HH12TNgAPXQgnHOvrUaFAb0n6dsfXitC/TCgZLKfzsX62LDjA8
6SHCG6HVUxDC6iK80q7Z1OU4bRpgAl7inpzFffI5nlEM1S43qB+n/kaSQWfQxUJTnLgks5DB7nzH
oiymp3Ex01HF2TrYYdtE8fPESNYpFGcKQlG8KQBZPEegavwC/VAaWa9MqWrRhXfVa6GXFVSkgvbW
+N4GkIyEHhqYSXLWDqHXvA1JldbhbLIKlfhxBBZ5qIpyumN1MG0R5ORnEQ+WoyrWy0nLLo/0yHJZ
hstmdQ0y1Bd8BK+Z09VpP5Mo3SE4MROKJ6MfihV3BxJAvRmnsc6wmKtMEQA+LSuO9YhsdPTju6XA
+VqxYOepOUjDZrpaoTVLeYlXU1lwVqXDyx5C5AGkYmMDmgV1cqB4WIy2Xx30FXkL6wEgKUfK5J2q
x5uI4OmXw3TT0KtV1Ft/kL8geX8m+rD+ETROCEN3zX3g5x+tYkLoKpgwUPrEGE5LIwR3r3W455WE
6pz9yo/mNxORP2iFH1cDy8KZj6vS5Pxp/jRrDnEL9byyELso7tCpiGQ3Rmbnde2zX29cIa8wJZRN
E8SfldS/mG8/RyX/aVTrx8WxqYYIdec+vu/PF4c6N+iQpCswzSNfAw6WEWPdmb/CmdpZ7DW/PYhG
YwRbneK2OXnuV0lfP/M4v38CZChjS8dOS+KPfkgs4KwZAPns5AzVnN+cRBkeBmjXV6aAN//KAP63
+b8PtzvyfZwX1Ie3Jr7zh28cED3OBR5ugeiOdBrDrFwfR3k99Vjyo0WHkegEcmOY95TcPtYsvJz6
V39AfANm2uS0pICvtnxqL8CRPSbgQxtzMdTzYwzkB+3hHoDHVZOAoXjzJhhIQbSWRyumNB32o9YE
ty3cJ1NnowN0ekAL9QFSlosCqQXYjUArlO/hsMQAGdTXRXlx2gf0BGYUMkGiWVrOCDQfaF7EYHHK
0r4MQfLQCOyaEoTThT86L4PG8C0aRrR7UEsyHGG73tDbkjHkYiYjNL4Cms9udY/+gO0z9h/lGj+U
jjyuQ4WXbIyvfB6v5zLx2FZm2/WYMw8J/31I6v9qqV+klZ+nIv+6lNoM5mXqxupF/WNnqvb95c/E
7PlXf6+gKP3EKA2QJQR2Ngah+k9qln86M5SgZn0SQGzsn1f8jwoqQGI5fhr/FPkJjcER/rOC8vD3
zsVTklCsxYBSePL9jcjyAJf/07aCz4OtArW/D7Y3wTU/jpJhSkR7tl2zuS0IcEyApcEuDhzkw2AW
2meeYOAn75ckuOxX0kTpgn562TUtncZL1YvI5g1wBp763KLWWiJeRhvMJctn+JXoKuOWoO83iWe+
VR3xXjiQaXXBSAn1qQuglcydzz1zdgePH0iLxgQ4h2UTJoTK8bpgEo04eGUcOkXrzMZTtC+3BSuX
A7pEvz2ZCPa2Kdps+6u4o/NQ+R+7D24MqHHoeZOAQJnK/I+7nWBu4T2PQakU9kiqzjxTaprDAobt
pAC47+qk5lB9Np14+tN79C/o658VJb9fOSEBSuswivCEPxwzJTXoxiMvXcVZKxz2OIkX+isX//jj
g6fk/NJhkCfxIZjDrv7z7gpv7XVEBlWmTU0FPKsHoNxwquS3xKOrDA4cqrAZ8BUf5K03k/m29loM
fGLmyxiMHVjMTFX5Ynq07ukKxxVMPDgxnpinqySV9droFLM5AUaQlD/3QIrYFJ0nZgy2RgukL2N8
iD7TZO4M9vYJE0MOpugMRTGfMa06WcBLkwhMHs0rA0zWsTe06hCeEKD6gb2TLlJ3xtLlC4ZZyitZ
lv73sVvCKu8FWd0RdivkJYAxrkSI5DqPEPCtRT50cYvQXpAkr4nT6r1v595lkDAEA4I9BVhIb0Xe
FVIfHKkvlzBIXM66xnYZzqJWbAZGhi+ytgwid/DJ73E4r1O2SBf7CJcqqiHtah2pNBIKqCBCYEOy
Z8D31luwHd1NgnCxFSMY3Qz1Ve/TZ1/PRQGZHXSzUPLO3XtjwFvvIVZd7l07EbZr+sQfMl3VpZeD
HK+SXJC+kBcSo05LZp3CvFkUQ1eLyYMOAyUO8w4LBpdeEYSoUCAkpdab//4F/c1n7o+1ERPsSpgo
oyEOZ1Qk6OR+fnc8TBFLpd9w7nRHPozeLWBrgEAQui+5VXPqMBuA2RvSfbGlXIA+wfenVSS3A3Bb
Rcsf4fF/64T691r56/69vZ/G9/fp8qX/39DPn9flXx9CQJqmSpf/eKxGeC7+46AVmnr955PIP/+B
H818yD756MrPGxoJIkrOUW6/y4Q8/FOMYjrGRABFbBIOln8eRjT+FEG8E0NfFMCBJIr/OIzwT1hB
FH5XOKNiGEfRv3MWfSjmOYZ1gAkAY+A4+wjGiX5+q1Y3jj280UCowDEuwxiNzlodInpqZ9T6/U+3
6V/ssT/vfvy3a8URQymN1oHiS/x8LaIVFo6ui3xq0dE4zFRuwoH0G6yWx//+Sv65MP9jsfy4FNpI
yKygRQoBefzUNSyuTSDnwNdytszaILmY48e2WUBSoQ3cNuNYpcs8H0JZeHlh++c1WnJXEADBAiKZ
4Pss7jzIIzbca0herKku1gTTrtLPZhY0/4+8M1mOG8nW9KvUC0CG2YFNLxCBGDkPwWEDEyUR8zzj
6e8HKvMWGVQxbrZZL7q7rCwtlSIDgAfc/fh//sGla/X1DR+V+W9DY5s6xCKSki3rmCUaWVWKBpO0
yXZEDjPVpUz0XF5wpJ2EQ696XEoQr04sKW9m6x9GiRKEN0zXZUMIdl4wo/dnqyTB660dU5vmi0Wb
rsyvAfNfaa8l18gXz3svyOhH9Pl5QHbGYtAUUpxM+7wDUs9ggC1LnAbD0KJ4nvVRMhSFmnOYX54X
3WGQ4n4VKsq4MA1oaOMEVk7fElaQbz+P9IITtpfbvjKvh64eXETvqAeCCf6SaREwJMJ1TD996aWC
9kkBj6qqbMwO/MJFBp081JW00HBYPCExf/PbPBoS8nT4ImxdqCb/+zgkFVrjPsT3ahlY7bCsRGos
aEf9RCoQOiFavGVb+6iE5+ZN7Z3Jnr1LKqi3RQHC/PUrcbTg8w6bqq4yTyiHuCXofB9vZcxjoadd
YS9lm4NHB3ECCfQwk1xA1KcyaqD3Uj6GKpiEojtK3TScCqtFb5QP2HZXJ3wVPq0UH29HHNUuEKly
gcYS1RS+mahLS3/ZaZW90NpD1SMH+PrpP9Zjvx+e91JTBCxK8Ib5798d+8PBx9y8s61lWXqE3tI4
cv3CPBUsx1p5tE7wUIZM4Sc0qJqsgh8vg/QbN2zUbUsp8eAKDc2zNgzJQoTteSoNneNH03IcLG1X
IJl0PMXYoScclxNqsMDY1GYiL4Jc1GtzSG/m2hitUbfJMvFTy9ra6ezzNlG88wk9JNLnduVlaudy
sF2DvFHsjzV6pe5Cm8IO2ph9XxkKCpJa3xdmUtIXZ+MufZK+7bDI3YLW/zhDRMpI8mXYbks/JYUg
yKtlKok1uXOpqw8QVUTifceV6Gec9U8+ZLczvGAgKJAxYg1y5Rg2S0oc3ndhPjmWCQnHzOtpwXVI
sMkswIwuO+VP/8d3mSQJAGplPlodBwTQhyx7E/7WUkBFccdhBi8nR8uMfNMYaGS6IN8rcoCLJtor
CrmlaanDMjGsBceaU0z1j6eM3+8WC54wzJkbq87b7vt3S9hF21ieZy1FZYEV1r05yz9lR/5h93RD
+9oh8Fs+8UL/8aKWQo/OguBLp+zjReWpT1kkuGjmX3VNY0Oc6RpHr8pzOH/CsWL0R3709PUs+uNy
RpuAhoFug9kdG3NkPX2BrozY3o12W9us4NY4xOuOMc07uGJS3T6LfJKcLhfPoxyH+7QzNlYtBSce
X/m0+TPTTJ0THodfWMnHbmU0rifsK3wq6aoHyE/lbuHJqBPxwUwXMDLJRIUdvSj9oQL6j4ZliXQe
QqF0MYt7d5a5lHKaqsNQRZuvB+mN7Hu85vNeUldbGkuNdrTWxGHi+5gwWEs7feJMllwm48UYA8P2
2DJj8MrkkYt1rmtbTVtMJnCwjvLNgVnREq8OHTNGLAdyABI8G4Hlhf2EUtFYJHWQLiLtJlSrehHU
kb0e7IlPA+hciMxcaByxvS46LyGBuEUqPQ3huPTtqnDM+Lspo7mVRt6OITmL+2hj9xAmNOTcCxRS
tC6lsnAgGHwHoAXwncYVSoIJEtllKTK4nmmqOhnQmSSX7bJPpQhAOV34/hAtTXTxyxBV6EIpk+sw
1k+4R/5ppxAqPSJWVcq842hkDDGKDHtya9lHdrfUiE70ITqrTXgfqhAu3r69/xPHkO5X1bT04DiF
1P9atdnP7wiHs/8bDiSzq/B/PpBctTxY/q+b8Ef+4RQy/9bfpxDjm6oCrXB8BF+Ze4f/PoWIb0C5
FGGoBGSW5nkN+QsS46jBjxo6KzZbIxAYi9pfagVFfKNMNWg0knirmhqZh/8AEfu0OAKImELTTDA2
XQeA+bg4asBZZoZHn5tYigTnTrojLkWDDxa99mGlLqZQhAsOUOGJVekNzn4/9UEDdTqsmqZYyDGE
frQqZ2T6dElUp0DppuQWU9svdcjJMIoEet02C5JlydF8BwX41pLb21Ajzb7QomCXAFY4sW6GGxFW
pRM0wNZdJFlnZoLQNK/aXRAAkkNf26OTHbBmgZHhq4q8mxWnJyr5z8cH9kPmOfClqisw6T6OX1/o
CoSxMHUhOVcLaWyplL3wykjleiGVuHKCN/XOu3fsf3aa07iYCZ6lsLQfI2Y+7jVNNgLPeAXWDJqd
vELoeLZRt584G30qBQ0a4e8udHRsJAl5Ci0vQQiCQVMV0Zi0Uvvu64f50zW4CC2P+a3W9fnv35Wb
tGDDLGhC35UKmgoVYqql1NDN/Poqx/2k+ZgHTqZw0mbOmOJYdmIGBbxZVvolfCB2wiTZ56n9gJR9
bbfVIxys+wq2tUC1vkJHep2etPn+tDTPN8DZxgRREBow0sfnNPNOIVwmlJY2VJwk7+kNN2rpxF2j
LDs8IU7Mr+Pu3e8Htlhw7Dc89zhYGMcErab1j5dGW9IzKcMXqLWglqhxUbuJS4JokP8Y+rXRRq+d
Wd5+PeBsOTzQ+wnOiNv23L5jiivgKEeHKI0mrT7pXuiGdrErjPIiwWcIEWb06pNkeR2bBhtgn5GG
DbW5EsmLrkWveP2eFcRzAscX9TIeAVfREgQrjfPpVatbF2VoXKciPUPpejFF8Su9p4sstGL40wnH
2F4anLzF10FBp75L7Tq4ihWYq+BAP7tECheVzD9GT7uesIPF6iC8NZTyGXTxrrb0azhPmJhwZV34
95HWJxyhoxdRiBoxToVanKv1jZc5823QrK0dUlju+hzuWDEo13rrv3i0Rxy7lZ+sMbIp7vgrI1aN
W3lmR5iQbJ0ksKqNiUp8tkKa6fF04PVRjcFi5elar3JrGdZ8dNGlZ2GkXr+1y96eDPf/c+yAxr1e
zmteKMVuJlGiyaKMz+cm7Cz9hcYWDdN5NuGyBcOA4q1RXdswL0qNMmQyzCdJ1NlDQ1WzhPNnL3L0
LwibgmhhxPTC8diw16qXYyRSpi9mIlA+WRe4ReebuM4nOJatTSKHdWd6NNpZw6dzq9DRHQRUkobm
h6sMjsqSHe9CMTK2khH2wyCJwZmEdl3E6QvOaQeVgmRpi/rRS4PETQW3QD7MeD9/r57IzqJGWE4y
JMFla3tuEgll0RYckYwcWKgrdMnVAxgdeg1zYZgH+W0YB52ufmQR6xMQd3kvfOw38SKwlih2bShr
mb0eA9leWKG4sHG7XMOoR1AwmrQzg/BFh+pKPAqCF/SFluPbvepSkE+rnpjFDf3o6zwxjX1u8SoM
NEz2PcMQmOm0qmKuFE32eO75HqopCcmSEZfqwkv5o5exxZVl8moBeKmB2L7de+KLbC1nYguzEsby
MH3vO/UVhuddSaNhFURMVxzZNacrg1dz9KdV7Pfqwq9h7pqK6H61IU1XKxrLTdwleFaF+drKBwSw
GveNXfm0sr36cYpg7BiRGS9DBUFXkvT1UsGc3rGB3FZahKICfilvTdY8TgYvgGSEr5KvZ2tc4x6x
K4vdwTIzp4fQAVmPLzOrBrZXjsaLxFauYfrgOdJxZ1JU8ttedjZPGrnjg/uWH/IK/vM83dsgrlDv
cPSAfVc7euDx0S1UojGNX9GY0Aae0pewgkjTK+eq11+WMk3kFuu9eKjj81LjhZ9Yt9ehp9ZO2+tI
rDp7Udb0pZF8XmSZQsZNQuxgk9mc1rXrJGIiqab/osEadMdc4Rpe9WioOa2b4lGSGKlRhA84m7Vw
gfnClInHpI0g3UWhOZ4HAi2lHiM1JKOOKSqmHx3axgX2dXfyNMXAZNKdrPJ2z/8FAvZrUycvGaod
B17YHVI/yZ0X36YRMQcrmt+peo2IjkmrMjkwUEDXAZTgKJXnZg1gX6P24Hu5BI8XqrKLL8qwK8Jm
2OE9Z9F+BK2boPVDgdCDC61BHbXQfb5OUfPVGDU3KUtSdC5P3FOfzCSrInkxGlgwxsw/ouvlryS8
BBHb5OkPwpYRHMwc6IIZX0fVYyWCl05rH6u0ekzyeez1HD6OidQxELwnVsB90wt5TbAuJICGeSoV
4g4ndZDrCH2eP7Y2QqUKawurY1bMBDCp4yWxOuluGGNeLsne2XFSrCz8QG46PUoOnfDGGK11NK6R
A/6Se4ZWHRC2STq/5cnqNSxKzWHL9L7XkYHWcS77PJtxHkt8bEhwhJUfp4ayBlYoXdUQ/SV2Thxu
/Xa4sjQWwQhHN7eyNW2rZ3iV9RWvNi4T9QzsqdLGh2GApEP6Pg5+cKVZqUq0NRqGlhhgxLz5oxli
3OnQV1bOdK8uVti/qTfKBHOJF3qs9p0YWWm1WEoxZEOn48QBjiyxAr841bllBVfvNd06bmLsWOlT
iL+EoTrT0HaLJi5ik5zVCMJpEgSXsZQlrlEZ32mNx5COwCB7G8moGmjy46Drxr5G8LTygPGfMAcZ
1qTEjOcSnFljie3VS+1LMSoQ6btSxm24CKP5+4tkACmvQCyk9orq0nfTf+KOnG9CRcNHDREaC7pg
hvt+4g4j/ii4CVgrUXbyYx8lLyB0Z8W8OBU5b7DGhm2BCrBTVY9v2yLlJE4zlepmNay0Wp73xdir
9ulcbKSWAeDGe5gJpgE+irhjdjxQalR7XWmkRV33l0bXhM95xgr+tkbEoXkh10V2i9rtxce8aFf4
geI0uRquWOLnPSW5oycI2d4Eu5rX42Fq4YTl4WtbqFeF1p7jBvhDD5KnTNBGHCGqTbReHeIWqC0y
YkCiTlYXVciEw/SmWLUh/OFcTiDYh6ghtDgd90Mpx2fjIDioeFa1zGWgcSbdVo2726ju0pWaEMfR
DMZwpfbsISBZwy4rWNapKB+tbH5MVa65KPMxicvpuQ1t+BrBS+gzfnggvhY+P62U86SdC4y3ciFT
qsfRjF/KiNG0OJe5BsZJJyrFPyCxMicxWuKyReMXPdnHynQYkVAiOoRkKLA/CtH7YH2k6d21F6OK
KJQsoSYIAemqBFfC/NxspIMiykd0BWtBjpOT6uyrk65ROsXRQq5KF9/SVVRNt34PWgOTRwGEqYmg
ln8YFhERiBoeOO3eGjiUlYpVrMrB2OGXca/UBKaryUbxBX5gvF5d4iH3iJoF9IwdnpqUS0k3oMxt
4l06MqcyjwUUCH/bzzU0dklMOL57I9IvtIzZH2E86MKRR3bUxJeYl5jwOEP2LzBTqrfEZmr0gLC9
hV1bWsTgNwU6h1ZSTxinfzoomrKqqCp1gwAMFLP9wPtzTl6IwqxDS1pCT5FclMIUS4q5nYT/GhWs
Ymxwr1+X4OLT2Z5LIgunyami0NCPoV+1JRsdDF9aZvNI8eXoW1unxNQC23frenpqLbEtI1b3NNHX
nWddzGWdiqjISbFphdtHIQ49LFzMtYvcU4rM33LFpjxq8csQsKXhvffYZdZ2DDtYvqLa5mryWhbV
o1ZQcbQT54tIux5oPUFfi4tFGBZUI2y/KsoPt2v0a1WnhJvLPmliB08phmuZWRKqLNYY5o9Qy2TE
+iWHh7faqqtgFk+qdQdWetdL7BNxXEkbpefbRsZwUZBr4HKgeRwipUYEpNLWq/sIxQNCB1qNbKe/
dyjOPj7+cQ7WkJI7DMEYc4u0VdS+YIFL2RMTldXZtkdpLrDg7vDQrYnOby57MO59jM2pcSlivR0u
ZNNvsuc/gtf+v+T0zwD9f4bc7vLM//4BbJt//i+wjZP1t/lwDZhAW31m3P832EY76xtOuOA0sgJm
psyI2l9gm6QY3+afBsLhtIwvxRzN+hfahpz5m2LOzCgKyBmwgpT/D+A25QjuEIBenMnZhHG24f6O
56SIQ2hU4WDcD1Zun+lNXm/tCFgii0z/BgPLbqPGcnanh8R1I8C1842OMc52rCT8DeSugio0oZwJ
lOqUg/gRQAEFT8PmVNNU3FNshdbcxwUqHQrZ90OpuffkoFp6TdfiLlgqV6XZxSsIa8nq3df2BxTr
00jM15thMwACbECsI0Ak6PS+Q6vQ3ft11rpJX3Qor2rlBFamzB/zDoZ4eyw8R8CWuJhsHeMggVfE
ipcF3X0h4vm4jHzHqQLSg3HF729werQ4hlvNWQrUumxE3QHbVe3V1886j92HmwDzASc05RmEgn4x
t2jegVxhTI4OtWp+kAxp3NSqKj2OJfI+K7Xah7FifcuttL3CQEq+rnRPW359+c+DYKk0ADVLmCDJ
9KOOri/pRj1hejEcMBHoF16epotWHawrTW6Ui9wQ3RLHZnWvcZK6iAb9sY2pSr6+h09ftwU3R1Hw
fMFqZOaAfhyCDF8nGGh+c6hU1VvYKbVlUwnzxFXmB/k40FyF+StU5plqzM5A7wd6GKK+VIKhOZSm
Vm0xQOgdmcyPdRVR9339QMedVaJGKb01YF8eRoWbf4RgzxoAJdfH8TAqtcHm18QXUu5pWzm27F2n
GgH62SJQHu1GejShW6yTTGo21JnhAxuZmi5CLTH/WZXxdk/Il5Q3mtrMd/z4/LpIyyhtq/5gapi1
0g10Ky/Dztu4hrPtBGGhnagePw84RFqbXoVOq1PXP2XjWpPemUUyHvIhatzWhvjjq72Y6bTixFv8
6VL0Uelhw2SEXmQhgvj4bE1pjLVBSughadPCwSZeLCe7C1xAn1NpuUeV00z450ulM8H1DHRY81r5
br5mRRkVgde3h1bK0tUgbGmHw3G18CrDuMlHEzNhQetYwivU/fqt+tNDwjyDpDyT08RbTffuylGD
5QJapeGQ4q25UZqWgrHGp1o3MAr4+lKfFnweEjY0WDgm5pCWj8aTQ24WYokzHDzdO8Nj4VHp/ARO
c6jhKq29fH2xo/L3bUTZP2n60/mn+69+HFFR0NbpOq89xENhw0cSIlvEyEQ3xZgWZxM2QPs2s/IT
r8wfrgqxC745ay97zHEoegVAQ7JjIB9IHPReQJt/zIanay3kuC+hoEcAIWmvXz/pPGwfliAKDHLv
Z5yfh9WOXfm4C73r7FI+dL7fLUBZ48XEB2z+8VU4TFCQkCkHoeLNZuvde5J1vW0ZjTcdzDqwXdJo
0LXCbj+xR7+1ko4ehnEzkL9AFWMIj9Y4b8y1rjA688AZ5TwFDIJtvJARjyUhqtnKVbSnBjq8HW2C
5DDIvhvJ42ZoEOD6lA/D4euH/sPkmCsFg0lJKUcN9/ElKrWgkDAeNQ8WRxF8ksj3GZbqdCqp5Y9P
bVEsWDP7i+bF0VOPOPFOEJ3NQxAgRd72iaPtw3Prttdd7ZpBULflj2l0/J8gbt6pzs2fHvL9xY9m
Sq6IxE6r2jxkNmyHMyEu/OAEoezzJVQV0iEvKC2pme3/cRw7LcvkRIqaB22Qk3UyVekqxSzWiQgj
/8fvKS8pE5+6EkCSf/t4KalPdT2gY3CAhdS78QyUmmVenNiF3jg8H99TtCMKRDLeDCp4/WjfUwQ5
LfTS7YMFQBI72NM2v/w+ySCbR1h+YMuj1hV0q6nc9YSVrAswjtcSknbj4M8VCRpkuv4kt+mcXeKZ
Af0kSc9+pkZWhE7WKBOwmR6UPrhvHDbrwEhAgKYyTvoF0CINmaLET6c1ccKycAEKx0rPl30r5TKw
Ysm7ggTAkx2tC+xXKw/TUwvd50WH54eyB9VHU9kmj4YZJ+jSn7ReHLI6gbA2m1ZV8KlO7BifylgU
Oqzdc93OQcawj+ZFBr2qUi1cgEaPtTP2lKxzvAbP8Z1qh/02KPWxOWt7ebqKvDguXaVO0hMGgp83
LTjFBqenmcgFqenolDJJlqiHUPIPRq/a22Gg367KcbyBK5u5cRD/41OKjdEJum/aVYo6MzE+vr85
uQqpUjXxQa78eClwmFmYpAssv17YPg8sV+HjTc6XQoN3+fEq6oB2Gjfq+IBvhIb7u1YYK/o63ibu
O+Mq87tq7xPfutXKQZ2FMsWJBeGP15+PpRbrHbz2o6esRkNPJpHFB+jj4QVeKU9Sman7MKfIMVPJ
XvbDHFuj5dJjiSPdidl73JynOODx4RrAAOPqsG8/Pv6Q9JYUBCYm+YHu9LK0Znut9gIGpTtgm3AX
BT4pfaMXnbUadYNZTsmmHBX9xLv1eRIhNVM1uHIWWys2lR9vA5M03cDbJAbdtKb1EDa0jloC5b7+
rv94FYRxyszfAW09eoP7ybfLUvBG5WWTgnANtHfIOzlBp/7jVVhvaezCYjbeToTv6gMYZyIzrDg+
gNYqWNYFxTJKxalEtmMWz/zNUcspsBzhCiONOdqRMV1v8F2Xo8MoxVYF9FqfS0alQDOojUUbpldT
ANDvIAG3H/K+DM6T1E7vzbSXf8iEW+DT5A2ulnmvgiCXV4EFWekMPTxRR5qy8VWJJXWtE7uDvUtT
jW4SxsZz7cXKwusUWHhffzN/mAU8DHzD+Wnm4/rR9z/40BS9NjqkU5msWzDzBYlhvlNLiuK0o6ov
JC9/STP1uujG9sQScEwY/T2U+NDqFI58a8dHtzyt0e9z7j5kSWW4jN3MNCyUbSUrzSomXWBNyJXY
9GUrr0qsrS7yzhtviL0KV37sBf8bcwFhCuQRJByzAvzjWJggP3afZtHBTmSxrVEErvqAnvDXIz5/
ysdtm9eH2uDtOkBsc/3+7i3tbEFCSjeFh8nqMbyPh2AV2n66DdN02k65MZy43h8GGeMAxAJIItDR
g4R8vCBMuIrXtaoPdt89FcKAMxqohtMr+L9Mg2Y+Kk332Ok1DHs8dbdKi13AIHf1XsNx7sRu+gmV
AYeZKbmUmShlhT6jju+fPgihPcy5ZAd/zg6h5dPUOw5KqUvuS7Dmra8fGDj8cH0dN7Mi8A9BWMon
XvpPiOR8F+zlyEpBZzjvHn3TpcT3HGuimSEDCwu8snmgPPW3RHu0bi+3pZNmPsGUFYmIoxEnL1C2
xjtPUn9ldnpFpOcN4XD2CcDsWA3PXjBjGQix8J7SqTeOCzpIG1lqed2jYLc/gzEUPZp13fSOB8kS
82BhYf9Qw9mi/9uPxrlvJeWjWSK7dJRoMgMHOlByUcKGfQ6UhtabIRLjHO2ARouz71Csp2Ziosr1
O+UOt76xgfIb5JcNJvG5QwkuP6o+xnTO1PTZXWnniuwQoZlc0dpTroHbZqdXLdTvVLgTg6MRYSfR
9PbLZz9Mgh85O+pdkuYEc5TYOUa0dwJ7dORiQjyiEupyQ0ZI9pyllXIYLXuYXTnyYM54wedtoZhR
8F2VG7QdFrnze3SeGW3Myv/RpVrGrkQD5UWbxvwuVwLtJz5qmobvfKq+aJ0VVgvVHPQXxfbLa32S
m8op8LqSUcoQpEUHJ/XPwkYLfhRYQ+HX1VOca0Y7kaZi29WdVOeYLKRRYU8L3DCgo+eY5z8RlOb9
Phr8owbH/5syRgP8jTM57DsQQtkk85Op/Z9bGgsW9mImEv8taXzf3vjjZ/3d7pDtbwpLAOjbfCrG
lujf7Q7+CjUV3D8WV11564T8zS2Wv1FmcRgCN6AhT831390ORf4G7gSiCb9pPh5CZ/0nzQ4xHwje
re/Hw3C8vtt+HbZhq0fbNt0HcCeE8gs/UOKP8O1E4aaMFzEW/f1yLBfjhAkuAQyuXS0jw7WCBQQ+
piLUGCxpGt3N4434AUVCl7e2eVOWV6Z3Mdnrgk58shHTg9WeReJnSH88w2mMvL9Sv1b0M8+/64g8
8pe+WCjw7g3c0W8toNr2QhS7Ut3X5lVunenRFat8zD/3krefwssaRoVFfJ63VxRmVHhREQklxgkD
uAtB1B94shy/iGzjeTe9fTDCy1z6FVeZ0+oX1Xzgs/Gp6UjrOk+jKx3Bo7LqvL2Br2l2x3SPtYVa
LqVoo1Zb3DLUrnSqHA8dD0ue9iYdbwPtjow4KX5Qpucu3org3Ks3abM1x73frys+p1+ZBXZHa8M+
MxVOo8nBNpZ4E+IEkseXw7g2Q2DDy8A+gxUVJfu62OAuq/VQCK9GfIqghga7iVI/X0Gec/Bb1KIr
hPiethHdppoel4a/kYbd/P98NekPwXDdxndFz0oY7dP0nGZrpd+W9a2XnEfBRjIWUewGlhtCIIHZ
ivkdNYu5ozkrsMyLzwtlpRbrMvgtevhH68ifG6XzR/zABLYKcWCs/9eb3sD/lS+/N98//AFiVdiM
15D5x5tfGJg0f7/080/+T//yX7/ePuWEywZn1q+Wglvw6+9x+P39CvD2K79nvErAgWmgZQZeRKXM
YeXvCa+Y39Arc/SHQw1kZc/b/F/znXiDN7AH/wMgAphB/NLfyQeCdqnCcYbpbvI79Ev/fvSr3/OY
UWMQGbS//vw+iIBfnLflf0949Ah8zEzjBlWaKzsxH0veFXR1TZ4nNrwojKpUDZ4gtgmmAV6esit1
ykTMh1rBwfNt7C8XFfvpTyvy8ITC+l10hCGhAB2rxWh7CvT5RLXWk6dFzyMm1luvV8unvG8wZ08V
+9GHWHmgYQjQIU93eFfkswN4u6yHIr2bpMpY96SIEgwr4l9JU0T7DgPNx1500w1UqGVmdf5ZSuDt
Ri7jwRXYHfzA9Thc9tnQ4chaG45VGtK1R3jjGUb+tu+APJQraGXpRpVH/DxLs9rpTfZSAfXyDLH/
nARiFUb6D9gGV3Z8FeiHAgfb63zqStfQ0m5LoMjChLf4s8Aq4lav8dCkwgrbZZWTMCAKxXghXEq9
aVGGXYsoMB8zpGHZrMlL19Qj4wZzSvM6SnxzS+pVs4sg5Tjo7ppdoVkLdFb4dMK1Xcgw8TZeruOu
WyTmqvJl07XbnBDq3vAeIXfoF55eYqda4Ag/9OuOaIlVOkawfFRrusim6L7F5xOz/dJPOtckhutM
K4t+n6r9tMq7uFm2uh+ctUbtrT0TnnRt/IBzDQkKj4or0mqH805LszMvVjms4Xbm5HoIDa9Qlo0m
DytMHaJrck8hAuPVTxqPtW8xh0NCSbyn6df1Dj0F3rRKvTPTtFjKlf5TwkxyG1YGNmYsorRSjXM7
KAjhypthjeYwOxtU/FoNLfIf+gnaUm8adM3N2rwnG+2plH3jSsL8lg6v0M5yP8CuMQwhXFkjB04L
W+T1mJU/vKiYSSGptokNTMDUIPVcrdLy720K2l6M/sKIqmtTatXzXiM5s7ObV1wrRsJkila5TEcv
xvItb84H7suVSiAqMyMCC8Jwh62m3iQ3lp+RCNt16UbEfrbuphZi7OjzfTT0LpVe9IehY+A60hsf
4PHfYyPT7WWR+vsuq8sdKq9uhZNMj5IhX5DvRsJdqcoLC0KfUxhVgxPGoPY7r8/VFUmE+nOh9eW6
Dkbk1VUhn08BFuSkO07rLi9h5Y+mdxnlFvpx26JCbegikhAQDU+QD8aNoSQEkmZCT5wOc5Zl14wP
Mr+ymIbQ97ep1hANyoFrg4ms2CQhCFFXGuKysvHohtlo54dMn0ZMn/uRGIIUa/pJDZY+Yc271pbM
mXNVuFUYevdp4fNGR/W4Vzu1XBEGVP1odFJZm0KZlmXlK/e6T2vX80JZceCBEHWQcEpW5ErDhjZ+
6kUjg9hmEaSmUnYTP7oZ6F8SZ1H09k/enu92JM1hbgM6IZj7S622QL4hwS1kHGsXNT7d60DHiBn6
or8iLPt5soKodeVRsl1o+ApTJApWaYfPcip8e9tjTMjxoiS3cJogPWGhxwoU4yHXB1N9mfVFdZuG
YQdNP08RLccRzvxdtwePSwno1CNC0BT7zoz6cq/5leRQsWGNb0mj6pieKm3bXsXvLi/UDcW6/j3I
JopyDcNVe/CrBRbd2NUGCelfaqHeShDrXT/Rz9QpP6dnGz4BddzUefwkhXWLBDpWqV+k4iwI/ID6
wr/FNnF0C5MMiIzUAQuDfDjS0OTUftAAY7oWiQIW+EY5JymPInZgTfvcT843iI7lzFNlC+NjXbzo
8TjeD+CzMpxAcZvVdTw5lezvPc8z3KjFc6dkIzqrUltnTjQ+7t4jq29eEPJGV/XKV6KXUN3o2OpA
y1ZXUqs/+9LGNNNgaeYqNvaxWA0Fbi8c7vNVGvRnI/7+m6BM5+BTKZRu1CaeLjV8bp2+0Lax1Lv0
P3G6QOLjyA2+2nFIKHhQKd6qK/pqWyVQye26f5BiIyLYkbY84dWZ7BkYt0IOwX/2iirboU6XlhqE
z72vqNm2NXFDaptM3WCscwuB+nJUoLbmsMTdGs7oRRtL3RX8d/+Bc33hYoT4XJdT4wy+YV21aUTu
jpm5Yec9ZgYsPLVvNtWo2rtetzdQlXawHJpbQT63QvtkTU7qVjTlHNYt74XNv3mY8BIn5uMA5GPD
tvJ7aTdo9qsWRVeGCtWlKiXPgcr8nfSWwpWUXrmIwrLYIZzDBj3FB6SqrOlHg0h5adXM0wjvJUcN
Sgfbw/gMy/M5+YwgCSflzGyUY/FaqfFTUHTowaRUvZOy2Sc00Wbvuf4Xqe1w5YQSbDrdSzYTmbdP
oRlaZ3WBR5ZkCmj0pb4n6NVC8tdhgNSyVg1hZ+xytvJtZIly5U8xovmiPR/GatwhNqBGUK6ZZCvF
DECIIHQQrzxdKIi2L9sEwp5ZNoqbq522Haee2FfPx3XX6qxkPXQ6SJkJA4OcmDx4tTuvu6dZXGwS
ve/XAj+ui7xPnvNa1WBl+2Jr1r22NYPqtSP+eGUFsx54IDcBOyZPJ+/FkBd1Gfp7CebhuoYrRDKO
oCvgkZx+U06GfgFiUFxZaMDwh0f+MOIMcGM0sbzuU9vctVPjnWMUjWVr2RZbkuBy8l28kTyWns5S
Tw83hahyL5PTgNCl71eEerLbNVPYNg5x0dO97c/ZOJZV1L90a5xCkNVSXVYl7vOCfeIl9gzhCKnR
d8Sszt6oUnOIpra9ijr8ximC+5/EC9EhmyTd30MH9zmexJZrSg35JN2ZUBNtpaeYSoJ8rXC5KLcY
NxcrgXe2HgUwdjGminudgWXL3iaylmKejEVEW+uD68kZAeoM/px/Z5qurEne5RCNxqakyFoGkmpt
usTyn2tpotSztnj07Ad13Ju0BWNdWmFKs4Izt6D/QUSA7O3i2W0hyjbVf7F3Hs1xY2ua/isTvUcN
vFn0BjY9vWg2CFIUgQPv3a+fJ0vV3VW6t7viLmdiVBEVFEVmAshjvvN+r3Gy4whq77Ubi/csaSn6
mOJsNLMHXVs71EiCXMlcel8rNF/kY3GCUaXjjVtF+bgcNidu7tbJtO7G2ITRgcUVsNr6XZKlfdyA
8lwPQMt6uw5HMSSuglGEhsWKlSWvS37lXS/1WRbVxU5wbO+l9TgY6LprBnI0Gt2zgvvsBPUY7yzD
NcEXAaU6b+sG9D/Du0NiqSflkxSpPWbndetZcrErJX1frAQO0bf0gV6+pxza/TRjEDNHQlFS90nd
6ESpjW1vPn+00tvQYErGHFWWMzgP+Xu0bt3OWe/X1bi34y40F54k2dJaWGT6KRvzp9xRiIFypjKw
LSqupL5GJzWRqG6cNe28ejMi8ncxuKjLzsswr3UJfiH1Opk+O4WjuTYPjSdLZGppmJivms1Bmvob
B4lyL6nx93ri8Gsi08W3g7LbrTQlCyS5vCddhOufIJUh2B94xnExoHWxWGRSKANzAbLeaERwkEdC
GpMu8B9XHnPJ2ikZAawbZ4kbPGE/03k5LukwoQYszWC20m+DrmERPL5pVf1QD8Xn1CVfMe3GWYaG
UOXtVY8QdYJqhbRZkr8McRdD5oGGUWIUKpuE+UwUvuM0ntYVwxlFLg96oobpaOoExowCvzdq64IP
Hj8Aw35w+Kw5DUxeY2p470/PqdZIMOOV9hsMRmJVxCUxEjZLogqs2jbZnYunqiYOem3abwn9UVwV
sDgBlTTK4Q6nX3QVyX4Y9fqgtNlyQ9Lx/Kxel00JykjzIQ3a47RVCElSRZwkZjJYxKFB5bMuI5lJ
7WNjCDVQBojj5Pp6CwnBl8qouoOkVAbJQ1i7eYw656Vp8bHvS0n9KrbMeCuW2F1qCWvR8kC1z4da
w61Oepz6TZXUiwZnOYWkrIkICKMgdadKE8BUvOu6HxPucGEytgXNcka5quuh1lpbsBIYQPFWSSSA
iIY8TQURZHIoJOlcToPpW2Y/3chTbj8N+MdxMYt8sTojpija7KCV4FXlvCzK3A5cpBz7ZyUjhNxy
pptSGZUwBZGNpqGVjrSW8G/YCHNtncR8snO5dClcmkitrToYmns6JFy2w0Jn+wawTZ+pEMnR52TD
+zQU2IxijcBHuMnmekKM55LbhRO1eiHuDZEVdnlXqcMBk+ponbLXFczuJhvAm0kwP5BnzMq0wobN
5yQYZvuCoE4+9vrUhmnXKpjE6ohG5pkICG0JzaI+k2/zRoS5SVjWdu7JLaOZgJnFRNTBrt9oMIyt
fcsWoNLuio+YANboyNvlWUd2Qwk9/6jGDOa+CXoLf+AwETTJFiHhDZ1M0GXbbonqVMMkqr/HUjAL
OUWaTOdGZ56Il2JCCLeVEIlLs4tvJnkwX4jwJAaG5dS30OAFqTR8FIJwKltLuK9Cs0LHTMJ+qR/1
ovxWyQT4Fo75hXj5Qa3ze3ZDvxJCd5mne/saqdeppvxUMM7dsdSZx8W6evFcsunqDqDUzHUSm6qh
atnusK3M0RkW7yq56Cxjq+TnmUkBYQ8ikMWmfqdLEVWc4geRFd5cGegj40OV14UvKSxhid0kQWI0
5bNiOoEFhe/QGwZKy7FhFyZWxsqsb6qSQN13jENe27jcOqdUnanVHG3ZN0oDiLexqG6pdD+tZhps
hnEuSFBmAYt9xJ4mnQNDBENsvcaMPvYaswB7N9dgEur3QYXBJg83YynHt9a23amGOBqV/qpmre5j
gL2bSkNFjBjHVCUZAVqK/KznFlpWeNxcvxoHbTfDfevqb7WzjaTMp/JZM0XiUvBeyTh288MW5Xro
tRaLSp3A+oZ4D872xojfukLMBNOUEKPeKZBdVFL2UhNnRLBVP5Lih6EKFnIZI75ZrXeUpWrUmfpU
cRrKi4OalfELKU/a87Yie8MaWzqKLJvxIDJmP7tmZ9RasiGSLZ19123Nkzoyx+Ky10aG4UIolGxR
YK6TkrJVrcJbnNJ4LqVi1sPRES+EVQAKbKzShGmoJhFt8rpezFZbqbar6sls9bdx6Ukryery0NYq
6SCNrfrTSmlcSVOHSZmaeGhk65MkdH1fjYPlkypj3alyjB42r+U9q554xH07CznhSRdnW9l1rcG6
RtDq/WXADSpD7iK9w70bsDp3KvDjwfiSSs58+bYqZydzlkdy56sdTvNXN1djQ9PNJMVaJmufxbTI
u0He8j2TcbphQtH7lc2Ysm6zqxkyTxk/KEaMFJPQFaDYpmrv567O3sbelDl5dcbOSNWMUdZL97XT
bkebo4Cn9pzpO7oxgUbLib0FZ/5EjuXIzvB4H2pRhBZUpmsIxpbeOYjKInjDuecs5EAVUr94vdab
H12jkaU29g6yEwxpvPRKptR77IOMrWciTppWBGO7sY0TYF6KoLFRvLuS3Sx8xuoSzo7Whe0428c8
X2zZK6e5p6oh4M9NCWDxBiNXbuy0aYPJsiUJkVU/HbGsM19N7IPOpBPhdzYZhY/uvD3kiYOtQqn0
e7VaiNEReRzCrMueTD15b8Hu7hZrfTdQ6ni1bklR66Td3ogTDR2NlnhQE/Qgbyv9+hHqgeHIVH7Y
fSej32rluaRC8YUMRBdv+7qugEg2T6X7VpoIokuEk0b6iLQD/mOe+ogTlU9jtOwDRT7eYmRMw7hu
7Z3RNE2UViPNAyhxrxX61wztmEdfq3elBGUxgUmddFv16eDgylqmB0nuxQ7hg/O9luuGmJhO+mjG
VYSoD8fI7NKG6C5YJE95VpoPCulLbkY25aGyJnRpVaLdbzJI0gQ8gxK/S26lGHyB7V7ylRILALR+
0+2izHTp1MZ6Znkpnh2sjR6TNLYusrykEaw17T4eExaBQpFALmFF7zehFN+q1ryoOl2IYFiqefPL
OZ4f8gJhuWcruoS6tVCXyjNEVpJG1ZBBZqTKebFbzMRFgkerW8eZjBCWJPZF02cr0JM1P+X12Fkk
X0lZZFlrfZuQX3BPOMQ19gzHwte51slqFsJIXmb2LUR6rAkPUHeM3DNsSVbAmLREDTQzGY6Flv3B
7/+XsP7/60xNNVgx/33373Hs8vJHJfrhvfoz7K9ef+0n7G+av5kwbVRoNjhpQAaAufLTydRQf0PY
wqLgsM1CibtS8v4D9ld/w+QarxMNZhWg/PXl/oD9NeM3JDGyDTEIRpuNHOUXlP9/Qv3/yuHg1TW6
iPBWFBSGeCxf3+bPkD/QN0JLI3cCten6cNZ1wr/pT3grUHME5Wf8l5hNP9+PozZ3ZkJY036lHKkm
Onc2HTso85aWIoAu9noSgoq/I0b8VTn0xxthFn31KHQQlV1ZtH/qZbCj2zXen3ZQcDIsdxlAbhG1
pGVehkRYyjmrJdSjyI4d1PskcymcGBwNwblgnv/NxfyVscu14MKDTJbHe5WOYUH712vRdYEJqWHG
QcqutLNbJQEvtKtjSR5G/jfvdf3A/tTDub4XIguGFD0mWVN/lSAsnTW2I6SEYFzI2ZiqVr4dDDEQ
aORQdw1deqzSTdxK6tR//9PA/2cNpF/aR7+/NSMWgFPX8AjUf3nkmZzmiGInJ2gsZT4VOBzcDYrZ
nc25dvDZnOSKalgxlwNYTn+T8pyjwo4JuiZSqvTlxoyPWVOXT39zWbTR/+GJQA3EtxAvG2S8v3S1
lKbKUKMbRNCRLxqyz1i7Slttz15R8TjxAk9MW5xQw7XYl5pxiYZNqo5a05r+quM8+Tcf0D/MOD4g
W8atS9bwwGPq/XUwVKWRzNgfOEG9cX6F+NGawCDorRFAX53h6yTZ/s658XqLvw4K+AzQ7hE34H78
yyczlOVqqhsIeL20w6nA6hwAt0j8//lJ/8PQM5G+XJlwKqbbFmPwr3dWOnVvS6gjA4u+jnYZlWlI
7zC5Gis0e1L5fZFICiLrsbKaXZ2Xffs3PNifNkx/vk8WFceBhAd1A8G09ruZ4p8mfSYlrdrRfQyb
RYZZ6fa5YqsIzNWrR0Dej++TastvCzb+b60yiSc9l5Xu5KxwOl08Ier3atUKou1jstiKFP540Mhi
3MIUh3HHj0UvCjfGEE6hTpJSUn1Vs7iZs3ZOgyTX10dC+eT2abUH806dVxLHS5CJLwT2y3Aj9eUo
u6bZ6clT1i0LaRkLzgRtYFfjagAbrp0hqKKKbttJad53+wm6NqzlduKArwPnEF2Eou0kyCwdAmm8
5neaxobfGufG4TbLheARr4ketHDssW+GPDJfi5A0HhE7tVa561vkPTetXjTftNoSJ2tFN0oWa1+2
zkdZmwbomVzj+5xT6EpWdTukRG7jmJBzLO57qFh+o6gTiUxNpehfMaL09WHqJmPYbdhU97ck6mxf
5dqoNQFrZfqdrt0i4f+EsDDobVzqyG9DsU+RWw44OtKLVrx5HdS3WbfWnlI13d6EOuDvamyjtFBQ
zzH+PHMzvOa64wysGmXKsWuRs9cZIwjdr3VZpG6rWhqhscrkqK5qq5J9NEUv0whs2mRAAM9iyIFb
E85RFlo3HOnGUt0UkrN2OIapFnAfBaPuU/+0ZWTGk046iaFKIXaQIzFG1qyf1fIaI9XgRZa42DQa
eLDETbErLNhwbrwZRBs1/QBcoWkt9Jh4StN4v9b9vKDZNCcM/51Uvu9ZFs2DXBr1YkVdW6TfMDLp
tFdVixeOQJs5p7epga1qQDYnEY+9EmepP+D0Kn9sTkfYpcdZpXpYG5zrjpwbFecMh98RVsTHs2Re
xsiYn4k5XZYoMYZiimR57jFsnWvWBokY0NapjtucaMh1N4tFiG6NphtNUPQDCaV4NNEWJXicUcfB
a6pcAgGHPqyNGQhxzHVi9iZJED9fLHgZk8WX4lnCbi/DeCVmwl96MGQX1kLDjW8rYAUuhlkW1H0z
pIS0ErTsdj3+vnigaDQJMsUgCqjTM/FIMJB+Jqeznv0RMjueO1hSIe8QjkmsrW0SSd8utuLbZjHk
eEMB1nrCWXLyxoaiRQs7JZWHI91I9OEscS+601bwkwqdxGB7K94RZptr5LQ5SX7bAkJ+0ylpLfuq
goC2NzebGQpk/iPjf+95rOH+R4mgqFhXK+ZAuwqTouNQESpAcLhTwX2Yra2IWDD66U1olcoAn6w5
+ViqhFOZkZFusEO8a9ImhiT7SoslLwKqoEUiCZEU30AvScFxVx29h5sk9SIHKEFkkCHiupfrOjaf
sOGY4ihJNG3zsQlcAQEtuq+7LoccYBikV3m5VaWanxEMRvjkUNGbqVogOLdPs6nxhtGQlKCIebJe
ledqZJVFrXkmdEPLbYsZm0WZGGWiN4Vsv2yJEJcC7nxLb1rI89XybJ18YW5x7bdrq3wWsa7uZ0Eb
mu1LV071lnZvhDtq2hUBabfI0AbpS6onWoQmHl3zpU0yzni91CXzJUmU1QjnTJtORU598GIkVivv
tjaOU1+UCdAANC18h7CWEqV9ZWr2Ew1Nwj0eKjOR3vvStG8EHpTYfWwKMFlec6bDPsTJ6HHCVPhm
K5vRBzENChay+GqYXuhTBpSaxnFxXDcbMHdQlGw9WYB55cGZ5/pxK4zO4Piv0YxIBmmKCUFVCuE1
oimAWuOmKUIiX/lssIRxENAhql0iemPEqTm5Rt3TV0XxXE2Fuvrl2k2QjRJC6YtVk36wLDsYNMcJ
YfRNqmqfTk557FEqm32oCDRKbiJr0wvFd4sVdaVrVcAyrNDRqGDY77plg4m16VWv4TpSkmVBYw7E
VYI1pLWgYqmeRySfcf4ToiKSQKVnqWLc1VSb5+i1lp5AvZFVyaTi3W8wHyxPSnLrrjOdZqPlriEJ
NPvWPDe46uoAXnFKxCf/e7CbYlSjEo7s4DqAM1+S0RT0RvqkvXEsYmeOInY6mw6Lbm1SqJpth2ff
SPZsc1y6TfShIZaJUOimzd1yaDAT6qdV+17KG132sRjt1RWsfoOb07kmIsxuLEJFGqFBJerVa9Zc
xS3mMRFuMDFw9RmqWj3hJFY7bF21IFiwTuk3WBYk2eMat4Z4HqSiq0+tDrh1qTekRRFuMVLnz04x
bbbLaO8r9aaQFk7fesM6KYeSUMp8pw/a7Fx5FkMG34NWFU53Q6l3qC/iBRITTzPJ8Og12mFUXtgp
6G3A4rTMY00kBEqzQi6w++pmkY4vkJ05WusY8w0RrmHAo3mulPvS1LssKOd2WL+vVm9VN4pJ/gks
CQnCtm61sNfdbqzobCxKI0Yi2As59meG7XPXsO957Xzt4ODuWtCbQjb/ANyHZR4h8hXUnbyNwUJU
0d9axEETktgqmqBRC+WG0KRipYsuEJS3yLwT2iNS8lWSJdueAEqdAeOubkjCDeOx7JCPctJ/j9W5
jQOrWNL+pWt6bJIXRydxGjywv42tokxfR4xUnwVMoWxXtEuP9ZRUjYaXouTH5DRlyj/XSW4Ybw3x
kCK0N2WjNBTm/aAsPOdl7GIrlHMlqZhLlX2zdqiCvX5rEpavxkksjMIGNbtRurV4SRuS1jxD6VlT
ICfgUme0YNIeZIJRddG5ELucbbI6Y9btgBXhPe9810U2PS35VJm4Ajr2LTNf/bAw2zrSlexT2ifm
+qk2WHvh9AlTVYq17iFr0wzSqNjaSxabVnPEB3opfuhTndwPjrkl7jASfHYCHzQFJEw2JFcFnf5Y
1ZSab8ytgiqEO1de52ow88AU5dA99AawcWbay+oNAPl4uHdqNxCSNmAmkqoFOvxCw3rLbeS0vBPy
ROcxM8D2oH1Yz7IsLVIwFLYNHq/lNDhaqPhk59q4N+0NWumEX64WnLqsdOQFxyTWgqsxRmp4hhOn
ioc4i/6oZOUSTl0sdbNPxaJhoWXh6UOvnKjzHa4XcoUdAPQ/ODOl4bDWa+m3IocY4heLmB+lUeuW
QMnS/EuxEwV0bC3rz3myt5dsNB0CuNny6HcPqWIyXxIuKJEz+ckUVvde16tG93BQlZetzlJigNMt
/eCo1gznZKM6o/NQzlZ35xj10EREfuU4cLeLOTwzHnr7M9c7o3mV5VYd99SOjrLiljAlFKrZkqiZ
X/Z6ZuzNJUYswibuGOtOFEYKEQxh56XKHI2fmbQUazO90JyHKc3N9KiNua0MnrFC3wTow4I12uwp
1lnQCtUgPKOgznbYI6tE/mGojV2ECVEbPOqhkIn/srb8lI7T/AZgSsqdmMfxSRLtXAJ0S8sH/J5u
DNtSy/MwXRfcMDtpzZ8shFSa7/TaYtOj0onuNKhfgaaBMNLAUgoTHcc6jDcZYQxXXhF9ttAwZ7Pl
x8sGny8JKM/l2IX5npGRv4rlonNaeYCOK7eLDF3EsOjj0JApd+hACGIWepmz/Jal9jKBDmPH0Ona
W9L10iubjT4E1RIjkFVTjiHA/GJ6s/RsSjwZmmLu2iRnrZ6y9kbhlgmiL4+kV+JdhsLqhtAy1z71
qzqz0JGjbP9MWgJhvKTOMiN0bEm9qwa9gF+Mh7RO02KldWDQYU7JG+wVhXaOMyR+I7fWd5lxApu0
YZZHArs/LEmdYmGDSjb8Rwipbz4NcTXjiQk/86rO0GbaojSJvKwRKgTJprfuwMbzZrc6AwaHs6Ug
nV4Tywrrea1rDF6Fhal8yWiqZzFtAY0U5Qd8f/iXdSWPNe6e5Kft1OHKDDfMYZMPgyTpr6B9Gqw5
5vElHVLry1Dpn7go2+isZJmj3I5GI6sBmmPGx6Y35mm08SgLtzTJUpo/ExK5Xmap6TWx8LZJ60Bc
0BcVe1eLzB3M1ka436vAMnTDkeO01VBnwszKS+WAVc3IKX5WZvMshrSw9uVgY1I/5BhqQMqSe42+
IMvDFEx623BmGjYaSfqcrix4cguXyVGN0t2EDD9qMiy0IkDJS6RYiiRCtZ1nCfPfFslSouTpM1AI
5HBpgVriFnXCiGo7Melos/vkXcsUzpjjpuZWNMBufJ2ynFibCo+gj2rJyAlhqOYOLMlsEW7bqwRw
47+ZatE6yCCAWkfsx06t1LZAtW0m1XcZ78tiDwNUNuCH6am0SzOT9hu2q3MSVgasyBvWJ3Py4PQm
pj8MZKx4v+MZ/xJc/f+mxAXDmz9BO1ee/B/892t0+L//2yO1/l/BbH78J5itAEubQCfONZADJvs1
g/EnmC3JvxHqTNLs9Q9ehKpp/BecTbIk0ARC1qvYBUmYyj/9AWebv5ELiXiYP6aCog758r+AZ+MM
8lesSyX52+D1LR28HfD315DIRt5Iu86+LPIZzKiaC4kav9LX8zjWJsdMy+m298aqVxwGS0c5pT30
i+vZIb1IqlJ+WanKSoq3T3yblEv8LSMK6i2leH2qOVjKgYoxHyCJ0bJdpgk2sIHpTMN7LaktTTr6
zejE1DQhLllpZdYzY6J8GyRIMr2TDpaX2hacjljX61ut0Ltxp7YdWV6r1Gqvytzr63ecQDvlWRmz
OI26fnLSKCFgcjmbLCR7Z2vZNOZMMdunin64Q0BOophPmnRlDTZ4iYb6ms+tPxU13MzJGswWQmTd
KFpgzQ1pXFZNKiJCFIW8++wqjQvRpynZfa83ne7hyklO5Cjp5glDsfJMqGsORGLVAxHO02qbtLz7
7gNy8daGmCVkpK/kCFZqXB2iubeEuJ0IAEsTbLqVrgicgTM+Fsyim9abbuxX6CgYPnbe0G4sC9uY
Co55LX7fp1U0OD7orTU+FgqLssdhw3bCrV1l+F1qXU6k+GHYm3iKZDZPBrDxRVSLGI2wTwU75Kap
yXiHYFX5hGkXT56sz9UXJH9416VFHZx1+hy0A5u21+o5JLJmAntw7TL51OMYhR92O30O2xRMyZXL
QrFDNgjYezPBosiOCHiPjMSZVjh7eEXh4Z3jDyOpDja8TmxsMonOWXuCtZESgTQ1ZKFgPQpiY6xx
8kVCUUIZkQ+MAqpYAgdMQ6LZaLK59G7dbu0nyAna0dlhJyGJPIOpYckpeyjgWla5fds7TxmoEMbk
q5DAZWgguFuWzKafNG380qPdoE8NeewdbvURZKRqImakPoGsjflDO9XcWJ8TQ+zNWgH/I0dYeXEM
SX5WbXrhx5ygudSbjL5YXBVHiidTG2FuzrAbeswisFP2wMnLTxNePi7hm7puPsyYhfOm3eE6O5gN
zu6iFT/IHsCYo69EfUcyvdCAf7b6A/rgfEzS1MG715HS0mfbHcCf2qJ6WeDMfmTgqBuixdL6oUJ6
7CGGOnjHOll6u+ZXhrOw5ozzT66hNFBTiTPu1Jhr5yJAgVaRNXjv4dxrJvspT+jJUvFk2XEWIpVd
xbjmGKd5Jd2olaGPvsPJafUzDsN7QEDS0ZMOwVopp+ngXvGz2W3EqnmNNsgShX7Pp9oOZvGmORKE
7GGoSdMUuTq4hHF2H5zzS93VS4jWmQwkByWEynBnw28tAydZSK6xhUq3fVOoUAHLVPNBy/QYT4qt
GT66zXbawAKnUEIIjx340ETBzj1YRmTPMlUYRSnKmjgeOJovwyA9YRDaSt48ifgHQm+nDVfUE91p
22Toc5WiDY3rVEt5B5aankF9pcrPtiL7sYAWPOGgnsKDY9x3nDzL8j6hih5dNBJmtGXqVHhTJxeU
y2n7xogBmcKqw653FSsKDMIkbg5WX+rg6wt0LtUBBsfSx15M0lIrqtRSqaSjPsXGDyBfSMhKMpmn
WhnJHdVRGcHt6lNiMJqi6nokgNBE3NqappEFtdOjCof3yTfi3IiQWjvQyGsafT97Mf9/h/83x8Kq
6irw+u9b1w8/qvw9H/8jiPN/++KdjNfhXfyvu2vGz18qgP98uT+qAHw10auyXaskav7sTv+sAtjK
6WmzxsK7w+wJE7v/bGmrxm8Op0UMWQz+BVEbV/dHDcA/4VxC1YDRoW3SA9T/lRpA/72h+l99IPZp
rLVoa//qxGJstBHElGnnbC+O7aG/SDfSDpoPQY2ufVYP17/qF/tiBlbjTmHvWbv1oDxwMFJu4jtx
mUJs3M/r87qLgyUsg+xmjsSB3pHfH7JT/l7s0bLQV1Khde31aDxmQeJDFvSUMPawPPfNwDxM+zyY
dgQy8jUGV1Hj5/fxQQ3aaDkiPPPaXXvsA+woAui1PiqO3eptvrKDrrJfgyGUI/3QRnmU+WsghfXO
PDQPyUHzFT+/9BGKp/Gs+M0eHDE0wvKSXMiOVELsL3e6L53JNm6Fa5/ys7VrL+rBujGj9oIVvm/u
dX87FBexn3ZkHO/6CGO6QNqNB/tQ38W30qV4yA/OpT6Xu/aAoCEQnsJ9ph7xLmcjsrx4b8+uRVfr
nN4U+LcDjmN//RTfjvrsLh/lYdhDBgoyXlYLe/fHPgAHCh/huXtKZPoiwAT4y/R4rmGzM3+/DD1Q
dryC30aav+04C+77MJBv49NyEFEd5QHG4tzZGFV+Gs5hu98CLeqOo69E3c587Y4k9oRA2b52yE9W
MIdWlO+VaL6tdhO/Nd+Xd2m4Rc7dyMa3t8P0bvYtL4/KA9nOBLp5hldFqz95wovd7JAesoMdal/K
Ib/NP9Xvztuwq7mO3keo9ujBd/IH1/KmwDj0JyS8N/VeD2N3CvKo2aHB89Mdpl938c16Wv3Whw/v
cwxyW9+8ye7lU/m5fWvho16rA08Ft5m87gIGEOCtfnHO/T5/aJ6qoN0vX3IICrG3fBrjobhNj1Ok
7rLI2GfBECgBp8Czfjb8IsKyMh19IGvxYN1a+453czyOkR482fy2Ogjf8LNI+BAZd81BPSKV2Zf+
6qtcrB0M3wVfrz7Bz/flUduPOweWsuLZF/1euWUkRnEgwiJomScy3/scj8WTcitIVcE2zs3urP0a
id41D3okheImf8jO2Uk9FCfzDFf9PjujEI+6U7ZPD9VBP/Z/0/LVfneA/WdTnQPFn/kdcz2qtVnD
2129OZhSZuHgQyP1+h35627DNXT+1xewa2gxK4s9ig1fD+QAxM2XHomkc/ugfE9vZw8amQt/L5wD
1YO95n4TvghHF+jDIxDAdsVO8bs9MyzMd8rOomX/XQRWwCjyUr/1FF8LrTAPbD5vjVE+HPXkUEa5
B0rqgel5xD5Ey66+M47KjpAuP4mSSETiRwliZx0MuHs/to/yadoNxzzKn2z6wjsYzDeQ1hj9ee1N
x3vJA67/pvsd3xt28Wsamnui6ffYrvj1k/2anNW9cknEyWYsnc0bBuQ+2auP271xbwV9OB2sc2nt
qIoOyak4bpc47EP9xoi0+tbmp2M38XALPy+R4SFcDJbrfAgnz3YVvv81uoX3/lq439FyBDNzARzE
7wNwEF9zP78yfp+OnX/92dizvcxb3dLnlYJ+bxzmU7abooyFlQCg3RBC8g6nPS0VxZ8DiHwemTO6
u+4cxqN0TJ4ZcX7jvZuuvBfe5hGrwMV9soaf9IgP5Swdq9MWYnobzF4djEfnlgKbv+WXLRxCO7Dv
abwXEem8DD01MnxC+3xsv4MigFLnVnvpZj1c37c4rx/JjYljV+WCNnm0KMM0YArs210d4BKwk4PF
R9DhIdK5DJ7wUcoG9BA83VOO9B89zRVhHkLodrtwjUa2mj6QXGLD3K+EHYEKOcARya/2ho+zauo6
+4yfanfyfbvLPOvRek38juEnXuhjMlG1vcQORLQyV1cH6Gn9+N7ajy6gV0RDmhdJD81T4o8/kY7/
Xvut/x4M+8/m0S+eOjDNczpItnxuA/O8sZUhnYyodv12B21Q4jPpfDrwvu1xBzzK0bNOKZ9ExV61
8CigafoPORvQGBh8KXga3+hjh2tQup+VR+qiiw2EF0dIQFzLb6LisO7GIzRVphwOC9zryLst/psd
mdEUsjW7oPchHvfsin3QhQW6Q4bNdZPkH/wk4ArZXCd+24yUsNvbh5iFqgttlnIQIqaw/DYeiv31
BfudyRiDJHtZwpavUhbNNuj5bwy65WhHY0Aoinf9FiPo/Tqe+53h1/xd9rp9fq/zQm1Q7xyGBG5W
UbafvYWbvb44Hnn7jMEy+D9vJKNQoGZlMUh9wkj8jVGZ7fmts+0hiXDbbyN3pzJ8TG6GoXXhobGJ
ayGrF3fO3Ajr9+yR1+e54pPjxQE6rGgI/w9z57VcN5Ks6xfamIA3N+cCHsvQiKRE9g1CoiR47/H0
+4NmT4+apynFnIsTO3q6R2ZxAShUZWVl/mZnPCW38vDj8rCvceUT38dwM6eEu/Ip9qBicEvbd16L
g1iYs31B+yh5AOOZPg3njrmjBrurM3KA8R09qnjPCNYQO1e/5nXSSXMtn/OG5KoEPjMYebfbMdFd
0ZvdjYWzOQJv5vi7Y8zoefIyEz9h7yi9Y2PUmMiLDb+L1ciii4DJ+8dUbjwMOVnsDRepeQZka7SL
ZJdu7MbR8ThHqjT605kCvc8PcaE4YID4hGAfUw9hAQavjvZn87qcNoZj4K5N3j35RBAHsGGj4dQd
E9XVA+H2eNOGu4U1McBgAid+H5Re7zxU3L3A10927XyHCWtb3G5KVKAv+WMsNBvijU856Mcgj9w8
/EBmj8zGofgcWXYmLLcTyucx0EM9HNmVMzf2rFA4E4POwt0SDuHGPD6upZLlHWskcXMPj0YuI7FV
LNxo7rQg+x0hKgmXbDyewco7pkR9ITaF5TGTiS4iUywleMReH4wMMXmHg2+TM3j78/6cRnQINjcN
CFchPJGerQ7kL/NbDWCClcw8kV25+2JFWtT7MmtWDigvhAKr+Jip2Y0ZyKfZF8LeD2NnOVvREKbB
sRxQCGDtgmUhAs8e/WwXiBPxx3SoxEbjq0oYti5HrEJrjSGVmdLHo6Lv4NaMKJQRLmEwq2TGcvMY
0YAldW8+LffqDTGNd1250rVyj/FuuRnVKULSX5dvswt34Y0obCbkSH7PfdRBeYyHk/GZjefH/5gZ
sPBelhso7cQSk0kJoSiaWAkxsQg/OWdmo2BdkEaD0r9qrzrLV7zfAlROiLub234Wgoaw1vAzk9d8
hG5M1i/zJAObC7QxpjQcba5M3cyXeVPUpJ3KIW0LgQe4rQ9U20m4thSZnuU2LsmcUzLIo8/AuuIJ
0yPeqvhjhq++RMQ6dp5jtdI9OcKQyKtmpToK+WfLo8MIvAzAI9hHUsa0cxDpdCUbupg/pgwj6c6x
63Er8yUlt5htrIns4kP6tbk5hro7adxoyTAQPfl7yNOk5GaQP8ak2O1tFXQkKqkLfp+kez/v+rW+
re63b2t4JAojmU1GutKHRA6WehxIfMy6sSg6nTmVeCXruLhCEKsJ0lLIb0+1X52KU3ICzrldBH7u
dj131+E6fAO4ZG++Feh24ZAEQSx/Kn2OVCH34gNFcuDg+kwwO3WXoHPwDblyKrJhF5MlNUHrZ+FO
BkVyS56Tc6SAQOX0ZEVH2kV7gv9Pj398CLZfscvlzGA5rXfkLa3HC/Ip+96sF93JfdPFjcuzAjzX
3DVsTXvg64G6cypBmRNN+5s2VILd60jZsbKK2rN2Ez9q1Gn4hfhgPHX609Z7+oVEzENAADxZgBO2
owVQoDgF2BnDghWypz/OBJNoPMdR88T4MlFUV76dOIXUZ/luoW6HjdeTGslkcMof6lfzUb3LAoaH
z+YP+IJG+kv2zbrpz/pdFSReibyvjVwy3KnESe4x1fL6sArYIkkzjzwU7IjmJQEmdTwnXCMn4Y/R
B+LXSD44kxvbr2NYkElpAX9gd85g35Gbfq4/HxivzSsu2QX0j+FMPkVcv/VI88Kh/Kx2IbVqis5/
QKdP+bFn+SHGAIZ5wi+aRz5Mzne8XuE49JGG9eSLoFoYwyY6zmHWj/dm8YWDn39W17PwB+kpE1AY
LnE4uDD2HimnywiDRHuQ+sg/ufmLxHx4XXmJ8eviLv7qfYZ7SVDobdM2WYnco+HAebB1W2d2DW7L
3B353eYeaSisElv9kTVSheYS6e5UtMo5c3G8FF38EX0Jbhd0NwGxjO8DYXVEwqqxF+zPHuVXgBVR
76U3u+av3ze/92Iud2S3cWavHL8orjOwsS2zbE2uxF3YVpCYoXAv+9DD/eM2RvJkyrrJ1/JDebMl
geo3bG5HWkcSRFiLmdNtyEH0anjMdsJ64oMJcXXWA2Z2vsRnWmIDew4vjrnrfB4dhY2Wm3eORdNy
dWQSfiTdmX8k28fk3k+78/Q9D4589hiu4wgC8IrbmTjmHbuH+Am+D185n5BqsXu27OOmCCg2qE6e
CT81AhLZOQcBmT8DoMmQjeyLBvEfcy0y6SOrE85wl8ipJSSYfNlFwIH9zTyeg0HnGBrU3sjNTu7O
jeAjSJA/0kGQDaS6uWf63SMgOt+KIPsHPbe/e0JwfJLt11lvNR5ADa0T8+ixixgvNqXFGz5CGyL3
gCfD3pt7c2CGLacNNtLgqL8g7nyEYe8YZY4ABGXSgsuc2c33gYxR8FsulHu0iMn4RZsf4IZJpPw0
Ek/ZTR4dObZpkNbLNicQ1UWDiEQs9dpvHLXZYY7jIl5bv0FOo0z+l67VvypW9NX+eow1hRW2IN2Z
K0kqmWa1OzWFJfZ17yt5iqdTMGIPqdEbYyeHS0dmBbeUWhCVI2JaQQRUHRqr5GdHmru7SVjeHfnW
GknHvhAAqWNXkKglkZna+238FF/jK6Dn2z7CaSlaAokKByL07BbUmEiql5NGzWj4WD5uXhKOUUy+
tzg6ERtBlqNQE1an4Vr687kPa/6FI3xsGtfxrEdHRJx882E+jm3c4fxp/bTadwabUBUMTwDNbodr
/jB8O7YB6fHY3yqKN4WnhZLdsAUM98Z5tV9nFnfFfnCEKstGX5GtnzjPbqcynVMXUCVOcPz1zDI6
ohqG8W4KUog889hXTLc/C0RDoKIn/btE4kv9yG2RaCBu1gwehSWKdMeWsnOwXEhRub5D5cTZ/JJL
5C7EMtK1Y1NaWW+LS5jgM0eOFt9DwiO7gbZ4ZM22/HF3j9zgKN/JXusPBLJjINhLAyHQ/cbdfzxO
SvKJBgJhijcCpsFT2Z2baD/Vyv2gs9zthlLWTESn40QmTSRf4bkFCEwRcfUHHp0wAC3Xmz8K9zsL
TfHQATplHPU1du05ZGMONuKl4rE4OGdlPm52bP4r+U/vH3mk5dZkiEeOzWmBZ8B61dHGW+uuvYqf
8vuqDYHTpV5+XVjeRxCB3Jw4TkUShv1XTXZnuL17zEnorW7PUeuMpJ3/lJMpTlFv0/EkRpT3dAHS
E8p7dh4eR1sO16zZhfdIYm6zAG+PFHEi/zlSPMVDOUJN7fZUeqALnCMxXBm4KWJrJZa0RI0jpQPN
cVRySOpa5XIcSgzWI/Q8ohRx7BK/ljfJ3eKCSfKOkkNFmEEDkHz2pzL53xFdtPdW6xu2VFW0SKjS
wb3G36RbVDoamzLEke89iR/2B72w5evs7+6RyEI88o7UUvLrO+F2oco8vmgRhsV3zZmq2v3+Wl74
8+/FjeErIXu8Z55MUpL0NqZ+fGQPNKBP9cN8bs9SoJz27w31zYScZ/dkqpybn0U6ieF44QBNGsPR
OJpJiTnE+X243ZbkGvodOtxP+4n6njtEbJpecWqYItmlugwcMa8vbI6Efle8KQh4u+ehoxHJd/LL
eKou7EIktDJ7WexPFDlRrfH0EMerezNxl9d5s7uo89Vzd7Zuy4j4ThSnfE7lTbmVb4Yzkiwk1ccB
Pw+s8Mcr+I8aN49Nxf9+yAL+KRP4Aznw79+9i944LvTnx/53aAsC1P1pGv5fmIyHJRv3b335uf76
F2jG8VP/05QR/wHxS9UtHGgOwygV5tE/mzI0XjRQERaYDF3UZIQM/mzKqMY/MFtDiZ/eNawQ0BN/
NmVU7R+HcQgKx6BUkbVHn/Q/AGZAT/zLFmeATDtQHtyFAQOKr3tTaVIyAMMS+lY2noHpM3QO0mw5
T3T7wAtADu/EwbGKvXdmGRrKnBqdKy2CcVd1JRKgO3JgbWohpSAlw401jC0im+sf7TA10RhPKLet
jXWm2Z7A56lnJIVHdAfkIW+udSYcxrm6ep0tyqM0zqIWDUM2o3mYTys6FpFZJIOnC0i52/IsLWdN
EaYAsZnilPfj6EtYZ7+sRi6566yZQ9RYDVFvVijp5utDbTXZdeWnAwWMHUWOeSG9GBL8l2NtRVAT
9gTSdvelhl8hPXnOxbjpcJKuUjL1bclhXihsSeoEvajfLFR4UqztO1mhaVFl5XqftyJQAF23HOiK
MrSMTgUoltOAHcclKJNa8Suwm69LuU5+r6jf+gGBERFotAP1juShsPKTXlYbgggl3CGln6/SkMwn
qezQcqjRioywrzYqb0nNmU1USWhtl0P6LNab8EUW9tGVWquw56qcAN5m2wnOEGrNhrQKLzvcpC/Y
yxjhOCqI2TV6Z70kEiaffba1DwOAGZh0cxnOQ1F+B5yZhAXiqmusjM6QTls4N3UdpajJG25dK8HY
i3VoVm37tPSYe069llwTZTfOQ6p1Gn7OwxwC+B52WwbReUY95LAX7/cIBqdwo2QivvN6RVLTiPTQ
Gggx4MuRwUY2KdPhO6DU2mx4t0+a9h3NZ/2Muhit6xjVxh1Q/z04NAwL8JCMmkmxArMTaMZbw3BG
65w0Syn0k46lpI+XaR2iKMkhhpf6JJco+sWDVPjAk+Sgw5fbWRMT+osZU3RUBOkRkkwpuwd/WwZ6
fbC3OPTDA9p6QLm4lNc3S9UiTlUYXxbD4FO4ljN0pegaq/HJkqvOX0bEvgojHmwx7wyUb2Am1UNM
8U2UUhoKWeUacTkjxaIBCTT3KkqrbgxbS8ttfbGCCgX1jwpE4EdVj2l6WJIkOBYm1l6plzSEJn32
0iZXn5tySsN+hFJna4lcn2MLfKctDtvkVI25c3Yfcuk5LVMEJ/J5fk1mlcIdnu0dHC9A80O7UhQZ
tLEDg5EBYip7SCylxsGoNmgF7gq+v5mhcfTeWjx65ALj1mbilxvvcrZhLErQ4xd9snFW/EPudwS8
xnT9Usuphr7O8kchSBRbpFK5kVAqKpOZVFLjZKcImnRrqVhyD+UmBItezYjUpaJfVwzROOvStcOz
1qlr0h19tbB6Y6JhsgosO6V3tJXTx26xsC04xPG8WJueBVCfTzLmpS7UsMUfmsoX1xUshDBIriwg
bKNLBVIeA/Uo1Yg/sVQRNM5NjN3T9aMRW0YIB0fxdPmYjXvVK7ermn8oM1TQtnHNIB8UxV08oWKi
FqMJ22FZp5sOdfXJs5p8LmwEibCDkNc1VFCjuB2V2fjWral03sxJdSpJR0s1l8fMUbp4SR1pFXFF
VEWA4ksiyFd5GpFcryAlde6qW/VNWnT5OYXjGCPL0QeNCto8nvYvwtLTLG6b/WtnNHALkRPbgrYF
FbSq+urD8FxwlS2tb9LhTWvxfYFQbOOpLqvlLBcjyFxpQzgZ7Srofa2bLXlv2JowVcvJxPPeus1A
9O7A0afiU8dSv2kMUTxoa/V+j2/61Ux61VXMRI7YylJO2SsuuM4yNMxQQ60f10ZX20gUUd7Egn6g
2A3clf0GZYQKvU8jIQHcMk69GuGu7OZ2d7NZLj0zE/CeG/UzbmL5ozzpfmUt5iVZeng5KLi6o8zU
LZo0D1ad0nQTJ6T8gpVEigoNPplF3UabRw3kFiycVcyvCnBkx5ryKlKmDZE7SQZluzGD0hXWR2kM
+BSXJf2tPt+vmY7O0pxVAVYRmQ994lUv+pcSMRV4Ws9GWd6oYvqgCxn+auCDJ1+vdSgFsiRNDiSO
NsRi/PMcK7iEb01ywWWLm1WUPhSzkt6FMiqcvNdECnHQNc75Ptxs1qQ8C4g5HYKS1Sk1oTJjMtY+
gnfe/si6ygRbrK9gqSbwcNM8UDXZmxcZKX4gbjfFYt2aIwGqn/uvY9/1PvI5SMzo6BbG6eLnhbHe
IESnOgmvNSq14TwaMudV1bxXkAfzZWH5Ui9C/GlERNBVihqtw3rf2baRdBkw2nYzE1Vbp0gnNYpz
9kYBxvQHtAAS0AWKisRXYd6XJQDBYSouU5GUUArYgKEU4EwVqpklPrSzUXyuYBDk0B8SDkzIkEYo
LSGXmmFAUc1T+QlJVwg5cMICU0erHGEQjKVMo3meWkDebi5BGgERqkdQbBXUrzAQlvQ6w15gRKrl
8C382qSlfGuVFQaf8K7QLeBWb9Wk2A7t3JNs5ttpMZL4YzPDZcd5pyvv1jh+lZalPPUxm5jerPeJ
ISkPApCaYFl3NB+HUbM7ozUiq8gOtLeWvnRbBtGiaxXhpRCSNqq1eK09sQYJ0LG7EJdN/qNpARPz
oD1p61mTV/0WpdmNQnQptfdo3CEdJJfgMHVUwUmrdupp1VBfecVxZ4/GVt8t+zZ9VAoRI29W1GoO
iZOBGDVxswdENyWl3/SINUnVpDzJsdCESTdrUIpJPaHbqSI15J4kAnEooUSzq9Wf2wzj6aRV+nMs
dvFVl8v2Ju3z+UOfDNQihoKiswB7aqtQ90RiLWf3tlbhlXssEQcQV5N9ZTbxS+vgtSZ4vPpWAj8e
6y0H4gWVWjSjL3uqK0FaCgrSTnJZoDtoVakzdZCErSkNBMzmw2aurouZU/zACCI5zarROAL0WYgh
204lelILzxhTwP1zX8TeEiNTOprY7cAcFtB+yRGaB6JkfK3lfg3N2toQGGthribmflp7qX/MZ3Ni
C5GQeJ0lc3UWSezu5k5oR9jAOgxYFjuwdcSxOicrY+kPdCjAgiYmumCyUJlBg/Cub8Sm8FCk4G2z
JtZpuS56+3Hv8+6lRzdDvJTmAqxP6SbpIY1rVOfT1kC9GfI+0r2Z8Qfwe4QCpDVTZb/G+9cZjK4O
YE+aT2ozfO8V4Xsz6srDYsUmXrX6YKds+zTfAPt9RupiFF2xzKnpa6OFFDzsokGpzI+7vgs5pRJR
OGHaFkhmWpKRpM2Dqg59AK1X87u5AFhwgBg7E9WhcZmRvR97X9z6HLwEyaPdVHLlqto6+iMv/FYT
9E/A9alNaGLsV4mBdBd2r9/MaqdDhyFHNG3spIaOGZg4pa3Hm+hCmGH7U71i0z1Xf3QAziBQ1pRF
RN4NfetLjSynXuGzsZZaIFUveGDBoM+yi6rtD0kPzxjk9fwZDbibvBj7u6Eskog85b5XOx//kJu+
T7/JjeWZW/2hE61vdbl/yFb1VYEji/sbfj3NLl80kqXFXKKyNO5i5Iq9dZOiFWk21NBaxIg7ysiQ
uqM+0dl71oQasYGSP1QUt1hEF1mfQN7K/csKopuwiTi1iwhsnvtxqg8ftrWTrDDOmqWN8gmS3n1j
jJpxLxTZq0EGey8LyvgIDE+Z7HQEcFXLG12AZPghREkzCOExF/eb6iGulNzeoRW7UzeapwLDXm/Z
l/0W7tMGsdnqZ9LcLNbP5q4LOrtekrhaIiz3izgl9GlKEfaZ3ucfkomPAO+yemm7iksrhIOVZ6HZ
QqPBno/dtRJVkGtJKaCj1uimA0p6v1HLOfsmqn3Ckauhv6z1zU0aJ7OjGJl2p8p9D+4uw7VklcBK
Y2lNN4wsZ83WoCwHg/FEJstLp0PmaJ761FPArJIttSlWanENgxkhVBsFu4uWEX/Ye5XunI/y4sA/
W6/VqKJbkz3rjcpAQFMUohqcNbm2HvTxtDrKVCGA3G+5dAfIFWKpbH4o97F26+m5riinz8Z06BqK
ngEfMtQVNDlNE9ZaohmnGlr8KVVgci59Od+nnXwpVXwsumn3Bj3pPolCr3zoig2SvJwPbg0F8IrZ
WeqpSwe9Lce4sM8NSnWyEAeNaKG9SAp+ayAOc0UTVIYWpqsBOk0IdeZGdw95Tz/t8rJE01CBr9tg
diKGaWizhPX4IkRLu5fXeOsqWxRrK6dYvFWFP2Zz9WEfV+TmGilcJnFBF0GQG9Q/k5SMG1Pci8ay
w4xnGMAXp2v2ZCBgDEsxsT5I21J8mtaykBHRm9GSWBZxeOxNK+P4gPDz8QWVcUng+l6SIkvus1g+
+KB6DYeht3YXyUtos7uko0qHJimuU88JykM3EpK1iTsnwnzR6swcQKwLz31j0vOoSt5WXIonU2ro
X8w7B9YS/Xazre+6uTc4RubJ3b7EiAZ2NZq82j6i2Sju1FJbw6lqff3S40/g5qPAtNvEtvvatlXz
SRs1wCPjShyyk8OKpMma1EFDX/m4dqYUNLlePMzwC9wFgT5/3PsyWmHwXbEBeGQykPxM6Kme4Id2
lde3KqiJVeiicYpBgIlbw/6c837TbgAhRWA5ngVERryut9D1zIce7bmJU+pgPldMjPMAhZd6R9te
J2RagNJv26O5a7QgplX4glgCre16yL5Lo24+68KWR/Dh1sf/arQK9WkYsXamSemxugYHEqwSwsWT
gMSLnyUzX87/NRn5jn+SSrlcsWbMEbA43RJrvWlzHf3oKXbwnEvIFrJ7jp052mLS9k/vp/9vlbmf
C3P/J/jWHIyk4W2R739h+c6gc/M+1tr/jEAjpbt/ga1/LuEdP/nPCp6g4eghGYp46AOpyqFi868S
nqBL/8BcTkTdRkRrxvqhIvY/WmEcZ/8h4v0FEFvFGQhhoX+zqwQ0xuBqSSKqOLgNy6r8H1XxpL+q
F/2zT4W7nfVGQajPpjKeqwJa8KrdrlTj2Fqh6GRaBnhp7JU/xKEQngylXJ+zokUrMNsXv2oJA1sM
y1koNysQ9zbzZjGWPhb93P2mhXaoqP2kcfTvO2PIfgaCpkIOPdpUi7BU0uosq1t7KdaeVrhpAfmu
C/A7vaUhk2uIaFBt5cOo7E+IloAeEhMqMVuMNLC6o4YkUpzxYxmBdaUZpMCAy+CVmqx8+OnN/137
4K/SZP++06NA+pM6EY5sOvKEZDhTLMHz7bGNKIW2gvVQpBAe1fSs41zgzTtGqIcYZuaO3dD8RoBN
eu/qUPp+vrpiDjF+6z35VUcKB5d9cYUs0TykkQG4pyOA8KYtnXRZgFpKy3zWuzhzfv3of1WI+veT
vwHroiiU7TjDF+FeJxCZWh1ZScROhkjQ2IK0xRI/YMcGOW00jOSfHI93sY3HzHwLbDxm7Jty80z1
TxYkOQ/bYqr8pZp0uzHr8trEIhX2P5fy373Qdx7LfNu8VXVYzftShLOUpOe97VJvLermsdKzJcx3
amq5WiAJnWwIH7dVHVb7DFAp2W+wHnahXdE9VBFssIrhC5KQQAQydEwkQYp/89LlY4D/ZhDMNw0r
AcPtetAXyMtFvjpsLWQJEL18ztdWqOxifVq0EuyOZYEbwTn5UcfRwkukDqkwpB9YvAlq6H1pBEqB
/ZS4SPJNu08ruuDtFonwhZyiI3GrsOD7jYflO+/NfKsiRmUAaQOtDvd4pauLsAE5dT4HdWs8/Pq9
Ke+EDPMIcj8txCmllKDmSxOWs1ieUgN1kRTHjpCD7ApVsIP71mcNp0mL1m299dHUd9VpriSUEJAo
vTepa2NCkWq3TUH2JaRz8QmWoRombTqFRo4s9QwzHfWjhHa5VgoetcI5QMOTwtwwAd8voYGo1K2q
OJZ9NFFriFITsP8WBner8cj9IK0AydUOul6D2nlCpwda7hWGo+kvCfXDX4/Fe6P9Jq6j7r/n+BpT
yYyprzZtRn9W33tbRIDY//Ul3os85psI3fWGLlsb1dLSyAc/Q/bXRXehcmCK37RJ9WmJ+xcVpTHE
vVEBNitl+82LfmMc+mfcMd9E3FaIJ0Pt1SYsMh03SF3LVd1ZVEn9KCbpjJsdZFxolBzaAX1sBUDU
VgJPhPhAZ3c6Z9VwHyV4ab8ZiCPU/t1qfBOC29WkrtpoDHZbKZdlp4mAeUmGIgOUZbQG1FNtQqLs
EDK00V8CAygVFBKHbg1nFYOa39zGe0HhTTSea3p0lShR1IEmG9b04Gyovb3TJ/FTpyxA4uoKfKI4
AkFcOtPb0WLBTm//Her8nVzCfBOZNVFUhTkXytBcZtBrIiIkSYMDTi2apYuxb+L9+kHfmdtHnvXz
Mo83k5WFFlk45yvok00HeRFbsHKk7vHXVzhi0t+80Ldim31pWXtMXywsxglXAFmCa1Mgs9hp0hR1
qCJ4ubxJn359sffWkfYmMk41yp2cA5JwRQXK3wq9uC8LQ2DjIeqgpIWZuqlwKlfb79Ok9q6+5vVv
VpL8zlanvQmZyAmbGwo8QgCTtj4NraA4Il2gF2RmFKwBpdrTlMN0FDG4PohbOQH0iuZ7TV9H176I
IxmZPTLwCZYUmXVTb3GsuD2Wb2GmLZUvqHUSKlUm0TJTsVAoRLN6VrO0DaxJTEc41nSB7a7u1t7N
VHxxbAUy+y1sXGsMfj28ynvR4gfV6KdtoVrzCZMAk96jLm5fDY17oj5rbCf6dILl0yHCvbUYdAxS
Jnzy6DiJdPc4DK6T3aoWmlic7lYPza1ej3Aiv+b6wuTLxlh3ytksrmuJHjgOt5v4Ctc5/txViNS7
YqrkL8U2TC+pOCdulY6Nr02HtB1bDI45msZehQK/gS3jVkOdRp8wM+5Ec+pB7mG21+EvYcyIyK3y
dZgo3Ssx8m3eXk6A67YBHaU+Q3/aK6sYKXuxLlAS18mAA72Wd8nNFGVCD7btwNAYtXGLxRGdE2VJ
KWRbUylxuK9qeDODLKAC0hffEXCpqHFZGGJdtm5NXjTStnOG2YF5M1u15Gk42NKN0qrEwiSkly17
ypdcdyx6+rqXtnXiK2uTAJ5PG/1RoVCR8WTN/l2IcwH/vczyKDqbGM9sQKM6cwecSqVZvfS5bj3C
UtYkT1JRhOGiWx27dP5k+k6oXz+jbwTC1kp5PApz1t57lakg67btoKUE5FkGuYGjp5SnEvkxSNIr
ql82IgnG7NC/yT/norI+Kvi33NJmbqOuLseA/ueBFO21wxpnVgAPz2Wbbrasq0sWYsqQCW4tWz2g
sGzWgr2oUQYT5xmQVFuY0OclvbjVsSEUTumoDd8Q2iy/L5j0nnvq//QD0dTCNtpqPMnUZpBhCEF1
TldTgXHoPlYYn/ar+Ug3l7csFUv5oa5oXtpaC2vfRlJKxxYgwxeoH5A1sDuE41oI8VL1vFRZjY/U
nqmSp7YFPjCpnAhVaK2p8kz3Z6abWPRPOST5z6gg668V4uGDPSXNVj91o6i/WtjegTyk9wetfZbX
5F5H5xD8dStQSylyk3xeLmR0xquq+pjITZ04eykXYlh0U9c6ijSKfoxqlBohZCrj6ZUIhy5Sv1Ms
GXQcUNYmA/G+WYqtCHMB3hitodjVMfg4/BXE6R4FB1Iy1N+7BQb9ID9MqiAnbjZiEW5LW126S6vp
bmWlEnKDlnWm7jhB699jT5JiKlsm+vaumXM4xWEq31+sTetAjlu7XjsywnMPXavVta2pm5D74tRC
tTAp2qrrMgGvTK3xPpGY184Um0z2cky+a2kNmFDVFtrI2J5pXt8UCeXpae9CwZLwKBq6FvbwKOkP
9Kyn516kO4CRVsM8ZOpQd10VkiFdVPL7IU0BfqBqaH3BKxpaoFH2xkM8tfV3Ab3KVxOX69FNt1n7
1m2YTThSN/WyM9Oze8qFAa0ItKCtLyMdPHx3B6X+1uAg80SRiMJaIm4KHnDqimYS+tSbZHfSVH9G
mHVCoVeRP+FJM9Gr66dHvc9atPno4UejScuDzjftQydO5RtzgEaztpjJtNOUgeFALjSvTGw2U609
JeW2Po5SlfT2mlfdZ4PpBLGmQo4sRLcjx3IlVUqX/pLyMg/TCuUmaU4LQgtRN8a95Iw5qkkhij/A
gLAzWkPUoQzZAdaDKRZGXmO4DTRvPDnJhQvttGWwCQrVh7grV6Lm2L6IkoEpDr6U4jWblD3qJsRW
bIW23kdwCrz4ydrMi9TtxegVPbA1WohQepM4u5E6li8vsgu1bll1e9GaDHBcsYN9Lo3d3YDgECjG
LQtnHMohaKyW9U1DSiP2qnIRXysaky2SLplWREj9Tl86TgS1jxNaCX/akBJwCSjjXTerGWE16b0O
uBNTU7uvjZTNEqgSuJxWfRGtsfo8lzin2OWASbltVR1tSJoizOdhnrElKTFmpbLeWT0OxmmqXaxV
ZR3+egt8J2HS3xwGEBWcNIA05Kfjhr5YrSQRioxAvncldn99iSPn/5uMCaL/X3KyFZvQqqsaWO1Y
xQbLuClhkm9b+Otvl997gjcJPyY02LIYch2uVQM0vca8jXRCtSctgcxWNMMDRgiLv8tovFN2gJ4V
K/pp6kkNAXGlfoEviGtqE71CtaHjxi7oq3ue4SlrSIEgj5hylBhLIMaXI5qBsSTH//3UqeZwI/a5
+v+Yoh/W4D+nruiSzDF4wDLMpyW/iKiZ2lougJuX1dnPMEHxhqQ5Vps1RB1paFAijHuR2ln2fj2S
7xyR9TdnBIM0rirMLgu1LRdvc1wBr+vS5s9CJ+zYo1WDmyUKBtNTnQY50pO/OSvK72TUb0GCm7GV
M3gAGEIo6XzNlWXUfPRMbSk1lvYyKRWOhloy0ceeu2p5GjV1+DxyXKEeOW2zGOgtSqw0wQa0Qox9
rbxVQvwFJaAZUJiBc+FHTv49CDddmyGw0iJ7FMoKZoiYljQC9XTWUXZBrrRcDARwO1WJCSBqPf/m
zb4zrm/VqWq1zRuCaxqmE35j9pYehSLkVJHrX3AtButCr0KX2wQFXzGuv6YAGH+n0/7O4tDeFIN2
ZKPpB3N+sGq9etGTFSqd0OMq0+bt9dfT5p2jnfHmmNCvSDt25pCTucGiy4UqqGpAWqmQfV2VzfjN
IL7zIMbx5z8l6omxZ8DS2iLMZkW9gC+YcbAh/V50ksxfP4j0ziHZeBOo6poWaamsZahoO4jqJVWd
MlOoe2+NBA+D7ccB6rHd1QikM/canGTNHeZMIsfffnMLR9D6m1h5qLn8/Jg4OI8WaL2SVTY2URtv
WyADwruTijG7R9cckSIKusiA1ROlDUW75l2l3f83e2eyGzmWbdlfSeS4mGDfDN6EpPUymal314RQ
487msu/Jr69liqwshb0wCZlADR5Qk0DA3SUaaZe3OWfvtWdSfTzyoaZ1GdBy/PqzXHgtrbP5iKzQ
mIHZirXEttm1Uxk/n2zAV02Jo1OyIllYztT/ZzUp62zuoRpmiaQNi3VnaxhPzJD2slZIC60Oituv
7+fSCDorQbSTUlhjrZ2KjAmN11DkbHYEFnWkHN8M0ksr3Vn1AdTaDIKKu0C9iPAKnKffiFbZfn0D
F1608xwVG43fnFlmvq4qUrItx7kvyOXdNemAxncKh29egwvTlXkaD5/eNJTMNhlDSr6OxnJeyK08
XKehBBVumq/ACVNMm3i9zc5gi9N/G+KiXRhu5tk0ArJqVKImL9YZYqJHYcfckCklnEykVJ9/xAjN
AW3KScihdwjj3q3ToNBcwJjIx0FiiStiFIhIgw0sfud2QVqbzkHYbcy+llYJCegVG7rTgRoxXURX
ImXG14yqWE1lNhzLbESSN8YBZvY6xxGh0qvwA8j9ARxwtpsrWTSczSyJBivks6m+UURZhpBk65Y8
x7bp6Yt34jGfMrpOel4V8zdfyIUnY5xNfU470M1KRUI8PEWQVMxggJp2vtJSu/GSWCQ/qigNvxlk
l4o+Z3OgqQxaWdhlvBbq/Avlw808wx8ro+Q6lXrComwCePUQScXXY/rSnPthu/k02mQzmZLCpkWV
d9GVYnfdjVyAjS0jO3AtNS6XINicZeqIl2C2pB/OKbq7Y7U+fn39C5OCcTbJCRSt5TwmMMAbKllJ
WOBqo5+4VLM0/qYhc+kSZ1NbTcvFHnuCBmnFdZsgVmWvzWLi4ZAx+V/fxaURcja1EXEnsrKTcO5p
GTaEoeoXzBHiqoTKvhmrHnArEWNvX1/swv18gLg+fWM5TC9O7na45uyI23yQzY2DyZHENNlafH2J
CzOdfrZriSwEYPNJF5ZRcDoqc4mBOteEC/F1XgUt0uivr/PxC/9iudXP5jpiuY1RAqO+VgIzJ4kI
8h/B2pjvC11f5pIm7Tu7EdtG7g4KL/7RMrMMNnNRPnbkPrwUQwZtMFIQkcFEzgvlRL6W78OBAGQA
1FJAdDVCEcS94mkmtHM5tyle+UzOvUFCdzh1ZHhKNQ7WAkIGGj1j0ZNqRN2jF8STG28JJVhOuHHL
6UNyME2QWStbEXKjgg3QaEIKz/l6FwHhFgsrGcROdA0pqo1q+rMZPFttXC0tzqDfDLRLr6t+Nku3
aVmgZMDNQTYhx/0E3jNidrAWhKfi8SaudRXVqkwK3wBLqEqln4jWOk/LUvmb896FsX6eOFX0SJJm
TQnXTWaFz6o153czDGHCD2QoRpLgWE4eRP/r6xHyl2ZdNlT62XxIEo9UtJPAYtta8p5k3GKhBfm8
Lpu63gyjCvbBbHALaw0mDwsMQDxSE8zUHjd6bMI2HYsHmIuO12Si9oiexvU4jPoCK838bNJqObUI
8YuomEQ4hoNcAD/6zWt06VGdbSad3jlFRHbh2hrHZkHIpuwyEU3XMwmgbSzimzmlwPH1g7o4Ms5m
0mkKSVUkemetZpzFdW1qVqQiTK9WP/W7uI/7bW+KZod5JLobRFZ4JKE0fhXH393t6Rv5q3f5bJ5N
hBPHktxyt61EjFcMuB3DjfzNInypE6OfzbFVUzu9CgJ+HSoh5VtVidfFPKBunFmFnXG0dqU0qgsV
beqmNioLi5tsfnPEujDlfjS1P025sjLHZV+yjZFJ0nGLbsx9WSSxPyBX/ub+Lky556GAFJ0SfZ6k
aG1Nk/pDC9RxLzfBW2PPee9RO/mu3qRcGJQf+79P94LsFjmRaSHvtBB/VM443WjDnO0GTHe+WgTq
yjZSzNdpqPgz6PCbXO3AfpgxWz6zJJbbpLbvEqaDuz20tO1kqLnfWGbwHz7rsxlOC0OtnWyW67TO
k5tApRyszMhtY81QHr9+Vy59nac///QI4snG89R38RpFOpgFqeu9iAC3g96h4vv6Ehe2cdrZtNUM
RCBaWswlmqTZWoOCDkcSzhL8u7PSoeST4K10C3pG5TdXvHRTZ5ONlGnVXBILvebrI6J7VMWWIdt4
Oq66b3ZSyqW7OptjtLFFcJk6VKhA199Tgs1W2DvVY0oMizeFkkbuU9Hfcd1qQ5M9WqsjCBMDEf+y
tvLOH3UF7IA16h6S6dTXcxMDQsq4q+vxu+PTpRfpbBrqnKodaA7FHJ8MqrkDtiCkvdOSODDYo6SK
rL7+hi9d52w+CsxKwvjE/I1e26CZnk27uXAIX6ec5kXZlH6z5F/4XtWzM62T5WjEiNehettht+xH
nDBwnBf1QMb117dyYeb+aEB/eh8KuoGEISFO6PshWCB61fdtlU+Lr3/7pRs4TUSffjvplGPOqIdv
Y2IF1bE+kxLFCmFPdO3/s0uczRmiKlrY1OiXkhyuIJHo1nVTzgfbdIZvltdLN3H68083ETpTZwMQ
5yYixz6UokBiVtTzse+z776FCwNKPZsypCieHUd3Mnw/QfsYBBDqy1EoG1NuTkkoQbv5+mFdWAA+
dlqfboWPXo+d0AgNMtQ7symvw6RBIF3gKupLnImm/h284dJDO5suZpOFZZg4Rug5/QA1R6WOyB5G
ihw53wzdSwKCDxXep7tpscm2dtkn6yQ55ZFJY7CVR4w5SZ+rq2FoSCI8tWxUyguLWCjE4Ck6nNKM
APvUAhv+9TO9pNVVz2YDOzIoC+QcoyMCT0d3cGx8ioqhKM9BVZQwfqak3vRqQEZKVHcvWVMoz0ZH
/KXXd7r21k7SsHUEfjxdcOZAGpdyjCDghwLK15/wYyPxF9uzDy3vpwdVSMjYsa2KtYbZQSSzfDfp
Hb37ZFyqtaix/VJuRXqIqNcsbHxJJKDQR+6whOHU1jHS+0i3pus45WscUh1oFNKxpy5U7FWLaxSf
ejAu0F4SrR2QhpQQtQ55P9rVQ3NV9Th3oNHTE9RJcqBbeNVPoflkYn1fZaEmll1Y7/gGqxXZSI6v
x6F6PcqNr9TfzREX1q6PNe3T/adllailwkCh/69uEmXknOIk6G7lmsPirP6W5pKze10734yJv+Z8
cnb52IJ9uiRKzUjYY5Ssh5lEJ0/vCnuHB1Qm9I9NGFgbLEArwyZ6yisDKdsrcdGDy5So7y00I4b7
0sZIUmxaxgBdWGkV1xpLVtQhmcl3RYCLV4WZSDWkZY+xiGoU2Tka6RTp8JzBxrdILcD40gr4CSQC
qHT+qcG+R31QD3iK6vpoVFJ/QNak3aWaMh47YkzfoyqPFL/BJNh4bROb+4E2NEDptukiL9HU4AAb
3ihORt3hNqS12mMsMYtuKYVvp6DLwsumQL3OW4WUUI5d9CDUOdtamkoAljO3VegaGmIlCwOls4pp
H0KPiQVczcm20nU3j3QFJUuaU9+ZFAFXrdFkiKGSnf0yKeT4o2VIAGZHrflZ93L8Yrc2QkrCthz6
EbIhw5aW5uBFVrrxsZCz29aMhi1+rGbZKM6hDHsoXfOkksVeR13p9ZMJb2dsLALuhlyGhiNHOghA
p6Efz/3F712aKldBEmL5J5wh6HxEMvXSrIrohRxTgG5GkCDVM2KsKAst15UfWPAhMkc5LMnIxq8t
ZzmlCgV8PPTuYajBPZdBtdYkbofAqsLybJau6JgxGygeyRGJ5lErH38Vctn2tygnq9vESnpa5baD
vwqRi/NWBU0KLNJw0nUo61rh54pJJhCVYhI7SAuoh+sWs+h7XtbGj3TiFOpKJhwDz5r15NFOoDZg
6YzEE8F5Bj7ewR4Dv5sH+4GYBWJN+zksX5Nu4lWZBdEVqBWnfqOMCbY4mW46qAWjUpdIdPAop7MK
3mOiCw9DwZCGH5OiFNABld5+KNUg/i0hfYpXeZNlBOxmTbAe2zwxvKbOacvrEzIMVx+0BLmDTS6V
a4Ztp69SMQ33nDhIkItIMUiWnEiMGYVwpo8rMegxya+9BgEqCXFFG5EV7wcznhVOaoN8M4TRTJSp
2eKQVJ3oIeQdjfe2kmOPkMn51Da4HTGpiilM8wXphqi3qkbKX+NWN8FQda3zTJzXMrCpe3vlmE9H
25kmQWqiY616mWHpYcsCiGQ2PdREJYVQnpaTWFLVqn5OfRy+NPIMaqAn2I8qVpR4qtnIzhashUR4
m23x0QfaoNshJuTX06h03HRWWNprtnd0vuxastJFRzJw6DJ766+kcpBuFjTAEHkrrG2iKuPoiTyX
G0KX5eRgFrATgq7qd7Qca5x4dm2QRlOHzl0YN5JAb0s/lNa2g+mQSnOxyhPJeOvNCXZzJCRIykEG
h6EVVfzQ5YH1XnSGYNFOspFHApMDIBJpkKikKzoFy5Ysy5BZOyj34UA0x1KT0uYmNHIZ3hV1D8Ob
hRMwXdl1B3UYq0PoFtFsoKUg5uReqkbEYFRvsgck0ZLujiKyX3GlcdIUpo572QAmwcUM3TjM9knE
X4jeTP3EaoMVYjksi9IpCGZZUUy8TjPiBt2RGSTGpzwrTDVlL+EuSRvkZB1sCoJ3pVI5Zf3lMOtm
u13qMgZ9LDPIvXvZuhLaIIDWO1n73vcK1vBZwQM84XynzaMMNEF0vUndWVfh8asJo8Fpe+rkRJrs
e70h7ozfZ3vqGIRrfOiJuu26udQX3DqywTKq03fH6YfOzwalWzYUHX8CzpCZukQ78YQqODXwD9BH
uVljcAcM3343ziK0XcQ5xkGWbTvEJ0qESqaNwF9wCho3vPUVEsLIIXsoYyRP/hTaWFXnvKtXIVX8
V8Po93ZWPYayGdc+ienOblSl8FfGzzMSEPO4ppLHBz2ztDdSSLFK9ElZ1oSBqgYeXgKglhpIg3Dh
zDEd2FzGMluOjYiXRJ9R9RyBRbhmxYKKb7rrA7Y6LX2DJheT7zhJSO89UxTYJpUl/wgm3OTrNgsO
VaxZh0zrlXtM2cXtLGR8g5VamgzFJHXQCVD8gexd5fpVSreNgV4OwXGUU0N39bZUfloFUIOF0SA1
QktVHZpAbfdjPD0gWDzJJpwkv5cEHmt0lVHzTuxkgesPYVeB5ltkz6mT8uGKWIDhTwK93lJhBAuo
MGT9qSzAb4yxjVFXbUV3iyJtuI0SZ3wOC70BbNsSBLUwhVG3XlrFw8TeMyXYiCVdpj1Fbts65xG4
vZPmryOhTPdzkWfXpZYC7gjlcAYGlA9V7I9SIAHxY+Cs5aKZNLcQxUD4nzVGHQmzXaytSgxpbxHv
7k82BjV5L+iNS2R2TYDisA9r8Hx5JXJPdgJyOjHUBxu9yyn20dElPZcnRnpyo62onksugrWrGL5K
7hID1Nz+LwfcRsyuwSb5Mcme0Ovw0SIpL5++3oJe2oGd7ZGTgFmyk01nldhMVkqsvOlD2hwc5q5N
FgY6zS1Wml50zjf1igvnD/ns6MzUORIfxgVZj8obgRD4N+dcc2Ol8dvXt3SpKimf7vXTFm+Q9SbS
DcNZWT1VsVzT4LdlkViasdK8tqZFA7rtU7/MmnodIzckrLEYX7+5+IVzu3x2spZRiZoSVbwV+Kz7
kCQ4b+ojzCxiwM0byqDwMS8vpJCxrTIrb9JqkHdDNdiLUhcQGZtUWgq5f/n641z4euWzQ/g4q2VW
9oO5koeCZYfkoWU953DD4qhYIVxMvUAmnjNkk/LNFS+cmOWzQznLZitMVWCUkBLxqOIT8rVsZM/B
hLVBtT/+h+Po7GSuFAOhPCqx0kar5wuwJOmevWXvl2osbr5+eJeG6ln1bk6DUtSlZa/meaL64piH
dJyQuAbzd+qaS1c4O4w3SaZo8BVg6NuEWCWadkxSJUfEMsnfFBYufR1nlbcqy1N6ZjoNgLhSF4Pd
ZLtiJOsOV2ixUjp7/OYoe6GAIZ/NIwGwtaaMSHMPRfSDQ+xGUga0xln0XsE52giztb5RxXz0If/7
oVk9R8WadVrLiPKjddDh2KwAgRwJM+wPdJpMUDWNudbMDnUqUXF7PGigM+tQWahRNIJTqrtHJ3V+
Z0PNniVuxVUfjMpjkkGqiwZt8FVORgs7RL2gF9Lkh+CiFmiizYWaxuZRa0dY3Ba9VpO6NIq1HF6c
lJDiN+nZQqILuYSGgnzdUdNDOCvkz1il2AeWSQ+1m4arXirHRWTJZF8DafOGNGZVzfV5kQ9JthBI
1X2rQyrBSRRy6dxM35VkTt/3Xz20szmxCtMECV0qrSozbzYK+8xFMaagYOeu8fVAT/zcnjDaCiFt
m7iVbyNFYUNmwwT7+mVS/npi/AAsfp6VhRpWah1kwaofGkfzwRClB7qEWg2IQgeoopiVCvwndRTU
hk3z0qs9FOjR7FZ2UfacICZBUArMn2snoT79zce69KnOJkgSuZtWlwYIb2mlrE6ExBu0nKr/9U1f
eL8/KlOfVqJOKJIzBrx9Bi4Br0gjGL7aBEexo9Lw9SXwr//VN6spZxNuh8E30qJZrGtNA/k8plDH
QgrsjmaFb0GNPrdI5gFvbTUvijwIf3bEBK6S8YR4VOdpm6oc7AJSC1fz0OLEJMZwH4CyWlKswJMZ
OseCmLob0RZvteHEy68/9qWW18cw+fRooByGOZn3gO0DuDYDsj2wR2JY/mHDnlvrCP3nbbQr7Sqd
dGPtxLRm1FiGFcze+Kgp0ByQyPLqBbpzp0eQ2VXCr7/JVbowbSpnUz8UlVmfId+tA7u0bhyzQ2xB
rdQj4hJ/W23p668fw4Vp86OC+ukpiFDORGiq1ipypqOjq2QKOE0H4hIcHV8irCVcDV9f6tItna0E
md13Cni3YCXXY381oQvzOCsOS9WW8R1i9vjj0f1bAIyL3Nk/0S0O/a+67epff9u/lM3flqfQvTYu
8v8BsIuTHv1fDvn/hqr1k/gV3k/8GXJx+ok/IBc6AYGKpSggLjRFAZ/AlPQHplYnXBgEGidGxyZ7
mvTAf2FqFRUwhsyLbOimKmuEB/4LU6vIAC6Mj/hAwzFBXfx72YF/mk1O2bCmo5CcaPCbdAbe2Xru
FFJIA8oidkQZUDWRcMvhnjbpp+dx/GPd+VveZUcygdvmv/7+51n3n1exNdoXClmHqHj+vFOvEtor
p0xV1xb6dEWxNHpMFY5QX19F+WjT/N9Vz9JgiCiq6ug8H1UFuns2RzJPxJrKCgL0rCWos43qiejA
MrCPiOvsZjUJS/crgeTOHXWV4IiyTXqYBH17LB2zgS7dd/l9DlTJXKD3VYp9H4Sqtq0EgvpTUW+0
lrmwtAHIbRGTwtIGzoytpRsbn3Nct9EJBmeqm8duReFCj1I/bJWJPnMwFhYfpQfY5stdYNzGUSpX
u9ApoZtpUjLHWCr18CYoclppctdbrW/FuakszGDU3nRnbuy1PrZgOgJIGm5q5zUxAJ1IDkGh15xX
zWHcDZZm3BoQluKDXIzy46SqaDptMxEPNMscGU9TXlzr0I/SJZ7vLl9KVJaaFa4ktF2wk+CQ4gI7
Oescg+xDEYD/JUJVpkbKH9AVgyCmYNKPR1k312MQBY/50ML2NdTAAOdNXmq5iFMnIPcrYwe3cII4
73eSEQs0XqqFfDTPp3BTq8PcXg1GpusvGE8cdgANCfSPea2XO/CRJHHUhTUdg1jOMEPUAyYHzvWk
/FgqyEC3DvPqJSHL9aUpnfEht+vyd59pVC3qsE2fqZekz7HcUVpDMv8bjIyR/5SsYKYGhPQVN2Uu
q/YabRIHR4wmLE/0YIdh0eLCg6CBPSy5dcy2HLmxtMdVhsi/2snJWNvkvI6l8HXF7NTntsbJ6xcq
Wihur9XDha4gf17JTlWSXeM4rL5z2DmqZ8hjMm5qM+jjJYHesuVpYdLKlDNDZfhhd3YLtdDAsbiu
SjM5GHPY/3GC+n8xUZe/8ru2/vWrZab+HzA9n+xQl6dnelt5/PK3E41o/auef4VFH+cvnyfr08//
kynu/OM0pWq2pbD2KtpJAP7HZK0Y/7DoXcMZ12zd1LWTEvmfPCLA4UygBvO0CrHoTzgiXSU3FsKl
rQCr0pmS7H+HKa7prCKftvXwB3mB4cRxGJKBl5vnlpaxy0sj6/XE03tQ0byGeiC5QZbae0We4Uo6
edn8bEekle5shBZ+xXruSHCqwpHkm7EdKOLLjk40ZNMNL2E7KA9NZPXsdaY5N7wiqzkwjDNsz0Xb
U/9cjHY7nrr6aWVvSjOlcqr2ozP64LApugOObeprhjamZKeZ5N+ykg6kYvdMWouuT4GDmSDKH8He
YMs1TDUk78NIqFSymdPgLbYyQQ6O6jzido6f6jASVzWNACreIFHuhiGCE4lRAfNfgblpg2C5G3Au
WFSCi1BV1krcq4lf5Q4wtckeak7vuIZXmdrUOxssueTCQzAXodXVuxj1zJ2cOco+noLUN02FX6vl
dn89dEFyTfI1vNUu6SEUzRrSAtfE3Ur/TlYXfHrxIwhpk6ZZIUmwMqZGeLEArebK88ThjmROzMaS
llS3yD8J2YnyLNilOs+dBecEL3UyULfQANKakJaeo9F61hs5uBK1iHtvghO5UCo5JUHIrKPQtUon
fh502epdrPDOQYsEQFL0NRTFoz4N9/iWzWeJZvrgdlbevxVCtt5gIczEgOWi2rXGSeYT1DExmAFl
ABcWJu3LPg2iB0vSjA/3+2j5PSnX15mdtdeN2sgkdtj9mHpWxFnRi2xYl24C6ffKFGUAlLoLJjfO
Y/VRrSV5IyhRG1iS03qdkSVfkzs0dy1Nh7xD1ZDp8QO9l7RyeS/KB/YV4WsewQigy1HgzK+ybH7K
7JoyexaWmbSwJv3j0rJMVKjIaSYoAPaPMxhh4vRKsCp+Do1gXIZ6rQY7kxmYXkBR1BzlA1PZYayc
QresY1aIMkmwR8cQqO76WeejVRbYWxrrySatgaRvKNl3rykVgWvLnMUrK1p7PZomkO6sD5WreUhV
FR+lGdy1DqRLt88bNgjQVenIp7WiZVtV6gaKzySkR7xhSbZvc0l+aFqL2jLl2+G5Ye9AzN3Y1LOn
5xkFbvSS0Z3kqNrsdkjh3uKkl55stjiYweEJ3KABVI4di2vr6USSRz4RB/g3TX54lUeWKP2MRiRp
OE5ganCJMX1vx9BUHo3KMluwJk17b6uBTmCbPk2jX0+5pXh6FkU11g+rQGwr05H0wkoKi6MzjKPm
TewM3yGjFpwlHWk+CuHkT/GYqm9OkNW/8kGr4HqUGQ9uEjdNPgw/MoM1K5VVcYthVJtWfSMDRWzG
qBxWmE1skoaUwL4NeoV4gMBSGrzYxhhmLvw9k/zi1K6dU7+8ZVVXgvyGLZsOPCCkk2wBDKy1rnyS
sHm8RY0loE/IcY2STJFLqDFlLvmZ0ffQsJGEA9nQ9W3blEiIbSos7zRn9Z+tA5looU7gJhjPwA49
XUNbMEKEID0oaqeHOlEmcFW2iMhQ1Lj80mabhphSUvLXlFbJayhoCLqRPMrEw+od7fc2yO1mUdZD
bu+MwFEe666aB0AR6DO5Syd6ZAcygtIP8Mb7UpQTnoZelRdNraTKTWYxvLFOEEpvIFQhwkhWy53k
zAUyg5rmKO3JhB62ZCsjnGI1h0dqxGwg6EwVs1vS4CuukiKaDCS3GkZ8CcOh5bE7a7NrvOj5G+eM
hECrYehuRqfKYk/MjXmrWpX8qxmFJoN9m9FbmzY0CipoSMexic+z4ceNU4utxdMYAXcBpfAiyJHk
MMFSZtNOz3LyHJD6zOmhCRwVL9lwwp1ONJvCUH0E4AcyK7IARKxxUdt3Uipqhw5JmRpLyZblawZW
5nhm3SblTQWSNfGtpomJwQpD5Tf5FSpI7jAzkrsZyCcM6WmWpAfTkfjnEQuWc/IetcqCk0xrs2s2
whIIgoIUr2PRfnbY+NLVGGKrg4JstdZS6iT1Wjbh9hYF36nvSFFneaoFOhOuTPpkdnrRrYsisHYB
W7YWymrTvbVRPBx6qTWrnZFbyNl65wCRIe8XtRTBk48bEZKQ2UXR86cdyV8ckP5ctz+t68AMbc0k
mIQweetcaKjnA/5jOyaRqU2aIwqCaMO6TVCX1YYLNclJvoY0siN44J+e0v+/K/z7iYB3eVe4il/r
l7R9qT9vBE8/8n/QlP/QNMuwCW+RQfqw7+Ir+2MnKBn/0EyTwpPJ1s5STxu+f20FNfMfimFw0gUM
rsnyx5G+oTYQ/dffT3/FUZ9IGIUtHMd25d/ZCir81J/2gsjEOe7yG/mE5mkvKJ/2ip9qSsDWosQo
i98KB4fNvCnvs1vlB/AuhDiU+0tSwN/FFg6+N18pa3RnxWpYibW1c3bTL+Oqf2835bG5zu9TAqLT
9+RdIWUsvYffa70Njy35Ry/NKa2TgN2KvFfVKzfhWl84u3nTv0cDBzHiyMjF9KubamuSLK7/xhWw
R+734kR+l66hx6mP9X171WwlEmydQ+unZJFFhHXSMLo5pZAFN8lGWxa3p+Tx9DgtqpvTTq/zYb8s
4rUees4yPxQ3w8Mwgmx0m5v5inCvq+6x3VS30kF7U7c6aZjDqr0yV+IaUvcq8Il+JKnbWhIn+js5
Fls+5bW2s9bBY3YrOa7zZv+WYBzbftR74ZqNCpDfyoRAQXZatQ24KELFg7M01vJDOB6qbekcX7t9
vM34teF1dJy2zmF65BFecQ+/1UW+DDbsxbemJy+MXX6wXEI1luldcK9uihUfkPCze3iDi2xRXhGR
ekWuGxFr0bV9HxAmKgh41v1TVNvwKw+WdbeIfhjrYqssnaW0aNfdPripUY1IOzxNJCjqd4izxhvY
xq3hBsvYlfAoktZNrJxMNuG6i/awo8LXVNlpeK12xqYjWDVfAjHkc41XgPMzz/7Z3k20IXVM5K7x
A3frGkbuKfE0I1gLNAgRcgC7Ny2pxPaWOPuNtcwIzgt36ja/b56l62xvH7nCE0EQbIKJ7UWiYfPY
BWHvROTdamvMX8l76HjSk9j1h2Fl/572dev2T4QeuOOTtmvvanTCsA5Wp7qDvIauCO5AWsvX8VJZ
yH5JeCxB2y/2dtq2uec7VGV2ykG6Y3z2kJzzAyw5a6m41GnILmQBdcOlyR6dlFWLb2RF8/cn64Jb
3fTHGOhh62rXPLQsJ4NvBEng1rKv3I/BMqISQsQJEZVXBAJ6tJWyV7j2pP8R6Uow3P6YeSQmF7fJ
EqLJ0lqn78v2PkQf8ogDIyQ+DuT89hkdROSSoOLBlicaT/KYruNV9Zzt512+bA/sV9gECX7Fe8Iw
kr0R/jIJTwcTXZ7IrwSqLrfuiGP40Vk1b/JvdO7u5PxOgx2CehOvrbYetX3rHt+aJaoxgK07kpI8
2NZ+C2D5ob+Z7oyHLMEz6JbZjj8zhAt9sSBE+a3zI3d8IBpE8SivQKT3oBaYjMX0Kqv8vIc/xEKI
wYQzhwMwip3HWn4b9caLGbsy4dN67U4v1XZ+wk6VONtwQWaVlyTb4K24744j+6V8Yfbcxrba5Ath
vaTb+GDcV79j1VxPQH6uLeYlws23pxDudqnJv4yHaqE2fnPo7kjMhI+nLZtDv58QI7jz3njUyf+M
SfE2CT9gOlrS1MwtAguByerEXOm+pAukzahvNiG5KS03vDfne73kaLPS7ustr7BrPsiqx2awL276
Hmkn+87UtS032RdHEmlV1yRhu2k8dVvFy2hEpbBPX+I7aWOuHNIGXKlajb8lEvjkavEEc5tdLVpC
sml5qTf0zoxm0WovPF/5R1P7qv5k+k7gZb/K+klaCN0XK4Rp7kAxaK3TY7T3GqGir4PEAWVtOZAW
iB3ZjZnb/IQt7lKKuwVy5uMCMqOdpqxhpyMXZES0PD6yjpSnKTM8UTxH4NXIIR38NHgL4pRkde2u
m9dZdBxPxcytuhCPJv/mp76z1D2IKxqST91TPHNAQtS2Lgdowe6wkve1bXrPlrmyYrd5FNHSNB9b
0kpJzEAytua8jUhKjkkY8uXcn390jm/Mq8L0xGZyXnjW0x0eVZRzd8Od9ciY8nJG93V7i/YWCT30
/Xrb3gj/ztoohoeHLPcKezkN7xGRNM5NCJHoqXmSb2TDJcNDXXTSko3vqpM8NNN+/iAd7dtm/e5w
1ofF74OPKveS/mLtZanzuh/VoROFC8MnGPZKeJsvtUOHrBRVyLPVPZDF48aVtWJ/7RW95I1vBMav
8oLwaWsTE9Da+vEt5TpqrWQs7ikoMJDv+T0/cJPcRJRRimHJy0HWJiGPi67cq87efM0+MiEJZXVS
VmDmDZcUsdx8wnrkajRgew70i4JQHlRi+yEjRAfHTQWozCeZx3QzpGfoy8D172Nyx34oh7p9VsKN
1XpdeNX8pglNMsqbUT84B0Psum3mXOnyirhz8r0ORuf3o/fQLxbDW0aWWwIpjdDJsXL1p3B+J++M
TW1ZqkTtxsS57qnRMrl7DHvO/OVK8Bc33bI9nRd6YbpxLB9ZsdAkYHtzMVU/6rG+NEVGem407PEP
ibsg8QiWc/pFvkKVlWy7zUDQZfVq39rXtB/pKu8rAdDdVV/5T7tPt9NVcKDf51evRGESajvxpZae
uUivbMRiHEnX5cZkddGfo033WlbusOteNTLl9R3yMkoP6FLFsbiyyV/5MRhHhfBVKlBL7nXwNMLl
xxX/E5GqvaakH0QMNFKHozVjtQTWTYNtWBv2whKrirCJeBsQFUGSuvE0qF74jiG99seZo8Uiz7aB
6otxWVirbbRlkDGa+70Ocy5xYTb+b+7OZMlxJMuyv9K7XiEEgCqgwJYESaPNk9u0UXGbMM+DAviu
/oP+sT6MyOqMCKnMrKhd1sYlJNzN6ZyAp/fde270MyDTRFBj74Oj9c/1cGvX54WBfRB9YhO35W8b
k780lv8XCh//jYDxzin18I/n8e3//T/D1//6/N/HqU67r98P5b/+4N+mcpfKRxmA9/AZiIUiW///
p/LgF992aIOEGO+h4NonyvHfBFpWZozxrg1o1VW0QZ7MaH+byiWzvIs3lx916Gg8jfl/ofTRO9VH
/k6g9ZCgEIID6dE3wITu/hnpkIHQ0UVLlXGp44HJIg6pKBupDBkfEYbsEhtm41vdq29nVfo2wl10
7/t4dIEuF9k4VazfKEOKg88ZqodmMEFgqz/XUfeyv7LH0vqx6g4/dJi0jXWZVnP30A6dauAZh9Ut
XorgPe6n4t2udPIcJFTjbScpg/A4Yo6Esp6ZNdnqAjP5pnHW+TscAs3NrGiTiuohRzX0sQVzepnL
0swMEc74OI1r1m5KMHpetJoSrl7IhujOFklHr2Qgvlbsbic+tCNFxIvi5DdUUmTisYbsnb+4DjD9
65h43hmI0fLNo5/P15sBpRZQ0mCW76RyXCq0VozsazAmb7K1KsylNhsQqHUaIByA4mWj89w1jEkJ
KCtgwpnH7OEHuY0WjS39bilrZL+hj3MXESkYnSd3TNPmMm1EVjubonFFsgODUwZ7bJ5i3MoiNs8j
0d/8YskTSc3XIORTgZBWRLWD/LPtwBfHWwP8zxzXEqjf0VPSGq5EgBjxXjp9pl6EwG24adrEarYN
vYY+4g4sPk4UExFf35ELbbWiwiPtx11OLqkROY3AjgclbyntoIom4bSfWp2sGHA6m0sq6gytt70T
X7OTzOVGFAJZ2HKoxbGMS+ZNrD4X2maw6/XaktnyqOSsy4gaDlt+KJiVciuSiXarkF6y+CIJEyAF
XumueQRDlUFYuW3SH7LxZI1dZZUtGwXQl9fcc/iL7SEZb3jTTblDVC71FpcS8MDWHgdADxIP4Y4O
seq1CwqXoheSr3Tr9C6Y0N7Ow6eq0uzpIFHqo4nDFa+rpcB7jWYMKDV3ec/A1wwyP7gOHwpyAz3+
el9ZwacpUCTZ84GDpHuZpsyokyMDSZEM6DQS32S8l2oNb3Vs1p8NBLGe9hOUuI2hH5NGFzATCrqo
nN8Cy53vnc5WLAhn3OeBH3NXnnJXx3v2nIS9FiFyj6q5Sf/MHMCpyP1J+JS2AyVWgUtscitj/o6W
ne0LYK/qblIFA39Y9/lX1rIQwWxq0veYPqqHhbokkLWE+0Cs9xjpO/qD+Pp4UtDLpuL1jFenAYEK
ARHdTIQ/rCQrn/iT6rZB3OTMPY0D5VipuCwxTHN3dUTCqTirXCrB2oITy8x6eIyaLJxeM0H1Ddb4
jrTbaArWyyZp3G+nBUtaCb7cW8CoriEnsnKwXXIzPMeLn2Hnp4It2xdOzqpoXNri2pq7mqRYNvQf
+arsm6KPUZ0WWO05m4LVvzZzFpt9xwLcPvaUqoEMh9mxxRqjqaFDgNx12cgmupVDduE6ZdEgS1Ju
s1m61PBe2Lih8cNmQIVVtbzahALfxax6JiRnlNerHAgEVcHacg/NEwhbU2WXP1ApG0nsoCqCI1uX
4TK3LPu9CCsQs/OoaMq1IeXc8aAsKciqc573wJTdYENNn10deHzonIH+GXYG7/XSwmwdW36OYEWy
PPVjmFwToGge2jCHJ1IvqvoRT/Zwr7QUFzNtdrSAu7nDNJAODBFlMr6kJbyzTRUvFYJAlbb9vqRO
6LXAPJEdQTDpeRtburzD0m7NPGNa7jeiDVoKT1u7vVKh35ARsgvruhUqpyk7LOleEumMF5E74gOb
PXbLiTeUFzzvGuyzlazBlodiuuxCB/98kLVdeeWpMn8dOya01irJMpX9ROlWaHzbAAXAZrzznCy9
bAauWFtyy9CkY78WNI4Sx6JFVbjxuyWKKtlgn1ag3bTVfeRdmS2XWBIZ7PAMFl9zmZzAfKvW16Xd
ci1d04Uj9ziaW0HgLAXCwr8aIjCmM6i1SfLhKloLNiafBlrRm6XiLD+2DumleGRv44aNUsSzdHBw
e40KQA1wywDeufk3aYPxVWQk59j19Wu+jWP250SHPPEoKYnxMXLEo9pYzeRe9WTtp20R1JTRZYwC
P4Zci3s+KfqU/UjEZ6hryBSuXSUvcVyIx3K2UY80FXFPRbrkx1z15LTcfOZEleWtfi8NeQdMZaJ8
NYW3qIMj64Wp7+TlI3vgj08dbxNrsBUCDkdiRVYztvLgY2DJdxjDvKjp40wdfVHSAAqs1OlLIphN
B26T//aCjReoJt72WcfKlAyWOa+JX8ORtFL3Fq2QAhYtLcEb0nr6hu4QMgM9yVkr6ni26AWWbc6G
Ksf2F5IxSTZjaceGZWPV0BXbcB+cvW5ctwPXzx6U78ngqUHJXTT+ADQzWIPTQahf+ff0JUx1FsGF
rTYYLuhvW6fCf1EAXc4LbCnfDpG7ZFM5VI+dNVLzh4XUdYtkMJh2X9qmBBpHOex8oFsEN8oQKAaT
sT6hwirMLD+crLW++mrNHo0vqKdbQ3pq8EbMnMG4KDl88aWuaDAbRCUunCKmkUDS/5Mcqqq3Hsty
4mswc7zlpaqKQiDzJwuXOcvWb1DR3Qmjv+v91PlKQKIc+Auiesnd97jpFG2DKewMLhyBe6dl63xX
KsvunSFVX0QtmNWJvuXfSW3ALme1mih0LNb5onHG7ls1YvwIbGJOBPz87JY1twtfWTm0Yq1rRrxj
LEEORwlFzDAY3fwjkCvZxUn03s4ZXb5tOiu7kMyuWaD++E52PSANsyByAj44kw6KD8nm1bCz8Aez
c2eJjhE4SfOz782cUAcxhB/Go/tzaAvxxF1PUVkL/JODZbkOVwl2peZQnOwyF+EYyPHQ5dV8Ryhx
/Qydrn+cGpbMtBkU/o1wG2aluur6aht3Pbkk5fXyqwk7edqvJfONI5t+pg5vsgM+1PRSbPysoogu
oRJt2YwcKB+GMfDq8zGhCvtQW8NwkVJD60Ue+94bAqwL8gufIcFVJnauM5Y4V026grimMa1nYvRh
h2zSKXC4G1CsAIF6VcOrq93goqPj90faKEMrOPTkQ1WuZuTsTDAM9Uk1t13O6BBxwat8RLTGXPSj
O75aXCNbrpexuYD/IBVT1glH6RP5rrd0rWfVIfZD97k0C1+NMRyty4yYFdvXZal/diFP6ryrTlyw
3BY/1dB193E1c/KbBlLPjC998NB6C5mNpMZCsKmllfh8r1hH0XndyL1Rludd8F6bH04nw++QLCod
56kv7Z2Yl3w8SMmOjBCpmt687NTuvA4W6k6jB/dcOYF5jZeFBt7WbqrHluvMgzcMaxoFFcl/A7F7
2RUnC1JhUcpnVeyzCMj6R3twiy/RxNnjmBNtOsvFYD3jOBPPunXDCxKQLHWHwuF8zr18zMFK+wb9
rljNeTxKgLL1GKOdzkDZiSgH1lfW+MwGTVtUYYQhDiODOuGJWK2n3SGBVoxMUvVJvKdxDQnRq9V4
X8asoDeV5SPDm44U8bTq3o4SOOkE8cbVRlbztS73fUl9rkjawd97EDRO23g3v+3ckdyvYypUUc9N
GffDNkVxzE9LRZSRgHvGr0fIv3SKvvk3MzMJ9jz/+JhMTDL+2aV/sC+dfuK387F7OgSzFgrxQWIQ
8k/9R78trVz3F4FpVIaYJh3peaew1H/Yl+QvDN2sIG152jJxgv376dj5xRWez0+xuQq41oV/5XQc
/AkkxtFbUOUS0sNLPZUrOY3/cWVFe4DGazMZzlRxdjNROxp5lidX9t+1fVBtMk/bJtcqwOYg/a+c
2zynDzFi/0jtPnv2gxZH5NR4OQWuqWb6l2NWRelaOnqbucP6AuovFVuA+EyYTj65QPr434ojjOfW
W25DXXhsgEffrwKYXxSmsRy4WTbYr5PECe5GOussSmZdP97oriYTSrUwLG0Rxs5ny93mZ1Z681OW
LPpy0CsPS1l1jnrbNMo+KuLYmE/1l+tw66PBGZFV5e2Jp1s9Yynas2u8AXR+w5xHhYHeEPu+srzk
krYq4Od9ZKZ8r+EQgAbY0SkCrKWkP2I+owaWCcU548+lUZ6JaVfQ1nNs6dbiAuqJ4XYObfHusXAL
a+9Ed3avsqCLqpCVhu52gfLPerv52Q7qWlOsXAXZRdOGP+x8vlsCn+VSNuxWh58cFZNF3GB5OnXt
Blt7NijCNfFWfjm1ynWMd4GNNkfAYYd7PtKJtWXY2ahRvMSq3i9VCU8/bJy9BY8OPMAZRyS8qv6y
dVvH+lrWJaavvXxK42w/5N1d6tfvcctE4iNHx6aojk3QAtUrj/SyYRl+lGu7T8eTm7ZM7vrV3g9F
cfSa6U5SycfL+9L5TwTqNzXEvUDss74+t1eXmLHZ5oN/ZemOF2lmFKF3g/tv/MJY3nFl4iYVxPZD
onDjLj8m9zQ/JIe4Wtj0jw38fgJ9GIf3DZaYyK/GfU2rMWahXUoJgK3xt21a94KL+LFc5K2kr1M7
9TaQKWVi47bgBFan/r1vFxdAqKCVYnFR4cgrlyJiWyWZpiBKlbkU/TlhY3L03n7NnuyiYAGE6aRU
PGv3xxg3F4RXDjGT1P1gvfm1uqqbPDnk7UcXmBvPoahds+7iXUtVf9vH3W7uvPtsrr5H2Z38R09S
FYz7iPfBwvrDAhUvm5uqiaMe10/mYszJ/KOEOLlb6CYu5usUZ5VwUXYh+Fsj52R9T9HINu+r+NKo
4pa8av4jMbTc0AC/LXQBImk6o2fV2Shswi5tyrS2tK9dezXSyACzTBN/zbsniz/mWgrehB5vSlD+
BFkuVSAfi3KioDnIbuDbHlyKqxcrjrpqsemCshvuLG1P36hZuYP4+HSKcu+k6YXX6q0Z236nO1Ln
U11FGMSO1FWcrIFXrm7IWs+UwKTBtZG43+L0KtfOmd3Qg4a1EW+df6sajLlDHtX2KYUN73YDG+MU
fN6GJr/WS3J0J+ts9r3vGWpfUJo9WL8NxdZH21Tkjrtr1zftTW4N5FXArNT9eDmV57PD3c51GS6W
5CH3V8XOublLF3MBxgITXGbsM4valrgrvvxTgePCSXliVi4W2BuASjhkvC52h5owZvD5oVplvs18
NMIRWPRZInhFCyw0p0rFLt2bvDlUMDKrkXVQKG9M526HhKMXuACaeAj9lsxEPY5K1eYPGU0d5cDn
T7s/sB1voWgC1eepBzFzSglzs9+kFm1vonfSCyAQt3MZXy/zeiXq5NIe590MK6ZqcTb74ZERcdtL
eeaGbFlzpl0M21dlzIWBagG+uN9zU0SWhTcqGM4crM45yA6nvPNSxqeuxf1Oq8PLUpgLqZcbt8dR
UHWInHrbOfZFQH8IlbBoT9kx9qGOAk0563pIstulDcCOLlFV2DtI+ONG2C1Dde29r8hTXKl4Sui+
G9/vrqi75HOenivLIUPanmMJYyuff3U0GD03omPXgDrk9j1eVnGp7exN2nNUpsmx9DzCauuDHTOF
Y0tAR55xmtOwbM6XqebjREOMHL19Qd/aDB7ZLsT3GtBrtHhlxF1tPlt8cdP3QChpFgm8+Vnlwz4s
Acj0ieHg7R+FPURArvttbdSWdyDd9gBFtaXOBzXe1bK9PF2OsNxHXt66x1l+gSLbTp4ONkJ90r/C
Yg5qTXrr2fO0x867SeFHd4qmgA5s2Wp9z/pqKOdzuSpI49llJhbAQTVtfx5vu5ivjZ3sJ2bbm1kv
b26PEWBNWEn26a3BJhhLrLc1feHNS9k284dK5jNZPzA67k2YXujcvmoHq4x6sn/9hk6YBTfATAgV
NwontG1KzL5CZzQTFldYA5/D7A8viRmaZ7dTY3VmOh2vjIciRAzODPvLuufWwiqg++xC0T3NnCWf
QbLQkU0uwbudJwKEeHUxgNVJ2T93nBrfl4qH3qDEcgiusp7uZ5EBz27zgW8jUoZ3ozUtgNvGqcIP
wUGBu1vihj+WsJwQU0pVrMjhSf/ex+sYbKmuMeku051b75I2JhdX+BnGkbQJzaXMh8zQdWjnX71U
hvVxM3eXvZHapsVu5KlP9sI1Be15Si7rQpZfynHNhxKdnVzzFtfde57lfHcS01eH1oYtxNLcasZD
EsgCem1X6+BMtbEjo2rJBxbJg9RsiiEUvAw+FS2nucjdrNQoQOrnQOmxUeZQGCkzlfVlUY5ZSqdy
5ffHelB5cOVULI5Ro3Pnrhi7kdknh9SO89AK5CZRnENB2jL8Q8fBmXe5ZkHqH8w8oBw5XGIXFPvQ
1tfrSTyISlp+5G6Os0RHGmI+DEs4T5zn49VFpXAmh+grmxzSNn7dhBFNSM6wLZNQ+BRRAYi5hieq
uoiXCmYoaq44y0TbF+fSaezXSdY25YBBmWbnanEVV700nVr6p4bkoZ2J62wTt0ECtmrfjqPcCxp8
uH3sNLuEO0YD9COQ4bFUHZiLIcEwQAZeLme4O3HGMub59e4E/xBnwcphJHKIRbYXcxWEH846dBP/
rIbzsFy0oNthqHq+nwU7E4AztqxBo1DZc2mNvgUQd9SDs4UxkSX7eg7VS1jTlHeWTItIo84Eut+3
bTE5R2SpFXOsTtgwW2HlNWhDnlWei2UFKIXGUZnLMh6rApP7yGF27ANsFUUvrpd66WEMNB2GQEgX
cPZ9Y2zgGGTPLATaIZsRaWii27mT0M5BKDp9kWTWxMZRDghrT+OGai75hyVfyMIdbPm8p1NO+XWJ
URXCSLJbsXoe7YlP9NaZSuVFJxqO3IkJLxz9ODML66xDTj6a2at+hl0xXerWoGq5YcF+Oi58wdVW
sEngBydnv0x9UW3WeZgumqZGq9XM71xS7CGdt0NXtt4Ra/xYbAGEEAqAqIF/e7By+QZ/lDBNhjqB
4cCmaT0qoORHAgrTxTiflDlj5f6l6b0ii9D9kPQ4WRDSspwxz1G1ZkkHututjDEj2xr4UE3CDZ3h
l/9TIp1F7ayGeS8C46qtSbqA1Re+f1wEoejfllFNiP2NNoY5A94N6qvOVcQtyJE7LRcGnclPE0zF
AoA1Y4M/FxsqVFS3i8E1fZZ9O72P2HTTbTuOiCKi194lzJzmq29jgbWUVebCmmMCaSXjNuodFz2a
v9wpE59y5iyxH3JPjAuwsKI8G4vQo0FQMC2tsTHPUpYwadxhjlb2UKAuMuO+Ywe0S4ZBk7KZN056
TiNDf8FKoi92fqWr4lDWZZoeWGBadwu43pTgb03Hl3oihZqAzpTjZzkDW7wOJjn/yCfCxpEbF8xW
bFDCD6lVimlhHZabZbGGcptggX/KuETrTZEp7tFWQcnUhhfYf1ANdD1RDzXGLOMN2Dhs03wEmKi7
nW67WhxKTRvvxtiaoAbiiH1M2rlft+VcDi8LDWIsSxbj49kbHP+jbgLxzW5MfEoVE4+DXiTeXCO8
bDdIFYzogD7kaZknhqsgC98yKvzA+Y5NY1iiIR4v+9Dz6Jpu2cfikAyHk/7mtTTLrXmt7ute4poh
Ddx/zP0pwaDMyNs3sMrDb1TTnh2xTObGZIeclgRBtAQ+HLkaVRT3omvbcktNokZraUO6dBK1aj5N
MAuyTbtk+bh1S1MXUV/NOOO61ZFAYgXAQeT+2IdHRSp6AUORYsnS8H+MqNu7RKdsr8hoJm98Z8PP
lTKwAOsNMsvGWwJs2Bl8sm4jfDNl+8ZN5vvCltXdkArnpwo9WiLCteIWtq4dY9dsB3rB+DW15zUK
HgYLcHMWuZ8GPpmus47PcEk3KnyrfpU7gn8t695+dd+DNMjfB35lnaAVvvOiPCnFIRZ1+d9Qbf6L
ieJ/M21H/nMLxM/yi3Vb9Xvzw+knftN2HPzD9Fo6uB88BUji79G0AFNE4Puhj77iBmSF/+5HdsQv
Nk5kN8T8oCRZ4r87H5xfiI+FeO/xV0isEYRp/4rz4Q++B4Xh2cXsIBRMLjtESEJD+r0Zuc57Rwtm
/Am3/BmpsPWCZt1pl1nrv6rK+mOu/T8eiQfi1XC5Hv4pSzw4Jgu4knE/CFyuWK2XlXgFYJ9RPfLu
ozv9q4KEP3nzf31qBP58n2yf66k/Y4bwXlCGFGZRkuTpoRtmRphsmJdv8maspgkxwMubgIRHaEvW
0+/Evf8kF3B62X4faD69rKy58HhjazkZ0v/4smqu4XXiM8naKTfCvpHdcpBOPxAipoCx2P/1R8Og
zgdIIvsBL/njo82JHijsqqPGCSr3GdmEA0VsAhb7dFO20+0/f7T/7HUNyILL0PVxsJ9c9L//yKQE
cLgc1hHoivIg3dWCSqJeYLB6R+JhWJTxkNzmLr/888f9o0Xn1w+Q5M1EBCXix0kNz//vH3fyvfyU
U44m36G6k7WEh0jEUAd3rYO6uVhIDH/9ERUGfdfn/sL7+afX1T3d8ejkjGK7Mj7H1QArYOlPFx7X
6weCmyu3WDP+C4Y7KwaeyB8+PCxH6YEUruDXgK3YH58oUdJazvmpb93Cj7fMHQ2PvPMMQCNXkk+j
XH2VwCgNz5R2vXbvDIl/ZJKyH62ZBePWsMXB9uH5y/1iuYUdscgSX86wTj+8TGAtbgCqsXZciEhC
VR1rhCzsN9scc8i76dTpxl278tYK/W4+zOiXcAaLHPBbUJkeO38/xzimIYHgx571hPFgrJYbabLp
PjlRMKOAtlU26plH701XeNRBxk1zbrEwF6ighXYQdkjj4wRePdrtOthz0Zqr0d1aad30YOucur4I
4pRyyz1jzVDu3cHzEs7JZXgCzqHdZRMlSBJJKRElZtWZLTZ+4rHCZ6smU37SrDS/ZJ3FOSiFlHrv
Edv076aw4dwru7aKGrYlEpPk6oKgq+jbFqKt0t2olUv7yQLljUB5MfAlZmX6hHUoz/YWRZtvU+0x
QSB0OwiD2L5e64lJbp9oC1Qcinj+Fvs+1xhWdrYbhW3l/CDzJKsDHEhMNDlQzwLAU9GKXQ9tjA8z
+sS1Ry0y3W19II/26g9fST8NC8H2MPsUtbNQ9A4XkWpR6fgUPWeTPsuoDJFPIHIqtt4z3WDHMgTy
tFkt0y+vlBVjZTC0sTovrJ97lqIczFV57TFbLpvOWCcSUsbElDzlsJXh7nGr0DqahyZu7nAh2NYF
FozCm5kWQWFpFj4yb1+sPDZqPyReklxPtUthzMaqxjY312xqJXoah+aOiinODfsErYcMVHpizTrQ
Sg2XQQpyw4jW9iC/twH2Judsp+F3JTifVuYXwFcUkni5xcGitbMyvnTKxrNeyHEN5NZsXEHYPJPS
D2rWb8Czllc3BsF3GajOLS5NK3pyJdk0tZ9tnbZYshK2higUnT9MzO9Bx/tyfapljj/s0aqdBwnC
VeyDIj3J3U2LLh95ZTKbl9V2a3ZtIf2wket1Ur/y/UJHz0faZKJFDZhXy6FW32MhyeRl0JlC4o6r
4esYBhiZbc7uhFWY8R5L1SLJ2rFAvBZpTMMzpM7lJZlC87jMVPRht4YBvVXNmkBe1ZX1AIrSvDQi
be9HyU2aSoeeaCyVHg21skWurwrV+a8i7vUB/RakkD3W7HYpB4YXPZehvLYb4IEUTnOM3Mi1YyIt
/dpPLmOkHb592eI8JGx7f5QcTz4sZ3Y4G+bFq+Aq8sF+kr5wqr/NsKszu7gFtWu/d30QfuaLbn4a
yBGnCAJixB4MELvBAnXT3lSlb935baJhW7Dh+IiV8lyOzpV8oC4LrzAgc15PoMrtY+oMY49CvAqX
JESefws38ZptIQOPLW+BiS/2rJo+BvSY8g3mpQcuTHkaOfU44X97dUaz8jcqJT+XGYMLi2XEr11e
6zQKE5nHUF5hha4h2GHOczmAJ8KK2kJct5unBlTIsvUJsxPF6hNdRSZtyqc8rtN+Y5wCBuqEx4T2
o8qvgk0cIy9sLKmRAizBZhjmUM4bF5au0++QGyDShnBW8AY46aPlVWuAQSRBMe2o235pgtyxN3SL
x37UaQvlv29DdT+kwD1IbLeazzunw7d+yvpwZ+fovntJqyaliSqxBorr15R8Sw+a8gIprCXIE64a
yZaIJIssJ16uQNwCUbHZsd/3+UhepeRpHXGxNMlNimHFnPBRSc05G/ZACN+3Wpbbphu79IitqyFz
UY7uirVwVuZc1qXjH3rXhP5+5tumoxqjAogRyxWQ6dsivRKYePRjaEiJ7lkbFiVX90pMDyWZ/XRT
cfKx+eMLjvYSgmYcURDfLUCnOXPvwCdLwFKFFeAA7G2ZxF9hM8Xhj7hRcXyZIBZTgJugHR6Ugs97
MWQF1hGkuiL5dGQ/dZddG6DSgU2Ry9FpW5QqyjtNe5vjt5AXXHNVyheR8yf36ZGSAOBpffMRLk1+
aXFds3ZQSWn43oSWbRPSlE0pr3he6/rSQ95jDR9r4M0bRpJ0uM8zPbo3k/LifhekvdMdGFK6iR2+
ay/nib1mxb61wnTs2YWJNn4H3QyxhAuBJEjRj4tnjpOZIE6PU4/do0lN+lBjXBFnDZc+VvWT+wMz
af+dNElyb6iDvRgUbjwsW5b12bdjf+YEIPk3lEImGYSwRJK64ezMN0+m0HWnLlbs6nweap974KQ3
NJ51F3XglRjvab/EmrfmnmEpxHH9MGgS+JGTSvUxBW0DpzgO+4OTDpbHDssbXilkkU8p+kOypYQ6
+OgX2sI2FKgRC0i4le9gYbUC1ZDmaGDawYDPAqLEk18segJdH+tg3JtMzy8EaPELOL6VX4gMZArv
t1mLY2MnTX+zrMV6zt0/RYHUvg5oy8m68RI6bb9e0UrmOA9iToKnPp7xUAWctNcdDjgajKrVUCRM
7zH0I+Olpn6YPFsGRzDDoYri9IQ1bnNHleeTklN5VVfYunAUYtZ7Trt49YldKkwXuVWPrJ3hDXVb
gwz4GTuB99JS6vHTG3zrOjZOxTs5+M41oPLiRbe5v5x5dkoVwQpxHM62h1UPNE9tBjTTeWhRJiAk
RJW2aPWtuTGt0IIGZPmcVX5zBu6BHGDM18ewC6Kqla8JhXvbHsgesbV6it+kp5arlIMYb+zE8LMR
XmK94bnDS1c4GU5lL0ErGwDeIlJpf/2Ua9lf1nlSuldthW98m8tEWXvfG+ZyayE7dc+GilZCnWkv
/Pc5WMLqoCygGme65c05DOO6hix8+3Y474N8zs9niw7gLQNGi6U9X/p4bw0SUanXS+tdtB3Fc4+p
lwTjZZfPU3JhpzOXmY30dSN25Riz/s4oAMUaiAkWMn6NLwewqslyPnltKl8w/p9kp3nIwq3IYUQz
Gaiq35ke3gWDWh+fSwXbZTuESfOOqWuB/qRcKMVgha7WZQo6gJ/ciph0SrqCHLMsSVQOOZdhdu6p
Q/n0KBYragY9+p9wzh3siznoJdzmSsT6OxOUexAxmvlO2iCws+cyFKxpNyEvX/CBRygrdgUfsSff
U/W7FXoZT8ddEG9cW7GGFRzif0IsXtZztGZF+XWSuN/AONLrwTjza49Qdb8mXijMfVqmXR25Vkio
HvoNR6fB0ByNmrMcVhWQ0VdZn1xXFGS+kWWunj1HnUzVUowkaNKJu3bALvRtmWY3xhxZkKGJbdFc
z/hAvv21Lu5Cy2kIgNVd99rSoEH4MTfgQXw8t+XlCnv7JukmBkCuv7G1AcxOMj5vZr7uvWRD4zpT
u+zSka3FYaKJuUeLbqXFENG7P9c0W58R57CPQ6VIP4OWxm2gTK3Le2h75ipp2x54fN4GP3Fltw+h
bC0PGay3zwbw5PVuKPR6m5YVqz0QNPYZShU6QIr3btj22rHeEQHb49TQTw9b38akhrHDjrf8O4uf
Iw7gW2lcz8IoXy5TS0eqtpKj6ClriPBuiJqRq80EO9MON3LF7moXMjGqnc/hAhOo3/ZkMKRb3mp7
DqtNRk3CSz2U5hmsSPUsC51fM5E51Z5BNL4istG9LmoMsz1xgZyd1FA8+mG7lgDNjQe1eu4KOI0N
KJxNaqz4jcuVaHahmJIXo52SlFjYqXOqlVis9K72nx3c+3e9WdfHIc65SSqFqL4N43kyVCsuLnnR
ykv2TecMp67CRDxCyyIu2EiOWxdZwq4o8lud0zaCKE0ZGakWedDcyO+KRkMikCCGLktXSnc7CncI
8T4XXbqVjE6Pgxk5BrBoa67tcCmrvYNZF7QXWO1L1w9I1vU6m5ff0Jd/yc31P1MXdE45oX9s+rr6
udTD8PV7XfDXn/hNGDzhp5BZBcCqX7kCNorZb6Yvfsd2cGHRP8Gv8KcQHv5m+rIgDKIhevyk6zIG
i5Mo8bdM1On3KDJFULDZZPG7tvdXpME/CnanB0Zk4doVErACgCj+JNhZrTO5IseEUf8/9s6st24k
29J/pdHPzQsGyeAA9NOZB01HkiXbL4RGzvMQDP76/uisvmn7VlV2Pl6ggYKRmbDqHHGI2LH3Wt+y
F9GzFPbV4ILplhkdl94vDj9dmn/SMvuVNbh8nE/HDOYg1THtTfe3roczJVCZhjrAChSS9KZdpsXI
DP7oUcOrjD6qf/Ipv0HH//Ex5B4ID3ij7Tq/fUycG3Nj5LwWosGW7o1NdMpYC9YmGzVS6kgdwq5j
1RPaFjeCUcGqAjn4xxvxL7/Fj0/5s8Xzx7egdyZcYbk/+ri/tnjaCVPOVCtOI+Rnvqa5GV1maKLg
3j+rqpLv3cBExKjy7lS4FpM4EY+71CjbdkteUn1XEsHxnDZusQ7njB+kRso+M8+q75uxkPeEzabr
GdD3VdIZONTNCqaAMEzhrr0Ot28chD5jxdYhoGBEItAaVUrkkxlm25TQlXXR5+a734a0R9zE4/OV
2+3gdg3fY6j73+dW3zmM2G7AxJDJksfVLkBd8+gZ7AsCBN+mGP0lCsBT7T8iGP//WvI/hc0L+K/X
kjNct6T/ZSlZfuAfSwmjBPrd8g+xp7+0m/+xkrgLx04sD/tCqDHtP1GltgnXBJEoc13Tc5k2/zli
QI4qF80nHoCAfgvkz7+zjvz4RX5paLoBTVuPnYwZCE7N4LeOMfTOwcExgqZLdVDpopHoCSQWvCA4
CRnp5ddRsBr8ZxgeEai87tRWRj2vQybXat0OEDLxkJgN1KOwXQJzpygp1mWUQTfy+4pzMwPd8GSh
+kzWzGWZ57nBxGQTCdBCgkQID4YkFVF4PWRuRi+HF7w8JHY1vbVYnKgxQl7/dZsNwt7k/TidKjMG
beGPvrigwI3umZ/VeC5yC3xc4NRMztEXgh/IRc46VdfQlgw6+xSDHrPBlfCa8ti7yYQktW5NlIy+
6x9QpCVXvZUUeoOXyAfujbDXPChr9vB2ph3SBVVWvkZUHvbbjJzbW3Pub/Le4ookSfJuh5UJkcs0
enWXhjr5Fk2GBF3ZajUeDBrK00o6yV08BeET6hoSm+XMP5YgmFECNoWj7+dwcu901hj2A2etaHgP
BpJs6M+WuXeKS2XIE6NRFSGXaV2aGvMYEtxEK3FFBhJtJT/WLel3xNED4Bx9yyIFtLLEzTAuric3
wgJDfz44cDQT8x4Xkx1fyjgYpqX11R9qJ+nDu75t7GGr7KI/2ZHnE0FoV/V5aprSeXWJh7RAa/TW
Zxn5cpV7QXqXs1fV64ILvCFU1X0IhcivuhZRwaqdZs1/HVsFasu3y108T/VbnC3NttLynK8ystSB
6S6qeUvXN9LWL3SNvc1ctA599R7nj3ROWGtztF15iEdJVkuqOs6ryMRxuB1SBKEhHQ3YbqZItkJP
t32OxXNF84kcLwJ9SopKT1WMZTOqsn1aTe1fgK5/43B7NmNCKQFR8g/MBC3x2ywCmR1w1m7GSYgh
chctbW0L2UmzClwTi07muxSQScUtamxnZGLcmZR+kPEPUtn1ucQ2c6k9WgBoReLrsBTlFwS92cbS
cPd/Wpj+yR772+72j+/KTk5lA51a/A4ndnr6gFmeDQxOGrSDaWqHGUjYzve502k2YQBzFTAE0miW
Hnv3neR0E8xNbWXBFiERVqU2x0ocdDQt0VrH6hNaX/QZTNJe1+hvDgaHsweSl0DG4N0R7Rq/UHWO
rdLdlHH56aaQOpRX3VS8g4AFippOOPrLTWT5wUegZXqp67n/XiCQaVYW+dJIMUOM66j6BLwhaSB3
jsIKp6Kf3xRuUHmrsLHxppiwAX2ko3HEFwvDaD8U2WiS+JIjqvj3l/G3xNg/LqNL7xJxgsvp0F0G
cT+BoojbY5ARW8MmzRJ5D+Nz/Do07hfcptaB8K3+KE2mNiXqri2dNoYTWQ+4xRy6O+yAZGCOSf8l
FNjRsnzUZz824h1N6GzHUGj8i1v++0yQp9P1HWHhT+C+U5X++lWDsYyxx0ObmDGLPMfcjS2TkXlX
0Snfk6nV7CgxkXLzKlV/dZl+nwv++GwXLxY+Bxck8G+XKQja2C90x9M2SfdYZq1/ECnCo37W9aNv
jDRtCqvfjUTJIK/s+i0WSOKhg2pXVDOAliz4CJG8XjkIa7b4KazTlDnZX0z1LDba3/ZAinxzKW/J
ml8YY79eIQZiU0HrfSCzIWUnYWK5GejcP9QDuqf1rDsGAD6a7NWsByTwZNJtw9Ge142XfQ2iTh1G
zEpfLYdlBxmpcUMHudsKfywObuLrw+TlAwp4S1xETAzV6sej+Leqrv9ufhzf+el1+y/s9137Ur59
/FxOLX//j2oq+A/J2N6h7pEAK0xKoP9bToGQYxFAvuBxtqId87NkQwokG6aJjkKicUDm8efBDGD8
UkzxhlCL2Rhf3b9TT/16LpMOehD27mVRcPAKeYtX6OdlIcNs2oY1ICcX1VV2mEQ6PzmZDE5lS/8v
Yzj1V/nx/+UT8btbgqMmnEWTS/PbSdAsjLrvqg4tP645EAX0wVazUmQnsdG19Q5T2Hz56W78kz3k
R77Enyckfi/OaP7ieILxzf+832rGivTmil0Eeo/LTr1KR80AEjcCzZ2Zgolmdb10ddww3eZJHn2F
C2k4Kx05n5Pd5q8K6W61jmx7eg56W/m7f//1fl1zlm8XcGxjH5akA1DSLm/7T0uzXQ1u2Ec2o8CK
JWVhzLp6E86di6uD1Fh6uqi9SklF+hcLrVh+71+uC2ohniHhWItix3N5an/+5GRwvTTmwAb+h9HY
mnAie49dmn2yruLBPCYVGwBiYquFpEQX6dwkxHszUoOmSRZlA1UKgG6S30uR9cYf68S/PNf+kAv9
9u0kGH9A24vGBwHTr9/OmRgaKRc0QR1WEzUxMQZ3rdPhrWgzQvda4KbewaDXDUvVbTU1jBdXnxVb
i7nGgN99R9OeXIqhzIzruEvAS2GjDP4q7h1xE4ebny6jZ9E5tCDLeOwZNFHol/z6RWF2ckSQXIxU
hvKYRHit+G3Sc5bl5sEz2/cqZ9iOL699iiPlvDZlyo7v5F5/i4U/v9JpJL+5fUyYpijH7mJM9KhT
nWewh31qzWMzRvKrjRODMj/Bm7vpGMS/DC0w/HWqxnyNjgEvENJ0Un4m3+jnO6WDfLo4WNJfUSCC
ZCUCdADJUA9tmd3NqVVGiI8r276kQTFbW7vtfziSqoUeiwOqwsTRR6SHQIoQc3oXI0KY9hi10QeE
Ec31Tc/iFkHqImStf/BaWQtu1OS/esaATKlNGqM7DrnBZon/odz3Y02vO+yZiNM0xM27hrlfrY0Z
e/qxHerOutVjGerj7HoeMMEKwQqMZUkMquuNBs2KXk0vkRdjLJlL4sDBogknuSIJYFYre86yLQsO
/49zjR5gNZojZLiwLqxL22EdyftMFusU6MQ13genvYb1WqHCNif+NAAdR+iPXQQvEQcDrLMt7fBN
X81hs2+CqcdGPVv46IsxSae9Zsb3GpHbQiivNfMXI1ng9cqZfq6kioBDhKj1d/1cxvnj2PXd2e8U
8laVxbTMB07SKRipJn8SntP5myAK/Pdcz7juJLbsdSEGIkWLYPZeUT0zjPNqFB7EBebTHa131uk5
NOXZGJnFrHIjtiSOnY4lrWYE+Oa3cZbt0oBoHz/y4XfpGkF1EY22s2WO7GP3Cub1PBDZsEVqPRwX
BzvPoDWYkPOmEutDOsSX2bf996RSir5+wtFo7kp31RVCXGRg9SQ0pmjACSWFMP44OAuFucUUFOyK
GLJgFJTNnWQWjXTI6stng5VlPIR27D7U6JOnozTo6lBuR+pCHAgnQs7hGcT3NkgkbamxOjayrvdU
oeIEKfqlwCoHisKospeZDCfrrXZx74GaSd81MVHNkqvLUtXaehJbVPPNlrnAcNazy+i2n99Fjnah
GfpubyfW+CYrK70229R89HqT7hKty5LvgEj90KsWPmQoC1xGQ/cMVMHe2H0YQXAjsIv+HXpDjA87
2Y/8/uhsNDfej7bkmTQLpqEadwBFgC+W0uHZdepe7JAyh7Ts/ZR1XHXibWZ8lqx6bFfPooyZN4kM
wjZYurQ9tFIOAyRp298REPHh9vi9EWEEn43RMCTo+XnGPVjfHquaFg1Edy85iXYy1jrzvY1TMjKQ
c1c/pA7D8lVDxu9zVpkca1umPVs4Fx7LDLfbwiBDJtHWjIIl6LRj/ZoVcydPD/KBOagEh67L23ay
prXbwDDBkuAdG9z+V1Xl4iBD8VCda0I/csTOrj2uaRKm/Q6CgGx3+eDUO71YPSs/aK8bb5q3g6hp
oZRVGJ+Uo0FL+9WQfTKZhXQU2rQZdWyMAfHMRnY3tZEf7CeG9RvUlfO9mQFzE6nvnFEcESOadkZ8
rXtjCM45lCysCrnAuIqfaM0Mvd3WCp41/EF2LtOcb7PA8NjVmJAhgvF4WEM3sq8tRr+7bmiiOyBX
yT7NMmwqRth321H21iVDowEtAkeKh5IKb1cln5qgRsqekEa78AGQKgQtk3nUD1a1G5qUQ2kcLS4V
kpFPemj03mxy2V9VUe4cbSJ59ylUAQJHjbFbx+jlHtj581fmnPZ1KtpxVxScBC+kZKoYwLuPOrsB
0X1f4KZuD8Y8DBcN+McEwxi6ZzkGPljVvoy3I668O6Oc0pU0FQHxvgmYLoo7PLRDN39H2ONgY64c
dzcH3rL7kJ3qX7KhKoxLwZNeHxMVzMGBDdkIjyOvQrGhwUbGHU8s73bm3HQeQCAYMyBmLFPhQ8SY
ZWXpsDE62Z2mXN6NvjoyhnjEsGRdZaPWO2X0eyuz9o0n3op8vq/N4KMT9T3Up60LsUNH0W07q50z
J3eI3J2jbLvmFlC7iJHV+lj5BjQrMhYPee1e98JMGDiPKznlCn1Jwz9lNh5ar0Q6gFB2K3ibv4Qq
mHaNJd1dWQfpYdQd7G/66Ed2OnDaUZJ+hDVOF8eIGgLnBm+buap/HZ1mOo98hMfuU7nb1uc6Auxu
ntDEh+amN41DrHHS7szWx4HIAK9MTq1k0obmP6jPQyqQDbYm/CPCtwbcttnwkjbzTkxod6/dIsOV
KYwYMC1KkbxbcUHD6MWQE05hP/SNhzqJoh3rcxwdydAEQpXbRS4P9AZM6JE+9qZtACvrsTJZVK20
FlzhDFLo3AzhfdnYZHpENjIAHsJ6zTAmjE5F2VnUuj2o4iacdyTaI9eg1FDroJ1Ik7ATNd1kKg2Y
BgeDaq9sTWxhMpozkEbbXKKRmhFvLV6KEc1IK28aBp8IR2wHa0aFbyhe68nT5srs5/k+DbnmLIPS
JnIgRi4FcikOthbpA+hsQcmv0jyyxh2SXJdgCNFcpdqERlwaPkf6dqTpkuqivoO2InepbehyO3ZR
/k5Mo71cI8zJrbD8jV1ricapStJHj9qeSY8qOmetbWYce18ZzsUDubHO0yD7rEVkfGmGOhlohCbl
EaJFFGFbz9p15nkYgsDFfZlc2/8aW04xnJoqqEv03YlTHfFQoENrRq32NCebg1OO5WZCWrSB/9Te
VgUwnQO7SX7rE//3jcFwfe+ksj0tXLcLdv/yGpX180hE8MnLHOsaClP0ZGlFtnJs9eK75Bh4piMS
kNCRi8+0sz2UO223xfY3vHFl5bdehOaZG8cTw68Hr5L+twHsOZfts9tUgoTKaba32hhQPJTt62RV
E/4OkS7YhPoApqal5VoX2IRoqTvbHNCQOgxRLr7XGZg2orCCE1IGr6ZLzffMlF2CpHZwvLQIQpj+
gL3U9jSdXEBT+6FR2UbV1bgNVZ08px6V31y7/sksokYgOpy4k0Ng651jyIHiSmSEYbr2Ga//eCpC
PLakqvKHqbxXbQ5ArWpetyEcjqGdRnvHn0leZe1SN5WwzyALq/shl2pe68gesZ1NIIeN2r/DTyQe
AYaVZxhAzY32an2n0V31HJnKYJepqsSMD9iAhuDRAHH6naMpIO5ATZeAXWNPe8UIt17hzLexXWKA
rVOFFIaYVnY02byXlhNeFVgYz21rdF/IYxSHVDvNqQj6+Jr2U3TXmNk5SrtbfD7lVa1pUW04AJwi
zziW2OS+upCoXphFVl8Gip19nrsXEwsBRRzaurjq9o5hQiDwxvyqHSQQ74XPFYPq2IlGDNezUXg4
fayUDY0MkCov8Be3Qc9szeDA2BT1o604o1e+ne91qeu1tcR4Jkkm9vBvrry8Ftsg6oebIPMAgbtF
DDUHw3jf+P5K2FN3a2cZkD7Ad6y1Sp91V/enelRgmAyQG60sjTOdwxkNC7eb+94wkwNMhVC7dawn
HTX53rfr+awY523KQb4iOSuoQ4Zmq/DTbguibfbwuT4ap62CHUpCuO6hE54bAy16HHe0lmNt3RrQ
0h5F3JXXi6JjYodKvO0U21TT2gDcMCyBkV7cn/FHYbA2tD5gk5Wb2hj0uXDK7pFgzM+A2Nv3QgW0
Z4E3VavYwiHnJXTdk0GFe+g5+T43e5hNZHMsQIfqqoiLd40beUftXZ4dhC8szAgmgADa3zMbHDCC
84h1p+tuvAmsHIYFLMdkda9jO4U8VFJ5hDMn9dFNucVJtu+cbL6gTbMePSdOD1MzlrtcNUiZMYkH
1wPNdyz6JMJ0KVAN06bharLuvgVUhh9ei/14GAX7TBiSo9yFxrXju9led47/JXBCzk59j03eIAlp
Sw7Qkz8z80KlV+BaJrhyDKz2WVS44/owPfVV4MNkI9/kOAsiypHILgjSQEVXRjvKpSo2t0kzzVdh
7Yqd6qMH7sm0im0E9pgqu90QqCefARrCmSk/Ttq86xwxb22DTVpUpd7lBcEfOim3dtIX0IAxm+Os
qPSG2QPLC+qaHfYzlqOMYwxMBvORCZR9MCiljosNgANdab/lDB92xaDu7b6WiMrHIH42E+OOaPh5
Z1j+h2tK68TdFlufreUYYGIM6kFvMb7e6HxSZ9YCjm7KKB6o1+ZD5vSwmy2LvRSaqTVIrVEUOz6T
7sAbtkGTk1rDYBwvH9t7xOt9oPUV7iiOvxXES+0DN7CfC3BJ140mAE5iw8GoNw87TIGsI1nwij3/
wRprAWCFZGBmdxANRA4h2NIHgxdoVSrHvpoyP30HZKaeVeFzCaZomo7Qk8CnzOUd6UjwPJWXgUbX
dY1VwwPS4BYmRY2Mw4NEQ4oubt51KLc4jMlBIx+Oim0z1vka67s7HH2Egnhnh4Hsh6wfuYXNHFcr
x+PU5DQcEYCcUHyYefka9tVzPk3+e6PBNfKDxa3XDbg+wmaQ105UA0qM0bV/jSC6ndyxGm8MkHgv
mSHaOyXqqVuFSjcHU8oXpzbdfu36LWxp13VecjzXdwC20hMyL+e6tUr7zukKZ21WHC8wMpkXDpTy
FPpZua/LoT7ZAqUslItYHMsW/7BR+uq6T9rpUsVANZok4F+xTK6GgTEj6AKD1oajvrfMpV4L1Rcb
JphDu5elIiQo6zJ9CEiNAjZCx+soXa/jD04CnQ0UsaGs+1J7s/keGuQwB4Ov322e8L2S/rRrvQpf
J0Ob/FyEZbeWxlDvJ2hcJQmGGUo/mqmi3wAQRjpqTFPSgPgs7C+eZSsa7JWk6ETm+VzNuUjWHhq2
j9HoiMIawqa5kE6UPtkznwTddxwu+Cf1aWo9GqFZ1r6hog0OmRAoyCpVnaJSvhtJXp4cDc7PIIPk
kbL9ISdP/qpJOdGuXHu+KEJInhHdx1tm08MBg1/8mjl+9lHXIDhjy6XMavt9lZvdaSzm4KpvgXfi
7WeWMTb+xfTacpvy0ByC1DQ3KCnR+tfpuC6H3tpXOjLuLVVeJl3HG0cOl4Hp7FuOYwfFXKWus1F9
EyZEGjYsswe9Mxn1K8bA0dyzIrVI96qo33BKIhABMWd4KAaj/jq1wAqBBxvniExK5LtwQ1aDGV3D
0kWOlhvMIZM0dU82E3tQn0VBI4cq1tkBz+N5X5Lt1oHt+IcewEN4X5NIlR1GO0CMOrfTtK8t7X54
yp23DT7B6zqqHgqb7M23uJ+cEQWsJUtxiQpv1HR1uvJ2zBZbEVpBAD0TooCTGFrcud4wW/62ZWFx
tpHIpvipofukkB7X5qsIalfvQsLwvgcUXtlubJtgH/aDwVPozdYZ17FzGTOYViuE5fTOtOMQ+rWK
auYuEKEwAycHu/UilKkj0LV1oRFDwrIZMW5Ybab9QwDPuT+WMw2Xq9qKaKVh1Bot1EaSwLtWCGOT
9j6nLAHwcM/OB8eiUsFwx3JaZnCeQG2tusxN0tXy0MqvKuYodBNn4B4/6cBldcv3wAnD+RW/SUzs
Ru4M4c4uKLmxlLS1uHXcHPNFgcyc1ECqlvdR2MWjxYEgkPj97+GqTOHZc1T+1Bdt/sTpieCR0Cwc
pD2ZO+yT0pfzjYm5J9mDTIq3UirnBhkFOOMytWS8aaY4Kbbkrc7XUaWnDtIKBxs6F2F3R8RbWJ48
a0AFXZVWQtBDWVyVeW1oBOnxUm5W+VTuSz+G9G6M0SWWIZwjloQs5dFKppqw0Tr/RJoQIRMGfSa/
iAA/yB50KWt6LKw830bWktltAbhstp1SCjS14djVjTAnEFgZ1hja8DQms4ONUIoUc8vi75fzzH3t
ioD5ydw10904j7zebuQ6mNcSq7dup67jr6OmiElooJX3GILj54bhQVnSvDoopdnc4yYlyIfANi9s
aePh5aaYKDEhrkZDuCZyqaU7klrGdO2mnTevI+ENzww8mORlcS7v3YpQmzyURrO2cbS07Bu8Vg+y
tP1rqvL4OooYQKztAaTrpkoYPa3xpEtznVB9Eh8WZSpbI6yB4yoIAMPmo1K66GNQENk4C0A9m3zq
k3oN6pM8uipR3mW2Ewdupx8mcGvGxKapUdvqLkIJzJUpIfAUYLJw9ZFw2rGseC4dJyaXjyleA6rk
2UVf4I6aDWR0ksk9YlGHHgLtjDVjqur32GlFATd96r6BhYnvOhDa7/jshycM+AE9cPT+pCdC3rYq
D/WrnKdwBb5yUvvBDqVzILdPdMc4dyf/iISZPm3cOqieRyW7K4DKGHUoq+4sy4YFA3c9f7Kp35+1
Nc03TOkBA9X4QGw21Ep+kaY283UbTB578xB7L3OjyOahU84uDTAET2ftjXgB+jKkoC86L/kcg5GW
vYjxBRw65VDy038uix1tmC64ithv94FsSSxIcORPO765/TKOASgeG5UPT7yWeAgnj6cPTJ46oU9J
vlpkxT36CGBuBIDMPX0GHhkTcJ+/6akfo0Pfg3Y5o8cw1bpC4eFvKjsq8k3iFLzK6VzY1h4gLoWV
gQr0TjZeYZ91XoKH6hFhEAVlJVAYjbHx2LjDaAo3Ht14sC+iCGCjdLTqfW2wsPVZl69z3cvTkPSE
IZouVeKWsxoPN2hfp924cjC/J3IpO0nxVQ9OH5c2Oq2BtwLBO7ArH579UcMvxv+Ye5QUOuRSVlA1
eFp6Mpi72IXjF4RTWxzmtshuOr8PrFvg/6ZFQ0JQWtUECsIP8Rx+hZa3cly7tcEx0PrxvEOzij+m
LLXcrcMxD1AXzMxNPTLl9DtREREytNX3DmlLt2qUC8wh7Pr8gX6u/wIKPPuuIaVPe8yZ+ZNF0Vnz
smb20wxigY5jibeniOAx012cxluf1y/lSOBNz0Jnndp0Ac2Vo5kopGhZZ/ANvcLKcHlUOSlEKbGc
xcqyI/PGaUv5CtOIdJa+4QUdop5bh9zMjPeeklBEk5Gym08MCmOzAHTpdGu73uFjpnpNIUFfMcPU
9SZwHOfGwaYWrYfcNPeqbxfVemi4W0QFkb1JyA2IeeJF2B9Ny8LjWIrKnvamnHN2DEQgBIuUo5Nv
K5Xrbl2Mtaq2Ob8OPHEsNt52KKzmFngiax6b8LChz0GCEgecorwaUqWuUNv4nBO93pu/uk5RvWms
e92GbdzSZyi0MAchJ0eUp4WymrXuZq02rV81X1TvYYVpioo5B/ZDf7z/McXShSiArc3YF8jpi8Vr
1angZgRwqHfdZBF1ZLJHMrUN6ughg0ZqHZbFc+vysoGNjofgidxxjxCjzO/vg4S+ydEHyViRPRt9
dIGVrO0qoqarEoBB8Ui7CGyr3z9JGc6EaA6tPa+qjNTJddWw1eFIcxTkG6DWu7org700fJr8PV3+
8jB2FjtD7OYRBLeyvAqFVYbnzMfx/T54Xazv0qBvohtspLy8spgIwjYBcvAG0iixzl3mpfOhGntG
iZyfbUiHAaTJTdMa+DW7tmg/kTWSNAPSK3uq7cbUZ4XNO/wGNG9ugpVFAgVWBtH2L1ADsvkJIDrV
gS+U529lNgL58+lRNA8O7r+F95tta9GjpHQrP4YwpWAWAYyi77NIIMES130SH9GR40AaAQFkIJyW
qMhXZ46TGfq3agsgRWmXdpeiSawvM3kX3rZrAnvamVUXyTUW70HeDoZBuGoZYbcdzXNG6sP94uzZ
tbQGn708m9+ixAyv5UzEkxnC2W2TaH4GqZ1QYXfdPRz96lBrxHwycpnm9GghM8ql28ZKCF2qhUmA
VDh7VxRzfJJVm8OGqaz3ANyhf8sKL+LxCRJvb8Zxc8ccO/9AVTl+djMQf94qHaLMHJv7JIWyf1ZD
4Z/dGkXUxshw0a0NtPSAS0P97JlTcuhSCFMW8R4bMkS975MThN860wPtT+m78XoeBQ+6/Aauufwo
kgK+VmB71vWo0/7ogbm/jZHOeocY7YJ1UqEGk5xXNeD3Ku0PC+DswLGqxRQ9p9VrjS6KBXxQxrTT
JvZj4Orxiz076cHIJzoAvgIDbDvTSaLeWLvCCE46LpgcTpl3EwdwoVzd9/56KuaQ9PJJ4sVBuSn2
RR7PD3FiuKTDdyW60KilweXj3TzkdAhfLDDnSLCD7JY3qDY2YIIpKr2YuExlBzh9kCkJht5jetUT
U4jknjZKw1g6KQOIh6rdjQGc/S1Ih/h2pt8arZK6Y7QqYekj0MSrubKasHiYZR5/MstmsRMjJ7a4
MM10TUu5RllekIYQj3GPucXJnC11bXlSfW13ZDWhrW/yoeK2CmCWYxISSbXwFX1/+ObOIt/A/m+v
rHmOjqLKGY6J8BnsVsneI0O4+h6QALkl76J91kp8+omT3tTD+MVbXL0GlsotNPvmivmpvp3qOJvW
htMm91WvAGS1Phxjup7pug07eeoJXqV3bgyPsXb8F4iG1ZVAYnFHM5UHf1ZNuTMlsXOTbHg2ggiR
Kr6zBJV7lQcR9ZUVHnNQvfY6HA2189zaraBFmE38WtidcWLwtvbHFtyzkS6k5llhezX4wI3jq9Rd
KU7HC+32wZx8fFoY61AUmz4pckwSDxbXjGk1B/07Z9BarWqpqus5rIMjB+T8iYlDAYYDgMJklDFz
+tAHp+uoIDinAB6+T8nILqZ0XIEi8L2bZE71t6BurC321GGV0qB/LoUB4jzs2VKTqqVhYWf44XaD
opG1aov8DPAsu9EliN1dZFrtRhn1p+FZ4ENL4H6bRSK0/l+xEppbTczajMsNjazTY9EkzZrc3KSl
ZkNWeUqJKT52Fnk4ua/K7d/R5iDtAJmBxNhDkQDaBrPMr9KOlvWSrOSYNTfFvb4CsyPPcziMINot
5m1m4d3C3KKy/Pcf+6tI6sfHSvQkSL/w7rie/O1jMVxOctbYDom18PxVkWsn3OT0vFlSC5/DAWHf
/l98pjAXuc+fghs+dbHK+NYCFlpIQb+jXzBgBn2RM33uRwjKq3HBXR0JHyaaBQVR3xKKpwbyjHqG
uGCBj4gh/PTA0J8TH/lhc7+NtWu+6rwLRg5Qicnh1eum+lkC3CBGz6BjTmhbkFbylXEzNXQtnfSz
QJ2+ZLJhRsIHW1If6FT0b15QMQIaMB0IduagLA4yr8pLSlvDWGOstm9GUQ9ffE65hFmSdGFfqtbF
ZW6ZQ90T7FiMwxY2o9bbTIXEhYheMp7DEima10CTybNxjRrWPHHfNIodjEuPOK6ZoDZpbxzNUGcG
UyXV1GvPHeejxJt7P9lpzqvFWeFVET1zAe3g04OltNrZBsUlAcaO7WzSyMDXT/8PCiYSPhOTfoxX
9+gnJnneuiv10c1NzmyTlHQ/EPnUJ5G5DXMTztfPZZ8sTBFZGR9F6ROxUU6T5+2ZWCXf3Ly05J7M
cL/fOqHQbzlRTebaaKehAaqBVHub4sMh7zKe3U1f04nmoAmCc0H9ZcbaTO2hOeZFX2ecZiDsrwKv
bc8Qz9hm/Fml5Ir6AAZXYJyRdNekBXAeMxJAhEWHYA7Wv11ssbAOI82GOKctILKA5RvZjFxpgJIn
spTNYNdMmkBaILbT/sfL8bcEpI8V+obify8/81YB8kyiuP9Brvrz3/7fXIL/ncLToJyiz/zXtp6b
il35f1y/vH28V+WveHiCipef/UOTagEEs0Eo4O/zPNykLoK2Pyw+lvkfDsvcokaEF7agwf7TLOgA
j1/8Nh6VCO8CWIb/9Ao65n/4/Ed0rBbjwwVQ9TcgYuS3/bYMYagn3w0Jt0Nem4uz7tc119T41mnV
LQc6FoWDqWPBkNj6SOqbONJf04iuTdrp9Sz976KrvxKScoSR474QF06iY9y+k6v1f9g7kyW5jS3b
/kvNIQMcjQODN4lANBnZJ7PlBEYmM9E3DsDRff1b4NWrIlO6ZKlmZfZmMkkkIhCAu59z9l672QxQ
Mx1gTKAmPbc+2iXbn4uRRwdgTgyxLxmR+REa57kLbRe5kiOfESc51/juk3e3gs7ZtuosZ2hD32pv
Tt1VXbwjAsVnV3RgiMwg/dT3sr5ekpOZn3VzXpLeBFhqU2ZUdgs+eYQmgTPnd7Vqd0lHuKBfHmoP
vDUxJIG1YgymWuxn31gumZ8El4iWSPrBdIsTBt9gXz0UdfuoyuUSHMylNSbxYZkJaqxIxvTw1rET
bnRdMfvFixdOtLevIRuJSxkjPKlyGD4DS2N0BjjpAaFJwGBKbEHTvNo9NzBqW4tUESj8Xa3egiCW
6IAWiA6cK6y+IYFEX5Sy/pakYO99chpdBlOY+p7kYO5QPVr3CtrKXsc+4VMgWWzLIPdDIxgrW2NP
3/QJbw5D2+Ve5c2bjbjnwiiqezCLL0spT5Q98d7OxDfU7Ns16yqcZuO2SqPzumIDQQHEuIau+Xbl
i1zFKetqH1UwTJuUeuQN+1bYNe+12e7TXnZvpWWYoYooWejFXS78Yasok3tsm97Gpk+0k9oVG+xC
oTuJ6pssAe54YybvElHcJ+1dQRXB/AxcI6vv9An4AHzDoLunvf+lL2jTgyCaakAYGXPCsLR6tD8Z
3jG7XlaCK7AcI22vulb019JZHIjf/XBIS7AdzKAbPip8R6HjY9IWVP9ZvoOKKamKDODMEgs/cDfr
MI00NicEuxsvkGTimoYPEAkog6k0vfAx+cz8Bx63QR+7GeWNa8Swdwf/3PANf7fCjGK+8M4SCypO
e9VB+mSOljWno7opv9KtOsNL1R1p/R4jeOhyXq61j9jZEiCwUIOj8oqOYxZD6Z5oDKZet567Gb80
TNZE/bWWKAgdxJwoAit/O5RtxNcaIu9F+N0LbBnw+jKIM4zscasPERnVmIWyrnsa0bJsIgsKZ4cw
L7IPPOZhawIPd2R2D3xv5v0o1NdsRG4oazavGG/+i5EYVBo1iGFlfLJIPYDlbWj0wAFzrrDBAbc1
jPLGra+LJHrB5bqJgubkV3voAppsiSBJGN+UZ3jlRdgBnb9ilHbbFUCAI1i510juHJN3ieiSsxlk
lxm0JSfU+s1AAgoJwph3smu2th18jiW6K95ci8MrI/YXd0hZpOhZr0O5duuZFCV4tMO8p6OROdN8
9OTcHLEzjjd26cpDPUHbBwpbHOwBRROsDx1AA0+SYzVRepmtfAc/exkQbnOVZ8sXd46o2xp3hWVf
+TndjbLgryZEMHSw1U2kL0fDRRoL+2hmJqOcsrTuNJ5kEOcG/djayS86Dj8bZLTlNphIeYnts9rB
DzyM+lWRXaAdIwcQ4B4gEdDRFvw+oHp8/ql5nUVik31AbVGYb0ObnnSS3CR8jGM+k38spi/IICqU
lgUMi8G85iwdIh87jygaevBCQYB0q255ZWLEFYyLD0hkPqNrIHZZLBOCA0DwwGJ4VgDNIAyy863T
jU9+tlxkI2pKvYC6Rxd7miL1DLflYCJV3VJu3A35zM+aG0evylCfoOk6r2qEP95EcVh07rbIjQsf
VlDHVCc0AkhrZm6c0Cx/nsvyHPRWekWvKttJtxx3aT+/WClCi366iAtjIFJkeg1ic5M79T4mWpBp
8qWRIGtwC0RPbe0e4767QVFAY7ZjoadSvCcLYjOqZdt4n2PA4hvwVO7lGqa8GM9TgqI7mZajQsmQ
mN0XX/mHXg33aGMYD01PRk2krqmml1kPl6QzAiNDVZlCm10SI7iMGThfFU5lnAy/DyFnTJtpqKqw
B0m2c5n2vNaDRS0/EjvUlph/GSdsITrdyq6bQ2mtKcTWuzXY/XmkKhHWUrx202RvvPhxjOfs0iYE
5HOq8hL5pvdUUZkwzYtuvOEeU6hz0qJQmNZm0nMbumlLofobf0w+OWCK9yYNtHAO4upsCiS/ItUS
valgVzlshZ6HnA9ZdD19RQeJ/SwuX2QwqY2ULwxmhoODC2EPhafvTaDwghGgYaZXqdXcWEZ3ntbe
e9woMrc9VJZV4JzSjOeZZsIagTI4qI2G1yadgf2C8t0aZvIQSyLJlOe9zh0lS+DOzifTnNRtjERk
oy3EZRur9+OzvFdOaEeN8QCXr9tpStZd3TRumLl0Cdv1SQucpHm0LKe/JDJM37imMWzgZqkrj6SE
O0Bo4Hxg0p3VQ2feAslM3iPRFxe9N1c3qoiq5Dwx4u4QABl+ppELscfTi3Nhdd2CTnpOnhpYo2eB
wp+slsX+GnRRdFGwjXCk4KjezRNPK8lpVksrQ8pKP8V+TIaVMpyTsoOIAaenT3TpzN3k5vmdPyD6
iCuTAs2s4EVTFRd3+RLRryd34VRQMyL8p3hGV3+kZd/sg9Tk2A+9unsnPiuA+pZVW8eP8i+ek02h
ErQznLLsrul4ivMFv6sRRP23nMKBNaZU9wEclZCFgmV3ak+ZRxcXe8N4CyQv2Y0Eh76CHF/xZNgy
zlAcSEaWCjygi2/60iSy8txmLrZzXGViUC6SU8xbzbretv2NW6bq0uw8yk3iUFz9hSn9ljRdNqcK
rADj/OS6FIm+njLfzXc4JVQaum3b3gJeMk4ImWhMaqola0nIqsk8Z7wKsgaxeE5sULCk8cmAJRRs
spQAsRq4FK3/1K2ZYKTec49K4zrJ1Zc+CIaQKcf4laJ/TTIV9YEsWpeAmMoeM/x1FIYeDsWTkBGd
Q6bk+37M3Re8dSWcS1sg4U+N5RADujqXiemhgb6KZH4e+d3ejuAisDh3XwZa/Qfdl6/FTD03e+GY
e+dyJgKD+KGzqh/6h5RUloJb7Prj54wuigFbfuMV45lox+xa65JmVB87HMkaFiW0tNzYfhOV5iES
hQj71iRAQqIDTMSp6UdgDG1+4XdZKKe+vpV1rc8Jw9s5RXen7X5rYzPZ+R3PbcEuscD5PlAffvMm
Cx4MLsEH2FyPXQSUzs5toO1ERex0mRyRD8b7ug7O6xj6jWpEfY3X5LIu/SNF/oPCV0bePUifaRx3
+eDdBsn5KHgJl8jAZ46ws6sqJiKMfjYl/fXSn24U/HazvbTqnHPoiJE85UVOjYKYRPR6D65hYt1A
cypmYo414nS5b4omJTwjvRtRP29GL5728WieyjR6XLCdhLLBtJQxOyKjAtL3oOvgdop1ufNEdHBy
c+e7yaPttepCEn6xaZhZA8es5meKimc26fPMa6ZQ9+5R+O8K2+01gt74bCKyYgfxL/uCmMWDrs0u
kY5d2ALDoeH/ikhyOengfsrji3o09qWNOT6YsGX2hgnP0d0leiL6pQxwutgZopYn8EIJs1ofTXQQ
UtfdMKIE/0tJU9bqGvLciUEL7hEVpW/B6BDmHGQkcaybS/9oJcq4sP38snJTRPhrmHIWX7roGTuf
+DUickzoHrOznOxFr2pPZqmiyD8FLkOioD/NiipDkqpTWcGpsGb2RxPNwPBWaMQQ4zR9zluVHhxz
IcrR2HAaa7ajz2Ok+6DatdhR9nlJps3kImeBNVWxdxmxtwFl1e8aPKhp105sDPwVGHE493sWM3vv
qiu4PNLMbsEqQsPr0gz6few66VOeZvZFC0/0TzPXP2ot/G/zpmKU/lVT4PSloiUwv/1EFP/+Z/7V
DDDkH4GgfEf5y+ghwJJMzf+vboAR/IFj3IK4ASrAxsO6Zqb/yQ6S1h8oD/iDeFthYn+HgXS17pP/
8x+SdgDmTlyrcMr/WS/g51aA69CGcBDK0AtwTQAj5gezaIoarVOGsYRICQiB7JAknWUD1qpu1WIk
RURzNB5SpMit0eorFbs6PTcXMyRqM87igmylFHNRHNkSYi3KXvCbCMWJs3ISWgF0R9InrI9esa1T
OX4urCSVe4KmJzaOzEx5GC2TLNEM5CNvpkvtoWsae41o7BsPSdM7lsgFE5C1SrPhArAbyvSwCAsS
ABTt6ku29PhLTRxVn3p3Dns5wwYhbcV8GB26FIchJcdzNMylDamPmWQuSrA/VQzgdmXbYZQBz/sq
xuXMR8ZGmSym+NRMDng/oEYoISxSgsIkVurQIeTfu8K0igM0x0/SlyTQZCTv3sdIVhDyRtVnGq0l
LDTSPg6cK60vorWCGXUPeaezgsmG+Kv/XPlDc6xHR21gG/5JZvpHb9h/rzP3v+09lNg+/31vbocn
7ENPbv0DfzbkfNIXTSykYGp4yPnR/t8rKKw/JJ14etwmzB2qr/9qyLnBHx4/OowC3jOGFPK/POKu
/MPFas5/EvTSfBM+/j/oyH2wT0tmAQLSANd3BdNDGXzwty6iwfCXZhbqblOcy6V7ppfRHQxrcS8A
IwQnnHHVeWAHwcG3CnmwCWHKebkK1WwYiwahi5XhxJkge/jhFv6NsfvDmGT9YADpaFTioAZl4n/4
YDLKjAyuKG2fqVHnVY/EfoOagQ+atxH6TaS2v77ghwkJF1wnIyx8jP0o2z8CvxxzhFiKWZSjQ6Q5
jvjtqQXF+fjrq/Cb/jiHYZ1zBXed8aMvhYQg+HMDFAkefM2mJZcNPdLFFC02FbhKyao2bPFQCRHj
EFHippnHP5FY/950/fOKyzpueqzdjJtBxa3flL3lR0s4kdFqqCUOC3vxYI+XdXHqZiz6qOnZqdvC
rg5l7417YnTJeel8CnvOhQiKaKJcFRLTOpnO/suvb8gHK/i/PhWdE0xDIGA853um6A8WedlwSrej
mISpyTb2Lj/NEao7jYnKwLfZEHB0l03jdap0d97M5NMms5UwOh/MJ8TAPIBWcGvokty01qbx95un
4jsv54fB2febFni2T0aDsC3xkafjQ9tE71qBO8fJS5xlYIdm5rRfplpPRznn1pNTro0xD0P9wYK3
ivfKTWiOeRgou7j/Dd/n42vBb+gyNlxzMejhA1v4+Tf0Fg/2ByqenZv5vIhZUupd0yb+TjYm7HM3
mK9/8/v8zVPjyhU/B5QLlMTH90Kg+czSRKVo6utiv0xaCmgGrfmpBSe1TdDrwH0dx3dmqIhNsg69
PvmtO+TEkPzJDn0wR7bcX3+on7EK358ZHmVIk2IFB9kfkw9QXrpKFB66EYz7ty2b+q41gdU4cTQd
qxT/pWzRs/36oh8XCJtTCi8tJAeIiijgP7y6Qje2DqI0Q+kAz8e3sUshaah/c7//5ipIuIAiAGmD
2/CX8bBntEGaQ9gDEcUN9frM2xbaLu9+/WX+cgc5JrLCAg2SAfAS98Ppq0pZJnKU2IS9z8VlLRLn
rPKiQsOs76PDosFGZUbp3fz6quv06eflj8uy3/HVgFNw7vww/O6dKqAbkDphXS5GdDQS13h36J5U
+3omRrccLbirs124KNaNdiZHqqqRu7TLKMat7xtAcQ32xmFjMbr8lENNSA41BKetPzNR3nauGJNN
68zNXSsrSSfKWaa7LHPjCx4lm3l+Zt1yVCTRvenB0G3UHHUX8WIDfsvwkNB4L1EokSpZTwhNLXHo
zEzUV9xGFxzCkEy7HhP2XkFGwtGIGS/bAMPWNH8Sq39Eqe9dmUY5VvshEfWJ5ySjlyIDogOBBOP5
zNMckarQEg2inxboxy0VC5zjuhnOCjF4KPKHKj4iCin8g20hEt3my1B87l13ieDFzsXjhFIr2vq5
QS/FyhIrhSyGQhNu9Ci/GiJrETSVJkJFZsFdE0SfkIqrR0Yc8IHLturCX/+mf/cksRxB6ODtWFN7
fl6RCsIm4NUKuhMC7WKdFtHBRbK685Qmzw3B1VVS+L/Tbqxb1U+r8vocIaaHPsjfRQXz80VHXLMa
jL8blnbr7RZRBjtVNQ3EZEgG//j7cSbgYiB5LPA2Hx7ZNfGEo1PApXgrzq25NfcRUUHbxm6cE8/5
vMcwX2z/+UUxhKxVmBd4eBV//n5FHA8UKrkXYqbuL3NIclEiCzrwOERNyfnEo9+z+/U1/+aeehbr
uwAY7VjBRzZX7VClxLPDF2WKuA/4wbdNyrAFRr08/vpSf9nFLFZv6jKuxBU5CP389boM1aiF5T6k
AUiJ4wbtGeGm5HCawXKJFnT6zfU+ItIoYRH4A2JiC3c4V6843h+PPoiPFTwCjI2l13PAKf3gHT1E
wdBsSe91Xopnh3T68WDWrUVFSmLtnZF0+ZMbJKy/Jjl9EviIXx+8MR8Ac2eteUNq5+qdqbr5rMPi
3P/mvfqbn8NngQw4KWIBItb9548cdUGDw74mkpDQmQutaSSqhrLPa7rpf3ApDqU+rCIi5c2PSqhh
GLoANqFEzl7SN0SEdJYZBvg6lubf/BJ/s1rQOFhf21WKhFLh5281JwIR7ZDJsFvc6EIviGgWzmDI
UzpGg2NfZOfIEIbfXPVv7iWOB6QNOJTo1X1XR/1wxiQTM50SA0CAlnm1y7HIb1sB21zHkzj800eb
MsKWjk+rzrL9jwoHBkESWfUAX9AmBipzIHSqBRObA7w3BKVU/AYYtz4GP6+E6MhgfaHsgBMM3PXn
Gxoldl4GXumFtafcfWfM/UXANvubJ+SvLyx/M9NlrsQS7619pB/fH8ggRhM4nQtWcw5QEKT6YJeJ
voJCWW9Bpf5WsOatp6kP34vlAXLa+nvBs/yw7BY5AvRCVKAZvMGwQ5SARHFXljMEewsRZsUEFHtf
2M1Jc+omRaaXJusbwE2HHHPj+012JyPwJLuORDR0T56H6igdsiqcDTCT27Fw1bbuJs4Sg+rtY0A3
556jO2N2nJrFaxrV8yFJ7fGdEI76OtZ9IfZKarbvwk5GsuJHNlhmHy68AZmr9GqCP/aZ1hJnF+wK
5Q1aX7RTldsVLyqbJm/jmLGm4WS2+i2psShthiamHzvaYvxKxgb29YBgtJ66OlPnVGrmK/JgaEH8
9OVDp7UC6WjDb0666CoSE5SSYUDsi8Ssx2cOlKkqtzmOD8IvOgtmqQsA6atbO310CmTB8DpLoxlZ
QYpbHO9XEe27PJ1pD5VJe+WgMkNTa+i1m5YvADONPpXnts6JHAmYl7yJXkERSOg4ffGaXpW7STeC
4b4zPBX5PBOhU4xWfKELe0Iag58Yx0MLS6MjYrbeKAxD62i66p+SQVYNBCWbYg6NTFns81QhTrEg
cOSHdJIu56fJ7uF+GAxy6RoX5SvkQ+OuyYMsC2sV8UFGN+cWauBguAeLmH/DudB9RbSQvHtiGPle
eRrrfZuO8V0xFxH+eTU21y3KwEfObz2yWiZCC9YL1A6brlQk2ijYYjEsJ4NuYgr6YSKQAvwMip+O
ecLQT6syG9aLvChwJOkzTd45Op4VlJEQAjtsbDVXpx5vLL39xQ/uAhtT+IE04/Gc7l1VbUrLIWW5
CQIA20FK+Db+PPwD/IKTteUIih12JgiD2Xhs0Pbnt+V/lI2FgjiLbH2l/brX28Bo5T2yAKNBTp77
K0CkrM9AQCXfRC2CHLSsHZ0t/eihkMyADKfMbdR2ILHpdvAWcc+FsDxNXVs/ksWy3PFcp0zIkmZ4
U3Ub6ENeT3xaUbLJoYCJ1LWHNrf4zZHjr+UApwjEl75PC8F3Pi6WKGEtEGSWADpgugdVIYVmHxaX
2kNizNkDNYw5jqGM8FO3UHZ+vVR/YORRRnKiA9HoW7TnAurbD3Q+FBFqHeOJsKkgBmysclFhW4iF
CT2Z3WWPNEw7yDo6kKVh07XBdeDU8lrwg4e+q8eLxkLS8+sP9detitcZKOR6VOE45n7Y9nuj9DG5
W16ofEoMXMn5jeHj+lBJUPwzduL378/Za/3yaKCl/HjECPLa1o7sEYIIb2S2NczhnNXVBZF1zvns
Td0XEI5VODCMZ06dGjuqkHo7033mdSbtR+qZhcp3qv2v78FfHwuImowtqIHXIYFY94Yftuu08MbO
ymAvm22NeUaPAGxsbF/72m9YHvOKWiyNrG2Kz29r9MP4m8fyr00fyIQ8G5y8KMV9uo8/f4Ala0xc
+SMJ6NEQXzUpSz9dweYM7zSdnsjTe8blA8yyXN5IFGpnxaI7FFBm2n2GSF4+//p+QI35uBvSP0aD
yajEpuvvfyzXYYBNhj3YwFGWQZ+cpFiIblqtA1CcI+hZ5gQN+9BKra/iOKM6wfRa+pArTPsU8zR/
G2ZaqMzFwXxNOUaaLbaQnNdrYVCzUy0nTTDqyITPqKBZ9So8eae4gRqEF1kBPWpi233M4W0dhZeP
gp1YgfMqcSEdxUokIokOdMYGTBIbaiRYLrfj7HpPhMcw3DHn2epCNxd2xGul06tCrLKCQWDR25R+
bhLdVhrea1NNLDd9qcbpzPYKaDLSbceH2lE2oCOjYcDSoI46s/gdnm1Me8yxx7hm/qpKn0Gmm3bl
qwJ/VexKeC3+qYBqwQ7HeNXqpq1kmFM7RLRIce3aTffgLePS763FVteQMhA0RmQ3xaSpzeYS4ltt
7ztJZ2GnxVRax9EXjKt617wsUaNXNwOrCzFOEB0JmkzM4lHpeJUC4YMAAlPR/yK2qqtCZfgO4uoU
V9h2mufSxayLyGaqe/dbVvuVcWCHLMo3gpnN/j5deHEfliBxxRGiOgP6eG4zc0ekudQ4IqLubBkj
dTV1jTdcKJkFDiwg8h1COBm1c5aNvWoPc9Ln6V66Q2vdipx8LQM3kgp165vRZkph1MG7b9C/o6oj
820g5AKTYzbem/Hk+rQzmD/wa8aeIrSzNXo+fmNBxDcjU+xb2+xekygagQjP8avkIcJQB3z6K8df
bExBUM1iUzsQAVzySzmroYt6obzU9LLgbWW4RFMVnfkYw/uN140Drbsyp3GA3SrbpHgpHWh2SX8P
um7dBKa5OPRz7ZP3VJXyvlajRHWJfX/fpNiptrW0sTaYKHnyXW9M2twzUszhwnQ5lH3c11g55tTH
u0SaMPiRqE/GTYXz6ZHzQwckEqMO+SXtitxfePusfVuk5UNv10YJCWl0OegZQ/MGebNOjo3TaGwJ
+Nv0NvVylHYo44v2oIrEvciWFpmvmcZg0gj54zrMBTtEgE6yKuZmMbOod96BWEB8Tf0yDjrkIZya
i6mLzIeEBLF4z1jE+LoKWCW6KOzGYbt0bn5E85c8x+40wh8hsg3UTjCZobQK+3mpZu9F93rG16Aj
z4HexmwBOwLpHJuegCtzrV/xkM8guRSPVDV9Hg36iqENBuN5MSDRgXbkSduA9q0Pqp3WM07sPxu1
MaUbDREFVULgKM2xlRkn0sG4WwOn1GnCpfbmys64jTsT8EJTpMNXy0taoJOyMNHKBMb9MKUSxLuh
YdL1No7glK4N0A+FL3z0huIlz3zveRCBvnetLH8fB2+4bDEyQYftmhllttMtDzgy469FL6UBVgJN
zBbKhEN0QwsLaMN7hsBjrnCi7AplER9HQw59GSU2eYzoB6d6G0WzRPkpJ2IN17nTTjgxaQGADuF6
2LqwkJp2UbFVmEhLBOep/Xkokxy5cK7mk48/ktfCjTNxZhiQf9BBVMilhJ/6iO7ceNyNeZ9P57KQ
zrBfqDFvokmNz1NZeWQhkg75kOvYPXVKESEhimG1pCRLfGkNK7HYyiWWNAUUuAghCJDzamFrVCdM
JbZ7ZGMhJ2WsR1GdxcVkpmeNlspAZVOmV2XVKkIwemrBre0XvrVrvXgpEXZ40W3T1DVaEeRJRGg5
KEWEGLpvtrGO3/04M64HVsmYDn+lh23PjdVbUFCAeI0pNx/H3gh8XF6d0R5woQMtSYnDfjQjYYOn
Xdoq2KJ+naEuQFELRxM7GMZAWKuIpXugb37QT8SWIUJ/t2ci8Y5jrY0nfulWMSaw0fqoZOTA7caF
N+ACJIUXbbMVPGuqhU2jYgTVmZ/RJChKyIRoQzV8OZJPiarXdfEttdCS0v6U+VNvxupWmcwdQkKK
qwtkjQtRANHiuJtOO1O07R1y6ULT6cHOwkIrhw3O5AniqyCWQXCCfo4stXxtE3Acx6Su2EX7wc6r
kB9TX0wOALnQlS6t274m22wXMXYYZYtWi9xnzmm61tZz2faIsLHDezGcpJJsjCxKR2drFEZEQ7hk
lvCvhuH/n73/xxpp/+9n75u34kurux8B7esf+Nfs3RZ/QJ5wTYZ3gmkDFsX/nL3bf9AOxAeDQZzm
vbOi2/9Uv7ge/2kd2cNNoYHDUfw/zTCg2zmXeyuhnWGQS3Pun8zeOb99ONWthHfOl27AlWCXf4dP
/3DOpcaNc0CxLjRQM/bYs/FTboJmmat966bDm7B0/rksU53sU79P7oZIZO8K23O0GdwZEh+NzBwv
Guv7hK0XBWcqcZpt4iRIv0Rux56upFD+RuCaZR1MOAlsgt63Py3aJG8vWSzn3tN+eb9YtQYc1w/D
vEOUvKrayIbCGlkL9Vn3i4bM3cQtQbHLJDKMzo1sdoj/MCAz/USm7age/LZ2SQi9Ar5eoXE3jYKw
blXfT54eX1IcmM9INfN7QiV1dJuSIFdtmqExKfxNbZ8bwGURf04pZgg+DPMWF6P+tUAlI0JrUd4L
+9L6CRiK3hu4N7kJ2pXJwdHLzNpd0BfZzuiZDiiYJ4ivke3dFj1sDm4Tu/ShtCasC652UpSBVmlf
LKZwmiN8lbrb1ZDint2+whhRTKX8yrS3+UTMF6t2S3Kx2EiseK+Btxi3ElwB2nCrL57qLiMD3Omi
Fo8wZ5xPCCiCdy+23Cu3BbQTajqF+DZg1ZIG37VWvIuc0oTT0mYjCd8kT9THtQRjwYvmst7SPcQc
ldnwsM9KMXPSDOIGuHRswmTAzFw9oSSN/W2v4QRtzKKeqccSVZwD4ay/DEQAnfpy6DlDCcVin3eJ
/Z4RsxG/1JGtptCOrf4G32AwnDXrp94uQ0I1l7VkriCdLUp6Lm2Zmhu4JPnTHPVjtMtzVRm7yl7j
EbteuEcDWSdLLwM3iBVeBfqkwyyPiLyvxWPlkf22bYnRZVtc/Ba95wSTb+fh/UWSD6wGvGxQADqO
TDmSjGTE5QMVXYbye4DWuGmzDoAkDp1ilRW2w3VsJfbnJZ+DaUcWuX1L1ef523ayqquo8hlvxW77
rDUV1FbDzgG/3eQUA+S5ms1xmEqepwU6sdpGei4NYHzdBE8ydmd4b8V08AmaH87yYuENsYvOTo6+
qEuXRmJGVAtDmIKBnW8Zgswkr+B8KavopWEnXugV+MVBVw1cD+3lLdGrlK33wpydC06yrQEMoalf
PBT2z2zjxXO6jN5hGB0sJkncWV8YxmHeGZrUujEZokFlNzWR7+AgNCcQnG1Qm74jf8D+JM8EM5ce
+LbvDJlRtVRsvjsoDjlWJfaVMboXXTB7SbgsTf5gxqQxQNwZynibZEKdG8hrmaeaY+CiSFf93ShJ
4N7A1k65mw5c+E3a9tUXgjLxQSgjy++skQR7mOKAknaGst1vGMmrm75SJNlQQ1inwFCltfXYKpvd
0mLpg9XMNggtoMNCVVkmE9W8KRIKinxSnzhqLJ8NMeO9iWN3wORt1pWzd+iK1/to9nIPKjRZ5kwj
ZqzDJUtZL8v+lmOtAv1g2+DkMiJ0jnlSXSRZ794OrdvfcozriMRNLAfGBvyXBkuN1d6LqqJzN+E5
XFhKpumxQAWMOR5a8oiIteL5sgYLUONSLsvXtJ3NcxemBauP43IMjjEqXsZtNPNT6IY4ZTTmye1I
Y+2OqUGjzgim0Dc9sWNIYlNhqi15MUuoszWefkE3wgHTdtP31JbyPItiPwGa65uo86jypy1XTo7s
D1m3m0SZWiER3NWL22njPmHjefdq1/NQ6kjBV1NdufLJO6bGfbk+G8J0W9JPMxamsqpnf7PUKfD8
eSBYmuefuC9M0o3/Kaq1ukoMooB2oCKl2CXOyLPN8NgGJMKR8dXHXWCcyOoeSrS7yvnqmFPxNo2e
Pxy6wkX065Ei/TjO+MNBzhWsLWBsg+LU+v4Au6duIEU2EYfPTZMjNdumpGmdow622y1geh/lb1VB
+FCj3751TtN5mBDr+l20BftD0Jnoor2AMNGNmc0DkOxkkpiigTBD7ElmBSNYmfXJFTGERy+f+WtV
Ymm5IRqVBmXi5b3egVhi/fHdjo2A218Ch8+NPIzimugN6RXo23SEFXMTEQF7HmhPmTsjLtSwy7sF
p16RkhiwaexKvPsUuA95ROxVbmj4pQlKg1dWSna9aFnR1ZNrQjeIwDyFsVfw1sy+RjcRU7bvC9UG
2a5rDDJk4wm6LZWpXAjS9iqqzJK7h8NtwJdCrbhMr4ivWPm7nEUDgpk7bqe+CsR5P5v1vhtg75Bq
lku+EoFzCpmPiXo6RzfonaDfuHpXwuJ/iROM7iFdX2BZLNrSZOIhqYkw208Iy4d0OUQ2Tf8dgV4t
9WQ00lj3+sC58qF7ILed8+ky8rMMziFlzEtRDcxAStuI36agDXyMIm36ldAE97HrVUHiG73nOswr
w7S2mek4FyS5A10iEVmSSlSm9ETWdti1l8STvTcQ6+AsBU003sGFW+5HCAhsiZMqHOj63AAqHY9N
upoqUHg2wonrDpbFVU+MVBHmdiLemmnWBoVPMd7Pal4DvakX3nXHoWOTTc78DcmPzRpDzXIdo4rF
ruA3q843brGjRM4YoRHQFdj1PCq1tSl4dK8a20mGMGPt1Fg6iv7GG+L4haPkcsSbUBIfHbdAe5Sw
rPiIel45m4ma9gXBdNGeYRZzn2DNqFM6i/qb2a2uTGsx/OZQaj7jiSyO9sJrZDDuieYyu2NmeO2K
PoF6ucXcPww75VskMFlVCq1R2ERjx9EId1IOfrNPSC1oMXzyyRj7WvWNnUM53moG6hJyCHBtdHAA
4rYlnX/6DfAW3d3QJb69ITCRwRQuA48VnYj1aDvFnCoI9ciqATZVX7wWcdCyX3d8k21NFLGHLLmx
HxFdanGT53QQcRnQeQPrXRfPFU6G/8vdeTS7jaRZ+690zGZWUAAJv5hZkKAnr+XVNRsEr4MHEt78
+u+BStUtqU11fbueKIVUcpcUCSYyz3vOczi1qCrfO9CvaEKzIhpX2Rh003VFaxaYcHN0EjK0vRnt
EHXhDdZD0Nxp5HJjbyxaqCDsfPQlyLzophUyeGAbyvhcHxoB2IkGxGRhTGYVLOmmc62lAxHlI6oi
9+DA9X4HbsE7aXXCmfZdEwawBweu/q0o88pZMZBLyT53Jq4XqC0UB2oCOuVQNc1ZRK5zY1cxcUk9
mNNKyhCIesletucupDfsDkosCuPSCOiZgO7FYGRhSl27adtR597pWI2zp0UxRmCi5Oec2bJ987F4
Agrl3CnAWZXDrV6Zlr7SsS+xLc0zxpGRUUfiqqVVg/eh6Xxz0Be6E1YIXl3NL+ltZhXrXra6ubMS
l51oNRftMte0qwc04Lhb2IFRt4vJ7nnPTd2JH0B5tfEmosuVuXmT4VPbR5YiLDZ9xtihKXXFsCbx
NEGpJc1ho9XUk4Uawuj1joEC0V4jqMVe0EnRXU+GHvXE5MqMLDHB9yO+DNxEkIMjMvLs4jc4A+w3
gLqgrrLK5nQ7OHXjcIU59L9DnWpaZlgcjoEmptNW415tcC/QWLgcnwzjwk6kc4fBob0fFYU5adfH
+TmteuhWeWI7t22YAVxj3jeTkVhfkkGEnkqlxm0J6s1h2XAKePAQDF9IarUCiEVWfzSO6CX7is7d
16aEhFdVKit1DdzGWqeszPFW1I28zYNCNdda1g8POWWjjmeWMdtMrjjTYrHQ6g21jE675I4oESaV
vHUWxKyYjmKkFWCbyYvKpzGsBlo2jZLbVZ+7KrxjVw88w+bQ6XVDL90Vr+YwrSUvCMG+uAGSr/b6
vKd3a8BiZRPHZJQTWZ9gPHTRuhkhnnCs4J3YoiDb5rbguIGNskQvRvCzUKx1aFzZoqzdQtnSHIiZ
kaqmlmR22kYXo8LPsjKivNN3fQ6XgFZJXX1q8UAMS8EyuEU2auQhpkTTWjbfbkRaR8yrdaOiZgSZ
sKTBay2xqNUj+G8SkJGChu1rl9qOeZiOS+lrmY+Ik+GIpuTBcgchZMuR5hxXm9JV3zo8hx4vx3Wn
QWaaW8ZgjIHbK1DwA2E8gm0ZOUjgcBJe6ww0vaSVbVTb0SCstGgMaE4gUdxm8vzW4ZboSuRTJhi9
6uXSgaOqSRqgvBCEYY+6o4hn0enymgyvGWw41ESSs+zgDCtVi8ZivhE4Lkcno7wdyqAEEUfiM2Yo
PLBTj/j0wNox5v4rx6KdGCy1Wd6VmsVoq8PAoK0CDGd3Y99rytLi3jtzZ0BnblVO1HLFhzg/5PAp
vanB02vzOaFC3jFM1v8MkldSxUm2hC6Rnedr3t9w02TcPSBKRIRrpdbsZGfU+pqboUb3TYytdVGn
kd9s2zpHaEuHsHxgwxs+gaSt392BzgTWefruF5nZkqiXpl35pwbDHx2wBPPvFRl10GSnxgp3cdQF
50xa0NqySpeXyVCVB2U0rHv0d+dqqhS+TkdIjZmzYhFqt9wASdXPLUJhZiP9V3sMCshVacfuEM02
QVaWahivqQbgCCz1uLlT0phschvA7V4gOzbPftsrR5ceW8okYcgxIsA6tGyTTj+Kxiiesog1BcBj
Akc9MBKL592rVOrkRlDyK6nkeRRR8pHUwZQA3gmpmFbyubbGLIpwr8VFugmUuANnOKTJRyQoXly7
RTbgiTLa1IbzSEJhUTWxwVkuVsfiuoCu9xlYQBxBMXaWv+jrKP4+ov1TWtt/WoJFzM1l/1xGW9X9
pYny6Ccdbf4rfxXS6JKbcTIgmZzfiuZ/y5HRDg1AS2D9dOb0iKojvv1eQS/ML9yn5pQK/mJi/rOX
+XuOTBH2F3Yqc2TJIHIBmlf8GSlN+1Yy/ze7EGRfMiwYyngO2AVmn9fPE1s96HQhB58IrxpsSinP
xqB0Iy3POdyYCsw6pwMIWyTZjUVLEPoarmN0AGSaPHG1uy+DcMY3JawwW5QuWxYAiKXYFTK67lrF
WtBsjIU3b9iFxuEjlT5ce9Hr7Ddcm7Gxzxskb913VhncC86lZx7L3BR5vBNjtaYDsPVAex5i0T4h
et8wJrQYo4e4BwcxrDh6nZHEYPhStf6VOWi5CjkMpV7QNJm68tn4YbdKUQDPcSb89yrShnn0wqn5
Hus0Wx9KJWBHG0nq3BcMdlfAXOBCE+8f2R+q5VWQ20gZHO9vFDMDlMXRIIOoAFMAem9nlsFXUeh5
eyaWz36T8pMxWjV9qHXvRknugglM1zXeTGqadXZXwQoz+BpAfqnR6uCRn9ZOBewt4vE+pLo2tZLu
sQX7QRNQDCchSsQMNZEBIAuBbZr5gGyD2xDKMfV9MxLQcqjOraRO+hdkr5OtJEo5sqRbYjIb8nYj
fLviFgXw9QTndwB62bmcaa3s1MNW4bFvW/qYybKSqQ8gKC56lbHb3ONx5NJhLAN6dpQxATzsLTsF
DVUnT+RvSydazlBoFmEvaMOtEY3GOrQlNSgwcg9U8qxkQteWGh+aKjmXdsmw26/uXYWIPdYhOAwa
xayqEj1OuEVPIgzjDftWV1nG9NXAcRgB5y9LthHao1PBunsI1Uw4SBVIdoAkA7cZPSVnkJb8f8wE
/tPWKVNFbv/n69RV8Zfskv93/Zf0kr//uFh9+3vfFyvzC+I8tg1MJEI42BV/V/114wt5MlzVHB1N
lot5Qfq+WOnaF1R4hkqox2j+OJL+ulbxW85sBXEQakjlmX8ucWd/a7X+21JFgITsCGuew2KqkjEw
WDF/dLekXd8qwoQyOWotd+5jSSldIMHvSAxoAIvWuU9hlm49tL6zx+Owt6f2xE4mNZKDpksLw6z6
jCPMpjuAPhl9+CDAsB6z4AgyQ7Umr3D8tRZd0GpfFDbjSyPCZdEZRgE8s7l0EUcWNh8J9POpro+5
SWNhwG5DGOVFGBshtvG9Czcq2VR0wnA4k9D5Ye0ui70rvaremM6+dG6uG6tZ2PaJdsUwPEJ8aTel
seKI1yNyN0uhLXqo7Q2NG4tFba9G+lfznQq+Rq5Uw5PtjZvcRi32tTs/PkRkKuhX9z36GR3KHsqN
SK4qd+0au/QepKcHiuHaDz7LB129K08mYkqw5Hs9ofl9OqZrGBKPiu8x2s5enHEj7ys0jGRxpsxU
hTgcLOvoI9Tu8vvKWZzL9KpQvgoKCkxnQopc0pepo4UvUiFPZbxRK2cz0bOsDBs/wHIS9Yswm7xd
Ohwrt9xa7W2hbMJ2Tf/VoUdOyFO2/cVC2wBBbkBrsmF54m7yoryMb+q3H9VvP87fh5fm87fvw4t4
az7F2+//dZ/xxdyYG+Ot+zTeZmrPogeruLDGq65GHl3jI0yOwp73tCzh6P86h1d9n8rsJb2KqZTp
0fSK51JwZPQYbIqn9AJntKOtLDn3Xng3qJBRVqHYLDCs7MJpNRfB0S4A8dO/Zv+qmWs0ElZqq7iu
SrTva0tf6uKWr2UDkoWIHQEluHaqra3TvMT2jWkM3+XmOlRWQ+89D7BL2ZGlCx2GGxyT5fxjck8u
GasmOMKXbmlcL6oVf865AH4i4We/bLJqG8s34VybkKhoKdfVTdAubXtpDWud3qsb/p2hvyzh7Dee
ccaCa5zHm/DVV9dufZMB3sj3g9jmBx/2N8KnsXRoMbPSu0B5C+rrzDqKXdqugw1/vQi/DsPdoL9A
LLiBvx8rT1yqgVF6tmEvNWQD0QNBwAOF8Wc9KIEXhKAYbMVrmRJgsim48x4qk4KX4SZst3oHuWhJ
OyODeFraloW5tomjnxgHLRWy1zinNqZ/0v2TPEIaG9bGHk+bc/tichRxNY/OSfe6avagrIKCz/dy
FOdauam7dklEatGwn1Bv0AL6z/AcXZ28teeke+cTBKNXKFf95aQsOE0BCKZywVhO0zoKb2Xtgc+p
r1TAdBjtiQ0dKyBnZ+b84YqvKMaVGazqEeUZacLfp+KYZJ9+9OiEZPvGlaEc0aiay0CDVk2yyFD1
jTDRDpgZmiLzZsm3jPJlFXFMmJQtiA904aUWvQZO6w31voqPSXPMA1gdydGFQuOD8OC5UW4lb9RL
gDrCdOgrZ6PyLis/E9jJ81YlHVaEC4u7ifFSKFtPBW/psMBco3PEtbrN36PigNhkLBt6TDiGFI3L
xGH+ufN+vQ5SnhrvaLwYdppHdUmmLjX7JaHlKbRhZyiPTbymci+Vu1E/EBmyZ7pxcA61R8Mx+Zdu
cnWd5F9z9auarmR3GK+ci+BwVuNVsylEnPZ9etAFtDRn1dIWkq/b9EYdzzGcM7p98D6f7Mee9VBb
FLfZLfwvvo3GAomb/8mv21N9+vbL/NpvvwOOmf9nreLgBtG9+P6NsrD6ozhFw7LudyyM02ECXSxZ
p5KBPgq6u4ibDAvnpjSuTH+pja9c9mC9leGV9tBFXl+RZeNKopx1FRheRJGSXlqMl1IWOhvk16uW
Tx4VMPOeKgh284wRRj0kjh36xYKa7UXfZ3wC9r5Yh3JXmQ+zD2pFWXUywoEiCcVibT3VdE2ggFvy
jlc1B+1B0xiDAHwwi/wV+yGPDNt4MbliCUYZq4W7QX9ALefs6cqntEev8aij62wkB1rILtYxfmU6
UyYYAstTWFwBsSq4PeKacPMt1HkcUVO4nq44O1I9ZE7LQTzlFfRASF1Bpyz9gYJDNJ2Mtk9AZKsx
ETeN7fDzeKGUl0qDXbU3+dBGzaNhDitpuCu3MdfCnlYxPWFpLz8DM11SaLygMBAiN+SHpvcS8eBr
ySs39uc4BcIyAPsy2DpGZuJVrXqTNczWsLeRB6NN5FYtMNUGHY4qmlBbjN0QkijZXVHrdaALy0Mt
9XQEJYyEK7Kz9HU59WOi9BsSEdgV1ZCS3xsFiXDFVAtvXcBCMUa3kZlT9Ou4qyGa3GXlznC/ujsI
9zob7rVgWGByXiXCWKk5KESVCg+U1mzRd5RsJZtWGV5MrWM0rx0HM7220wEgtPUucuMYGNdhfvm2
Nfs/fU7WVA3fx8xG/eeb0ONFNuEl/XH7+be/9tse1FG/cAPmyOvqKsdcNpa/70Ft98tcYMRek4Dv
vNP824GZs7TDaIZzNgk1MoUW4anv52V+y2T3qX3jNHDcVv8UewUj+U/OEwXYBB7umcHy896zdl09
6UrqEZlq0CdTc78dnGSfJ9Eulz0jvCF8zut2Y4za8yAwTbVZf4TAsDO7mlU8yZhy6sUzI5FDnQ3P
VhE8YY+122TviBcaiIxN3N4KpOJFp3FHyaYz496ncOrPKFf5snMnb1JrsPANimtQc6hm4H5V+JCV
IPrjigi5R7hX7dxL69rJJpVkKkI7Z0g01jTOjhc69xYhGrmXVNZxouUo1zBTTbQAAWYNiujod+NL
2mi4NEPmsNpZgL5e6hqRH3KWW6sxl03c3dFDfRdo1VNYW29DYzyPavTRch8bBbOTSIjHuJu2LRjS
tnFe6ZMc2NGgHfsD7QItblIMenVJXYQM7wc68cgB0aDNMN4Rcc8eI7oUqXYOAngVo8nck+FXWvja
iRcrD2F/K+6t4FTrOVNCwWNWnEbMD4soRFDnrL7oBey9seyuVI0GGSejGiSKgncJyYMU0eSFBhg8
GekAmSZcJJPi+YAhBUxEna+xqLQ7c5BQMlLS0Hg1bp2pYIdgXblKojFs0DeKaocPCV3hbuQ+V77Z
42NjI2tXV3nEzW0gaONNyggZfxybbWE124Ax4RInx9meSFCifXcNW5tC35R4XjYRVPNjaDbRtuTc
oHYZ4Di3ZcQQVOb74JTEnvS3cCgdZmujsmIwyK7BZ7s2a5ipVG/cmjsRLBJE75R6MWce/MZ0RuwL
X9DMSrkgO5XE+gyTYtXFo3v155eqfw9dA5qab7/Sqec18e13WHX9v99+O/govEtz+eknNNkDnLxt
P6rx7qNu09/A1t//5L/7m3/5+PZVzqP8+J//eivavJm/WhAVP3OgVE63/3wR2xb5e1tdfnLOsfT9
rvgpDg45JD9O0qRQZzzUX71z3F++6OhtTJtVkgpId2RYvh+jNfuL8Q3uTFIQZ5utsfB8X8I08cVl
eqrytahW1IFL/SnFj2f2Qz4QDIggskJ1rpif3yz//bySGQ5m3TCxrPUw9uxuQPQaZm6So4pvdQUk
HM1QzPwtZnkOrrLykdGqtZ+CTOy6Aesn9cnelGf6Gi/X3Q+v481vJ/m/5C0Bvihv6v/5r2/pkL8d
8HlqwEwMKm8cw7CY2Lm/pJsju+7Rvzt4zr3mP8OKRNqjEiHIyYzryUayuLHRNetsBwpXTY+SOCOT
R5MWFhWx7x4nEuY6va3PStjVTFKL2vAM/DtbqfXTjWga7djLIIxu4mJqJJ0xPp0QU5GJ14iCxsZr
C9/HPOiSfozDuXXMx9BwVAyj2v3rf+oML/r5XdBxGwjDJaWpElF25jTTDw7GOmT6y5jfX4eqYp1Z
0VgbfJ8DsF9q9tZiWbiPNAXClZIom0ppo2dmbUq3ILZJAXiW29FJaUR8HfnmTOx2nXeHN57yB/lH
kZ75mfzypgD2QW3mjeEHfb4j/vBMQ6cUnepG4Sbup+EmzuzsAWPmqgq5LBjd9tfMfJyHIRwqmgY7
gyYT6eziaXY6FA2nUZ8MyK7xoTxa1Bmt/+B1nK/Wn54dT8hAEkIQQrRiePzzs7OKwYL1TyeClHVz
XzSc7mYqwBLUYLbNoqT7qo7JtZGW/r6mF+to1r12/NfPgUzX3z8J1m0Ocy7PAx78Lx+pvC6wy1aB
vgb1o6SnfAgC0kOZI1dMz5+C2JAeaI5xWZPhILRfc8xWCYfaAY1AFczWKtcOCZX2q9ru1SP90Bu1
7BnddbTu1kFX3PU1XjkAssCTizRZW7kpbmAi9puBeRpb7hfiChoIXjX+WswwjlrmydeahgAKibpN
2uOHhzh8Dq0QmaZH3jFGMXHQ19roHOp9iFcpEF2+ITt7gfmhhV6aoKf5yG2klDvavVHiwwesBSka
j3qMBBlNdscGJ9PcgOurj0G3Qx9OmCOMDYi12nQeW5+TJjf/RudpzEmXtJMoU3DSXYw7tp0MXg28
SVskivHW01b24mhJuSXgwslRaywPF7iKr2Mi2LoAEM0xKjVnu1HYZx9UJmnLUktMKr95fftmRtfJ
eK7ocMvoqxo348IPrH47DVn54lqVcaVQGXIIJCpXI1p/hfcq2oXmUGwVo6wvcEcRnqP86DhEm+i2
zfagshmP6jXmCOiwlA4XV0OeZB6xafMIezSGW59adxrZGMYailyNVhdS+qvNSUARfrgNtkfhlN1O
U+S9btLhklXdUy70itZmH2pCO05PNiP8VVZY7nVaurQc9R0nQ+yw7guOjGfH6W+mUe3IoLamjoST
BEhA3RmwnUy90Bndc9wrzmeQyjg8DIprXek6PDu31jRmyDneAWUiCzwmvPZjHQ1X+PNoqFMqUiQU
o3W0o2vWxqyKaDMMzT0o4GKd2KXPAYlpI0wINkcB4RLkedejHn1smcCQsEyzQllB3Bk8aC7hutQG
beczNfzQapoDXVi7FKU5z+ME6iUt+uc0dJUP2BDMh4c6vDF1SnMI7VCuxYvMbq5n4mGBGDXcN7L4
q9If3N2Q9tW1PzavWimQB11JY5atM83oBPaboFtB4zRXqUVD5RQDaIm4kLJ6EIcOu3FYxrfUP9Y3
SQ2dvaIQmCYtHQa59NfgxAD2puaNqfnThsTUVSYDDEdp5HyAO3hTumbu9ArItuIVxRmSJUs8ALxj
NGotRcHQlhZo1BxRi8PQkZyG74ZuRL+gu1AosX8mmhQsqKG31ppfdNtoSqNmWWCEYw8ajLuqr8wV
aIAPbtW4xU2MHVyT/bUck2md4D84j1Sasy8vjRsMpOh9E53lGG6hAJsAdCNt1I9mWSUZZtyIJKJm
Dy/0zbmvelaSZetC64mGXONF5vrc/2awv89qVaf8LsnId2Gb2Jr1dEfmeboaNCoYyLlb106Zv41y
fAxAZC9Y73DGSiwPwjb9Nc3UxlcK3+r7MPT3k59O+yLL/NtksKdjk/VIeK611aYuInA9Wim7aRFv
CZ7jUAK6FdFdWITtZ8Jn9EWoFuBWPxXZdRoMwdY1QNOmDRIQp4XdSMOepwVTvGkqiM70DNGX0+ax
voszzHBmCnw7HdtPqvn6q8KoqhWaYD6tCh+W4yKwkphtca1QUSOeYjkeK7+3d2HNMuZg2lmoJu4z
nGpzDbueUO6uJFewyqzHiOkjbTXkug+F7xhrx4ieaeahpFQJ7xSJQ98I4GeCFUKuAVa012xw2TYN
Y5jzJqZ6vFh3tYCiq4q6Bm8TsoVSB9/F0TqE0jOD6DoIW31d2NEjFXx4hjSF8yGaczvdxgZJ2AYt
hoFkrlWbGOv+BqxBtcd5TfKGWPeSayJbwtxhLoEN01rETXpbkt30ZnrBLtPK+AlSU/SgJrn6KYOp
h5ufvSaTi9RrunJn+Ip5HuIU8ShwxY4q4E/XKu/blKCw5rZP07cdFbHUfB1mWXkCg57vkhy8eUFy
4VTaWrvgBEhDgJXdZlPzNTYKEk6adc9tKtzr+qCt+qoddqnrrqlGkHur6o+xVV/bo6mv+lEnFAw7
XqkLE6ZTVe1syZGHdJC2TQhwHoxgAt+v3uazNTRyerkorL4BGVU1ym1nEsOAu+Uz8I0GQs60Z/mx
/5pTCeCRPuN2V1opJy4mE20nHysSrRei6vIhAvq9ioxZk9KZNCetQV2QLSCXg3c6EDEDFgFnaouf
LOADaogVfItwZ4SlfWs0DiWpU5musxTZXWRQq1L8+ddtFpeYDCkLQJ9Luq2Sd8mhYMf3gE/pHsKc
/T4IBe9S9EC8d0Bt9G9KrGSrKknjz9HI2lNuMIeNfTvaYifOl3bj90ychsj8yOso/bTpJ78quzLw
KkIAAL7xnnRarlIq6Mp6Bckqg6kDOpz5rSJje1dDPwJux/w7WjKvE/jJgqFzjl1AMmSttHntUB7I
bH+VO4GVL0qSs8YqoVFN2zTdUKj0C8By1O/HyK7wWEZ+mkM1K2ls7ak7wsrfNlWwSGEHYuCXevaW
c3NKT2UX9/bBynSaKzQnn+r3TLdjGAtAy+iH4AIqtrkrK2MjMakl95K5+lEDm8b65OZomJbZNFcN
0xFrG5TAWPBaCYq2VCD11lr0etXftjlmdvpE6NxdSrvWDxOWhpNGrPmTMKobEdMJ+3tRsL+64jIn
NEoF+6Zm0E+ogOiCnQ28HgK+BoQLptgETIO4O87wo4yQ2lg/0tGkPbSVTDZG16VXMndYdEeTar8o
cy9qAu0EB6++ymPHZoDYTTUTi4Diu1VutphnOzVgske3NIHI0FgRr0kFRsJglMtKt5mJaRnVy4ra
DbpXiWIq6AargwoPuo1o3DRN/GAnRqrcZEZrLKbWCm7aMKJGe+yzFauMeiB+pJ8IBGlH+vP8Zzuq
OKo0AuuU19ldQQaJymf0YLIgp2CQBq3TmJT2YM38fSLsUvUso853Mrf6e70zyr1oW+IXQu3sBY02
YlsZ7fjKK8A+rc0hf9BeaNHUU/j7kKwzt7GsZ/c0aGt/yrtXSaXnvp0UraLkL4puhPD1x0Kq+gt7
bX3FH5le0c0ncIMBpYcEhuwPnWyvvbSjGhwv5beV79acu/KvWQmjzoc9HPG6kdAYFpaIrxLFfKyn
0FniuWTD2uFpYoSN9SOp77oSw1SRA+6Zevqf2wgFvclVOq6x8uV3IGGieBuTpZEcYrUi3+LNQ/Mv
g5TuyZQ+odyEY7KkyDjeZwCO45Vht112hPbOgNP3wwY7YKspp9BvanGLcoyENkVV8t67dPrRAmy9
V4FSHlQHux+p5mxXSSIroZsvC6tmYjvhQY9MS56VgsRIlAblHvMl67ututdKF0c79q00yoyyx+o9
jaTFIBZ0G0svmdHGKHGQREm1kYAV+aXv+/rVcWt0QSO1doZd1jSZVOM7/rLnIenqfaGRRl6EBV2x
EazLF9iaHIDpHCdNOTXiEvtpthtFGZwaizc78ruHoGRGodfVtO7b4FTng3zSOjYH+cBuwbNkW1yU
JrR8ztGpih2UZW2JC7dvllFlxdMit0KiuLpI4/dMZjdqigOdz292kuTdYpqqpzEARqrrnkJ0jNcv
MNnbWA4xFdyRWd/sOwovsiRR9yqtvvHKrQb9BPCAciizbK5LLaNZTRomEDfEClzpeYrxcqgd+R7R
BwR4EChizVg1I3Q+933m/YubZqqnOs0tfFT+Sp44HfDR3H9MGObHeOWcZmPSxAHiv82ux0JucywE
fmpzSw1tzOtFTOcvtl+GPMCoj05Zsft0FK8kB7bUmB8sDKl8kIsZrpM63nHfZZXz8+YzGuYGK4kV
3d22lkG1AwwAksVAmIptY9QB0/y0p70PAmq5CShMqneScMeJ1/wzV6OR0p3R3OoFE6JcV0B4gwDC
qL7s0Xvh1LgN07Hstm8iLP6J8xjQNrU06pLNpF5dgpoBkoLFc2liRD37Q3qbxIl2IpiXPzDVoT7G
MJPxKYi+TbNcg+av0qXfJE2pIumLadNRmdXOTm7OizxeCs4llhi+XYszat064S5gAfb8kP0XoTgH
4chIYi5+HRHZUri/uiEaErudJbGG+CtCarw0S7acbL67Y0FccMuWLjkYVaDi8B36M3I7BoHmWMHL
uB9Bu6DHZuOKUhUOc3FV5A9yKgbqz+2OLFFY40FODUW/b4YkeuyzlshIbqgAbIdKVIeQDkNqU1nN
3ZE04RBT7kXmW1/VFEo/c8ehqj3uQH7IoVnDtVI9o7Dsi9pWX2Vq2VcWzZqvRKjqQwY9ZWWWSciW
tSY3Ht8bzKWf/bArzY2axsHOrfT4jTR//UjjYb+OrD74ysZWORRuqx1l1vWXdqopLhnL2lP1iBsu
zywJd5g+dWNV58TAy6kQb2ofMMXTRumss8qyGaNzM9gZqa0dqaWErOxqxSGKRfzxTbr4U4Omf6zL
/ijL/u+/J/D+J7UGztS0fy7xni7ILs3lFzQ59La/irzGF9CZpKAJQZszH3EmIH3vB0DJBckEdIbC
PgJpro30913k/ebdRPNzgZADb/pxTqUZXzA88ctC2ISr+eHPiLwz6+gHVQxuisaDOHNAWmch/yZY
/aDZCVJKRddGL2ygS4YTAx/zYVB/c8nxziOr3/z25X6Ua38RBn97EBsMFDBC4Mozhf1HYdDI6I1W
h+Clp/J6y12YIEGk0MNLKmnxw6v/Dx7pH/5z4L1b9M4ihc8zwR8fKTAnN3VH91kb04Siot7t7pox
LxLvzz4M4z0d9RllFlnW/eVh2p7uMs4lT71aauoqVzN6XeEVGH/wus02tZ/fHB4GEx0NEkjesDx/
/teIiLCYU0IeCbN4EZvsmAJnnpC1QqOYDeNXYY+oPVlKWfmYyj/4R87vyq+PburEHKmt5Br5VTBN
uArbylCf9Cz2PV3LUDIUddQ9w1R8YoIZTK/Riq+oZCj/ANA8jzD+wUNzoeBrBh7g/CLvF1GhCCih
TyUZo/hhyIiXLdWu1uq1AfyILBYxb2JMbpJc4KUbwrMG307XhSkaewXBisPgv37D//4KFsT9BIxT
rmJAB788IWvEZz9J8dTG7NatMjiXkoKrJMm0P/1AeBZN0AeWxcXF2OXnt7xXlHC0Q/1JaZJy7bfk
P7oE7h90wOAPBgu6/XdvsMV6xC+jVaAdOXOhwo8flpz7DxdweDURwsLKYjDX9Jgs8MFxaDu8j6o+
0Rb0z0A/EmPn7ykmHJuFatFdyXTBmihTxxMdLmp8zIOXF9wOfRtUFsRAS7+wYYM+wL6lohQHwCpF
TdMwjxZ1Im2LbpwE0IQqckyOOQgUB72E+TeHmoAcVBO7bBxztfZG4Yox0Mk7he7CAOCCJU9LODwp
RsA4FzuYrWyQr/QaZ5o2nRxzao8RW8lhnaEBROueZPHFIZZinGrKt/Jbx1XCR91KKBYBo6gWWxEH
brkw4hhbXaLp3bUsSfetjarnZDFZtLAvYFsZ9xahM7I/gsH6SpL5azB+T3jCVPTNd820SQem6hx0
9w1RnceuR+CzZMXQHSFNsbcyCtjB+RLX2kRCZID/QihqYZIr3gZBYDCTJkE7rDpzGLuzrSJBHmAs
oVNlSdS9hLSJv1dqDjoKOVokjN002/IvGryp4LW1LP9uooyluepmM/xyGCpSOEvNGhRe2I3KXq/c
l43QQ/XeYG+uc8DjxqPcFq1VWyT6/SGvXba2NmTe5MY3yZT08TJT0tRNbZz3jMSU1ShlNSfcZJ/X
ypUymUpVPUtZRLF+KyZDOtlW7c2svgPBqeFqT2NwLNZ9X7hFM+CCxPa+bABeNtEh06qkVNdQNDtB
li8xQ2k60B1phDS6RTbaU+OcMw5CdBcviQH6mroO7Ig3HziqyRCJY0JSpNSaWiKwmT52Hag9MoF2
y0Y+LYvA8MlvW46Lb1aYnCVSKpUTXAbsAD+nSseFEKMulu6yG5pK+kfgb3kLvVNEsaUC/JJ6FW+s
eDR7pNNMVfL8gWlcDIDH9AHTMmYppS45bPBQuDajgMS6W9YDAjAlbdlV6BLyOXS0e6qbWo+qzx65
kqC8XjknN7QCuSu0zHnUqy6QQHOs9CNOCxF8yqFqjat6nE8vVelL+1qg9V03DmGmDY1sSviVZAMw
KfQTVWzsasimG78wu1vuE2ZwTU0mngWNIrlnAGixvekq1TE58RqY/RGi+6F4DIUm2w0d144+JwpC
axv1boUH0vx/7J3HcuTImqVfZWz2uAblENsAQlEltdrAkkkSWjmEO/D086Gqu62qbnfducsxm3Vl
kcGIgIvzn/MdDSCiaFKruLSarH/1SnL3MEnIcuyt1SO6NVphYx8Npf3uI81KDsde6ug11gHTbB4k
bWqwKTMZ4VeVFLM8kFRPjKdFAfl5RPRNkh/5OFnVIVgw4bwWC+hn7nkwOz7Deuy9X0PeOzNlXfVi
EbgWU223L31rhTSZah738Lowe0AGCBYF5G7ibXWFBddkBgJtfpBz8VRy964gh8nMJ8/stA2Ka9um
NK2RqLbFFQTSlc8yS10oe4V3uwRd1ewDzyCeSGyzuuPqUKJz4hIL4cBwFN8hv4LxyyFndGhCnX2l
qm7Nos6S1R3xU307QXMCVSeHNIxHqtM0G2VCgrUQufU99byhB4JS6BPNMLtVhEjqLbFpWYj6tZqz
6y1qCl0FHk1+7PKB3TavdV0ebQ1dKnUwkjFMotpON2KLvhptYvIWeWxDQ5oHpM5Roh6T1BdPrbHS
f+6mtZvGIYMEdUCayRHHjIQbkb2FwyERyuw6Rfd4GxblGCzzhb6FmyqciDxkCRJ/SAwFaSAFRBE0
ov6hHJel3aKr9blRdvoejOhfO8gGyZtpF+2vqTJnTkGKIY6fcf/IXGbzUYYB6d0zTPO660VVxtaY
A/OaQAFu/YbB8gZ8nXqlXhR+F2XOgP3Vt9rwXYRNXpJBk80lssCIk6lRw8ughuxtCUT9kZFPBRoi
m/5jZLykIy9X7bnTcBCOmWerGzCHa31mXmhOh0DXXOsLZ80/hF+DtOiX6skCzfazqA0NLSFYmjKa
xz5/sMpqeM+05T5NpqF+sUIVtFFMJJxjtjlGqIUvbcj0c+AdFAhD/Pdr5n/rVGNzX/k1GC97RSth
Z0rFN7AKGyab42Ter7bbwKQYpcx3nYdqg96zVlgoVWIZB/5oqijqNSzHY8XDUaMMjIviSYSYSsWU
vbgxY43e2gE0UjfmOqjLlcPpcrsI1/6ecszA8PPUQ8UnoGJIsgFMwBIuyjWPTnLTUiHQI+kFyQp5
ct2EGINJQBwEEmjeyi6J6FYE+tfGQKRHFmU5R5Uq019L4aPmjiHT342zx1qItw4rslxEe0OTtz/v
zFV1H1IJhCwCTXwuuGkgGAeyt+IWdL9xcJZG4Jbv/YaWQjNFT0nXTiVH/rWsCIAPc7kv63a6ykox
ezRzk9g89EZSvvLINNZRJQ2mZDsZyE5Kpj9l5NuduGfaQSr4t6Pev3XT/b+7xv6/FvyxfU6T//Nd
9mHrn/tfD9Pnzz+ZnH77v/4r9sNdMQyp1KLHnjsj16/f77K28w+XWyTeSkRwsohbxdB/+pXsf9jo
zNxiGSOwoHu8iP/wK/E/hRh5QujAFngBz7X+navsn40yPjlfmwOt63KltmlX+OsZPc2CjWtSvYnC
Mh8FVc37RlfVxSb7xrabkHZGl/5XVzTAoH+6q2y/1v29JwxzCQeuv1Y+iZCz5VLNzy36U7GfSsYo
x3YRySvLZRcSLZgxfS4k5+/C2UcMhenuP9pwZT4cbC5HCSFYnIVFXd7J8PLCOnYThJ1nTaoPA783
6E/AYvkFR73BpO/d5UcUqIiY6Sc6Vg8dWCZmF4HjsZxP82sCdmTrP12kuC6d1fFglZTLjzTlbYjs
whM0j/mT8tEwy+AXof2wvOYSiH87DzieR7XktUxRa3SdwOzBibL6HnO4n28+k5CSMxMgHgwQPu+2
jYeqXLXEcdmAnjyvfMRDdQ60NDy0bRLvOysNk82ZoTMpirhjzhT+YoNJcHBSjNbc2XQ6fShlFW84
OruG7j2m1vdB3jrXrgpQyfhP2mMpoo7ZOMg+d3SkJousi2sV4oGKC/1MURmLg1oGoEzMWiiPQVmU
7Kv9NPvEodKas8gRAru+7yqZBIfWHIJ9CLZ5iLNsMk89X6oB6WzFA58qLfLjpI3OOuZtbVznhSZd
jTXJAY7YCKpkzKH1frRKqhqureysk06NLIyClh1lhyQehntU1GT0SXLA840GsIjqjqIP0qVE7T9s
ue1doRKBikGVDDsqFb33jsYnBnJFincrFVOb7XwxcfTNwom5p8VpeMD+Qko7wvNLGL90rJ58ZVeX
iPze/Db6I82M02LhezfRTSkcHS2XJJgxSQg6tpOvu1EXXcdJdW3MS3OszIMHrv0pl7OHWAlageka
7xup2nbE+MopFsNwUmUeU0vg7SfNzziHdP5eru7C74Z69jUpLDb1xHVqF1IhTzJjENnXYC6zG6dm
ZkfMc+DzZjyL+Oc6+9S1TtpHHdVo0JxBg06gRWv8qHaCD1rqEjcODSlZyeSUplzctkn+adZaE6lz
EihkK2eUnTOo7hMNmyIeiiS7C+ad/ZPb2X1/mOE5uTvPEcz1zFoxz1eNonaNKOMIG9hJjtQM831Z
kVI2wktnpvsKaA3jD7Ch9zQcM5KkzYLa2wTyHKgMecMttX12zZnY8Ep+98qQBU9TUJbyvhUW1UNV
yXjCz/utk3LsykMBqU5hXcbLbElwBpGu9XoV1lBFYnttSClVDhFbPCqD3wL45PftQgaNDvgkuqTI
fAEHJCckMX/VpaKqjTMipu7M0SVkbOwMjEoY1D5CGe7uijIl+ZEbcr3udT2/aTGI9zYN1xcE9C7Y
MV+Z8K8E+UNRTs3NWhsrleNShd/4xkLmIVr7zoWVVqA00AH7VzcBG75Tm8ptcWt6ZBLKQ+zNY3jP
PGmBUr2Se2MQUe65B1tJVLUGcaNgJui9Y8q73LYubD061I2BPBKIU4MMISftXaAHt4wG3EZWbJrZ
QnWzBY9onxSiJBk0BX2bx17F1T3CkVMwcu4x0nTfLg/LQylSX37lzsKRKOV+eA3Hwxphsbb2GDsC
TBcON1rRd1ifbHsnJ77uRIoCyRHW3o4OEJqb/LAuCwXpu05IMRFG4k8FQtYJ8VlTdSYuMDP1uChE
xyw5rtY10cseZLMiN2lL4LgyQst085Tadc4wUSD62deHeRqMZz7kvN9hbgwARntO5u27ofK5U7Tj
xjAtBPTZk98uzTBikvF5Xw6Gwtf+4U0cI48UaECXPCChgGMhqs25Oz/aqTAEldOrGopr6Ix5Ew9S
jSveotkaIKDazPiIDEimuS43BEB1BibY0b4p3YCDPGIChSLHrq5hIfFugODpYsfOkgM8VkbuihDA
ckqMUbd0ZWet5zLinHwrGkqHqdmpJ58D2ymoQ9Y4nFLc7K/8Ec7e9TKEDmRmsxgG7zGldSEgjJhL
y9xW1cY/dp5X4pJhtF1zM4GkZL9Js6spkpOFs10Fepm8WLkavheql58VUqu1m4zZ/Gpt3dnnxkwR
pUFlTGW0FEoccU+57HUiM19Z7ZJvDsHZ1ViY9XdRJlhJx7GnwN0w3GY/FBiUdkUrfDh6tE1eB0vp
FjFmWm3vU9W0917e0yCfpuOFYWbjz6newrYAbvsPF4Ua7HGt+YNxVCyEbdcOHmVKt1kXey37+A5C
iql2vezMJxYPCZ3JntsbVqzNwlQGJisuDraz9K1C7dmEGLbOc59Y1KY4zmVjZTjCmDUF9o6qEP9n
DwrI2gm/c3n2NULWgWP8+mtI2Pt30PQmHu+yNj83utHj1JhewbzdYbvjBuEDy2urae8t9lhFsPl4
8cjg5i/puMT1w65KH0IUow+98p3eLZ7iD52WjqQBDMJZsul6QZPR952Budlgk6w2XAfvhAqCZ/Ci
47jHzkk5egcOx99zWFjkUbdOPUdy6GssoEWqBrLHw/ymHJ8lqy0wH+/AAFosdD21hYgGmf9kIMnN
VENxh95vOYkxDnNA1TvMpDTUwzMu3pxFCeDtYWqTaWhtsQXhsp+px/NDGg10G6StstNwOUFMxGFY
tPauwzJXHRjX+jeuprAST9XappEdlBo+jEEcB+8FoYFd77TmZZjpMAGik3MGYUHe5vFh3nnX9Qxg
POJgBvrVNli+OOJsKcna2H639MzOwyznGi8lTGPGputi5/GKyEY8F3MtsCBNm/gpoKaejHBYsqJ7
cgGfv5Y2CRMHt/wSBwq62nHNWZgODJOpoltWX8buMJTVeVDt7O6xvPvTcVnFtCKVpRDm8XB7F/SX
9id4iDTSzXZCtDEnC8e6FLDiSujeOQjKJLlq+MfImKOBpzOhX94BHZnxTZ2Fn4gTAB7Q0gPXvxel
upzF187JHEPeHz6n0QDKzq15pg5GZQth0aYaaT+otXtbAJ28m7H149ozEWVCjc3PSzc9gjGmuGHk
3LyHdaau3dFj7S6Y4d7w1dzScCKzDzQuK9J8Y2UA+AYVb2rPxDmxpPlXN2IWVyiJ44FMjPHCX46J
LMCz+WgYZjkhNftijKwhQ/X1lsD92dKmzhYVOl8ooN3Ge02sIir0WLPaZTUCWFMY79CI5C9g6+mG
wp8IYMMxS19Bene3YPWzawWV74VPawIbBAkY+myPZQ2aSvfdICAXFN3l9iNiKIFht9J+H0Nxl4p0
pQ/urx8mEU/CCLnSt0HxpgiiYPaCRaaPswpAlIHjmtcoBcSITmPOG7uoR0eJTWP0H6oCx/uxxS2B
rRWMG9/QUlcvAUcV0vYlSwz40gJY2nbU30igBk9SbjpFtmNtLJIoBVgCMbdzUpCookffyjG4X+HM
WO9FlRXEAyhy2tonIHdC9MnL2zwYjG8gj8bFOnNg3KnB8nEYd8UtbnP3LhzH4Dwjjwy8+aWLdEMP
EXBPZQzDuQ99JXDupDAAF7kij7pOkt2Icgy/mjp13mvWmg0QanjgXxuXRUFwBMe5DiKpOYSk2qwz
d7byipqmbesJxr45cOEnAxrma0DAuGRx2I0zzoZ9gQGEsDjmXshxY5v0+6D25L2VY9aI8gSD0F6N
lGsSAp9o5gg50I3HyZqm26Y3anTKlLsN46FW/hiweA5R5+XOoVgZBJK/Fc0PX4E+r7uRCPcKvdzB
it70Z7h2hXso0gFoHNBV46uhXZKILhVH9VWRQPqNB34fcbCgIoLG85d5D5Q9OEiHHBM11aw1eX4G
JNkOjxOHvBVfIRyIgojJVQ5gFt2t6IOzkkV/W6WLIRlBpCO21RI9MyrtUmGQh3HyieEtf615CJ60
0zMQ4XKjccX66L4R2JaaFLiv32hh5e0OrNb5CLClMVVxKVwgjq7N9yYLObd2NuhhVgD3SdoWmMLE
SNrbeeUFRSUAKNL+RV58lK7Ji7DnJLyHYAvhB9Zw8Ajf3/djJamkdodZdJyFgAOTGjexxw7W1Pfx
YK/SOwGXk17kFCGUeoJm3HvG3livUs7INcH4CUsalsMJPcqAlw3ZfnJOtuGMkBWNHsCpcgCpRjyJ
/lNLhGiIer0tU3mD8XWXuYyHLljseX/DEDxVzGYc1nuzTo3XqQ6WOyjUFfy9oi3n/eiDFY0S1cHJ
5EyF6M0RsVgORQUJLCKMxGigULi0uFzZ7dH5Ta3SvqVhUXJ0AfJq4tXjW5vp14GrSPP7eO//i0v/
m6zY34pL3c/8z7LS9u9/l5XcfxDdsJj1BiYtjDSvM6j8T4tEACkes4NJnyRJOf7Zf+lKrkO3OzqP
ibHAsqhH5T/9h66EewIAjclIUzByIEDn/Tu60hYX/uM02uPUz7DfpCvYRd/6XQH6g0dCBZNMM2AM
OwG7jTRsaqj15FODike+q70jKDQ8WKFaLEi4M90oVOHN6xSn5ZLguZySSoLOo9uUDgyBC5MimnTY
TzUVMXs6kHw3aheZdHFr+nXHmURlwf0f3uvbfzZgMD7+y7CXkBz5J9QxH5MHmPxNoPvjsLdbTChx
1fw9cQ9kUOS7cxcNoRrNWI/hgLRbrxxJvWVZ95bhrFdbb9sxIA/0lYR2hR+qSSbn6MnaQRwKVvZO
hm6rxRLQsNiXTNbARDjO9HPCszIxt7I8GOXO0nqR6BhRRXMlJiIOdJLIB5awcFe43IFvDT+1nKOu
c2/eT9pFnmJChKVOr72JYgxGuIqatcYYF1aGL/bYyec4r9egj7jE9beGTY9OlNnGwoWyLxhhAfbC
WLcWyeTGTM+Mp8wj6hqldZ7I4xiI5ttpgLZzmLCL/gZabP8W2KVnXVKhER4TZKIh8sBQ1jsf/FcF
S7noGCFO+Trt88GHmNu1hmnv+SFXiUxxgFeNWu4VV5sEYkm3vBlcrFIgHfNkPKw4y9EDxBx6FwCe
CVJWrLmPucUZeIMbq2PWpIgpbSB5H6VRNuwyo+71O/83traNi00eK8QWehcSE6dtLxEmdVRZa94X
bKvies7Tejk446DKeF5DELL9kPRvI6MuBl7IBskGspWfHNUT/wEyo1OTbBDdegomHMZRobR6IxvC
IRoRyEqjTqfZChHG6stD0BtMwkSP4QJHq4V52uUsfyHUTJCaW55/k5pO79z7K0t5nJB/AV9Z2N0b
WOwsPJcqse8UdVuwjRjkXnDaW9M9o6pMHxa6cFzAQbPub8bMQZkiFeRySGYeX+8dMZv9ufK8tt1G
tusFNQvEsWuzCl6ngXrveJ7dpOLeP2UvGVs10A23K929SBhOn4100Bx7mZ/0byqvi++2yypyNpAR
rc9WSH3rj7RA4v7/rXzHblz8/wClSNkLlRwSKOB0AARLvuzR7wpa63imsr3ZijR7on1dfdBMzRGs
tc2RJ6latzqrMulGqB0YdH6Q3+GHpZoShQN0qGHBSrE0PPc9Ok090e7m8b0I5tVLLlvds4D0CJ4W
5NNQ3zZhb1okNdRsPFTuGLikOy0ettEKCOORpeGHovRVVLBIrW+1bZYLNJrfHsVxBC7L2LGY+RGd
aAb9rttEuKfMWFbALS0aErcjipey+tMtHXZ1pjsInpJ2grxlfNeJLAyfNVKABmziaX7xGuruLWBH
tH9gZpiTw+9fV2ZKiXjl5MWHXhslS8PvXzqpsjo8BN1szrE9ABFnrsNQbEfhWIl8PQQ/fewbIqYn
grwA82/xatMR450bVxU2pzGfRhlRDHe8J9S+5NnivhljUl6Jyh9/eJYyMKthxfnQhnJHgNvtZ1FW
FKc5dnGZpay682CL80SslwttR5ouDez5lNbNdzrhHFgb20sPHonhG78C98Tp0yQhUrRyWqiJGJ2t
MpfEflMk5oueuRcwu7T3xVosb7oL/BuaQ5uncA5Qhps0bd9VZYaX1ZLnwIXwaSgQnZMd4YuvY2it
FUU+HWxX7vTXYloY69Upx25HjR0RuSJwTqllMsLVWH+eKi0e0NalxScFkSBCdhzBC9hqAvTCT0CM
TX1wOJ0YQCpPTHOpB9iuhXZbEUkZEpseS8Ipub1DVukhCfnLPdqykcW4eMStZ9XtlRV0fAaOMT1O
OuyjIRnEBW0nRRRIKDLUlCkRp0Lm9wuZBYarTbD8WJupv0pVW+4BwlF1Uo1PpT9iALOXb7NQ8oWD
aCv2lA4bBSAI0RjnuW6TF10WD9Mq0zOndXnFX1/FIIGnNx0qYN20DJ7LkIFeV03tsSv56qKgOsjx
lHZerC4PdD5nI2ZlHYDU6sLOiaww4MnlTtqr/bqhDU2uPN9Tu9B2RXEk0miCCxlX/NAfzTBl4NwR
evqhwj4s9+ib8iDSoQ5ZL7y1jzL2BDsq+rq4WkM3zaIgG6ZfAQk/POggcI047OfkZ7uGzsmqG/t9
qiXqvGv4/UeeGx74yMRcHnqOrkdKyaBEVBQvlrG/cKOKQrew923qeTeIFOXZHOqAaCAo8lpRedUM
bnpB6LuH7eOv71uFIIVL9lQf+qyj5i01i5bE+VzIHTpMfiraYjzV1N4yP82sCgg77rcLKsKEf6K5
CVf1PPGJAWAu50+j1e6Xl83fibnK67QChThymnpa3JC0qFn670agVY760H2MaOTdjga3JJJmEsDW
92crpglP8KvK0L8siq4IL6HX9veuuyRxYNHWEstQdV9U6g3fQTH0t6zwPYAOnr0bMoLjL8virjtl
aCwS6O82TFj9q6lxVyB3lY0JIrGDu85e/J+1XPq7ggEYjRhJvR/ydH0pLYVpPMgsVpsuuQ7QFH4N
5mq9TJy4DvYwjHeCUWXUbY7SBjYt1eNdyiQkyRvWDz+Uww3g9PVxrTuniKgs2Y5jg+zmU8l4IHxr
OVQyYyOIkO0xv0MIsLgDSBTNeYGMlHhvJXONm5YEdLhbHdGovQH3EJk0narvYFSuy22iG54D6bH3
sxwEoD0RD/KdnZDIzvKR1pCMzF4ErYDNmGB8CH7caxz/oBgs6QO7QflSeuPsHagEni8hLMxQd01C
U8M4cNvr/Zm4F7ma0bzb6vlOAEvFV12k7cWasbhjJ4IfHFWWV60wOn00Xq6C+Xbxwg6FG4HPIHia
Q2vhXg9yAUhT5bcsc2khgle750XDHBEFnfQCDvFpG8lUMTTSbKAJkK8xVR3bPmM1DDNbGsG+bH/K
zAMaR56Q8oWqEgnkzXgOcQIpnaQrV8SZDKdcOtZuy/ARM0y895j4h3C66gR2CloC5DDFQ297Bi0p
OdWV7QwEfR+wb2KI8chXvbe5a71T77NgrglRmurFRf4VOUch9gATYwpenT7by3XupluPk1JOUkxD
d+oStNALpmih5pMYkR3CIhxe4Y52d+zIwXzhYhehRZNTB9CqKmfnWmTXfU7LKAiutwQnj6iHU3vw
tcP2UeH3OjmFqsFizyOEmCzErzKvgZuB8RJEdgbH5NSKQ9Gz7qreraxdHs7zraACpt+VmdUdJ6cM
L+tuCoO9zQGPLFOjzNOy3TtYTHLvckm6zRVS6uJEGqW4tyfNvuqSaPnmcHTj1YhBvIe4KC4sGnZI
sXvkphB4yazxlcyN+mAkurhUjJQva2IvLrHxBPG8SofSvYTqzPffMAMmS6GhsKFknDPAXKb4pjDr
9Dcle6iICPfduQlWsticTPxiDv1RaIQzPQJxYnAU4x7P+I/x18LDjutZ0JJBKyExtDr7KZt0RN5a
2ZYJNJTX2AC9r9TyhwOCOGktQdXhXheecUMVUvceMiDmdpShkAHxnjxrB6Yfj0lOZn4bgDWYCIe2
W2yqQXJv2W2hDvdE3QmKOPF35ChBvLY81CbRw6Ptp7azmxATr0yid328ItFZF1x8cBB1zpQ/hzPA
AZhhTfCqapkSO3QX2IxZHjz3jkkT6Dqw9kSjRwSWaLRzYXcUnUdh7fP40kjKy8wcOpgoP28on9S8
/4szCvwoU+FfMS7nfpeak/sEnL59cysSS+UYFu9u7nCYpxtVf9qj1d8x5yrBDvRZ4p6hHztnov6A
6MzKxIkkpsl8T4aUfhb12yUgqyxtXy1l+VygwCV7Ga79yqRTtcFpDFS31Xi7mcFVJUE/BIny7QiV
X5q5qc/s/8EZa8Z4FQ4NkSYg+xM54gxvQDyFhtlsp78hylbbWV8yS67PE8l9d2950/rgz9If9llY
O5fM5PJP20ladHStg1sV8A3bNRVKobktFsKSDll7dx5O0k7lA8fveWfw+O+2DlISdduFEBxvseON
L0kbB+0ZvVDuO9/PzlmXfQoP0oqJOH7mocM7VoF325XSpB9QjIZ3yvKEeVnQZXduLoov6dbu94RB
4b4Oc/kOhD58SJeEqnj219j2jdqIRMOYF7t44996PL5fidIGXTpcWV7HKW3oZs3WzImbXFX9EXOq
/2bJ1pljjwE25Cc+skABfmboE/TLj9mmQsCm3uMQMNgCMFhRJldpsP+RQ0PLacbidbGMuT6yWW6T
FusyqHyfFiknNbqdZ+pbk5PHsQjlS+4D9aDyyru0pctiYTr2aa31idPb8sM1evuVYU0Hs7BX2aXV
Dquz53Aij0x5mlvUMyl3fNvL9KhdPZ31Ug2HbLHmJ11Z/hHicfjcm8THazH/gFLLbDAZnPBqrfzP
VoOL2ZVJhgK/hjT5BA3px3EGcx8l6VQWEKvs4AI92aaOYP7KVJp+eih1pyUjqhmwqDb4Cg3vysQM
58QEGCD1j6IgqzZWdOixSlbXdQBZjxkD1moqcAyXvT5s0p3DeBvjXOG9tnlI9pqYW+x0Fkdb0wEh
yMUv6vGMQhzNm33mqPlardWXoJqCbOtonHGWV5duYdA9QO9CzobGhNgy6q+g6Jw9XKD+R1gNHvOz
tJXgGGQ9iyN11uON2w7DXZMk5dHvrK2OiYD+fggTTpaTn0HGnlMTc9nYb+7hENxvZdScr5OhyqKC
0dQFGul8Zw/NzzXt9AXHi/FULp68qiZmjGRR3B92PVTPc03sa68ZzLM3s9G/UPa8HDORwD23AAtF
MgAPAXQ157vE9/OcdDJ3TrpR4QfT6faeHqORD99J5l0ns2q8tFSFJqvyHsg2JJ/5u5I9FxeLUw3r
ZFjiEmZifFSGt3z4yq1+DF3XTSB3xHw7+AYPUYZOi4t9LeSniROHA3M5UiZSj84LaH9ot3KymmPp
+/oD40hg7QpOHTy9NBbQsAbI6sTXeOVMLl30bEWBIB7y2jhzGB8Yr5gAMlFWW1qYuDbtKXkiJYHp
ZT70if3m9r112RQtmfvGGg+iVwVIKcN4J8XpH+2ZEbFF7cFllhgw6rh/bOOrDtPlwt4qi3EGV2wl
Z/De3A2ssVmIVjvWkx79vIpYF0S5pz/G2mnPsl6YmWPMHzVzGZw45S2j0f59K8iuuJ0P7eOik0cs
uuOPSnu+RIk3eHCIUk/Fo2x+a2YIJ+aik1eo29ydjeTHIuYgmuUcPjd0+WASNtWRLDbwDZ0qBGqO
A0vcQ0q45zy4HizlMOv1LSE/SnTxn1OZShSzfv6l1VjKeHIgZuZGdSS249JSkUG3CELlXui57/ZD
PRs3bID9x2QZ5S3V3j1Tl5mwAD3a9jWteXV7NFALz4pw6HnLLYMOng++XwUroPOl+ljzsQMgJMvw
bGX1JYVhC1HhJDtZbs1CgX8GBwIaiuKwPkXUUwRfks6IIRIbmjse/WXiDOAZcjxqUNd3/jpPr71Y
llM72cN4u8hyObTZ+M52XD8UQaP3QVlXt/WSnSf+2uMEPAAviFdOX67ylLhYi3E1L1I/GNSeaaLx
vkrRvwb1eEP1cL3HQeNFGLvz1zxtzHvMATXT1dJGQDPzt7AcupORYk8tfOOhTVy9Y7BXwzca53AL
ExictrkntzsDMNAVeIzyzHWyOTo0eLwzDbJirIAZnvElHtvZK2Ls7kBpslU0Z7QeqpEHezmTwjfu
B+q1zpx5BI+Cc0/R4XSB6LfBtw15kPgKrhN3XK7anPnAnlqQpt9RP+MzhQ+shSOAoHbdlKG11XaY
JzW0MsEQaLSXZOw02lzXvJPt4QxXLd8E/NWht6v82a6ciYNVklP7Qr5ch5m8LtPVu7H96mmlLner
WPj02wBX4wDt6DDUQ/Nj43C4Sg/Po0uF8pURNOPzwHj4oiey/EYwADSScMrWvi04R+h3bC4pIqw/
mdRUJVMxxdyHqDkLVJ7CPiQbzd+I1Nf0t0T3EVP9ip0nzsx+ePRrjxMgaQjSC3REdm+Jm5v9MXNm
hEuCzpxSw7HFaZdXhvm09O4U93PWVbSkzu6lQT4OhTjP8Nm7qn5kx5XzwYNFg5RFeQA5CniE6Xnm
MlLHVif77nJk6keFZ8ahapcFpcr3QlsUeHMyCYu4HyXLjHZ9Ll18pkA3qBZlyv/3ovl/p5gzUBcc
KE2mGxsq9I+Ked+6ibKd8IuI2nIR1JMpTsvq0ry5tBi63HZKIGokcrnxSzqM/v53/9PIwSGXgm1W
hGDsQZv+JQYWePPQW+36M2iH5jpnhnZMF6uIV0TXOLf66dQ61XSPP9rFqDIZ5u8e6P8xsPnPIw/K
Roj92bT2snF57l/+9swXGcZ4lGSm/WCza7PxERDDPF9+4ZQT82MXuJbJyh/yEWjs/R9FAZXmIH3U
zb2SE/oMZ/6eYjKR6/KcTMZSXU4tlrojfoDaiN1y6PVtu1qBR6igcIx/wVqz/hIF9RgL8boFUyVY
yliV/zLwMDLPQsyGa8Hgk9bLjOlrQgdbY5vRPKPO7cfSsiqOSiUznazBCL+HWbWNagytnt2hrOmR
lIaeY+u3qY3RG151+/cf83/3IilEIGIJD84mI/YXKJ3jsNgyvQYH38lipkWQYNhlPae8LjbuO7rt
8y8iAcxqinLlTf5tihS2IRc52Ay2t8+KNEfuAcGyIB8Sf/0XD8E2lfvT8CsgyETImJAg8EEytdvb
/IfhF8J21iU9GbgR9M98//tDN9iAlo5Wh0Z1w7ohIBjl6PWx38rFO6d6WKubsMm0ptVjITdGU13J
8aHqG74ug3b4piS9tpbLmqgPHJtRjV5w/ffvrfOXzKbHC+ZTx4q+9VO7EP/+/Mq7gnhFmPUbZJqq
+JNTLlXwTp6sm/fGwoP9s+75vKHVZG55jV8wBS/X2llxky70cV4KH2/Fqao6sLbSznIgdw13spiY
Awkp4jMsmsU2DUIJwDelxsV+Fr9VyYayIiQUDLgoyDD0s45rWmo3JacPjkYAi5YfWOPFsGRx75gO
WmtOgxnWpjUwfsKsC9QdQRfvMdSOgPM/jl37L56Ov4IIeXNoxrYCl9Q54XPKg/785qwMJmqfoQ5N
epnOboycmFw0YetLopwzE45u0brO9SBHLlQyz+0FiI6XlheCPr7l0uXS9gP1f8iPIR20CJnW/2Hv
zHrrRrIt/Vcu6p0GIxicgL4NNM+so1myJOuF0GBznmf++v5ouyolVabd+da4qIcqVKXS1hmCEbH3
XutbJvF6bKJJfNQXlc42s3QE5Ex2ZbOukIJD6c4C/qhE14VI0s51Yoqduoudp9JCGHug6xI/0OCH
9v7rlfB+M8WmbBEe7FhqWQw629KHJRwOYpoUsAYvQ1+z3KBx7kZjesj0DOpUVNMPIMmRu4Rq5WYi
Pqb5zUMk3+9FvAI+ZEwRpm7g7sWdvhw1bx6iORzNKY+hA84hvnGEU0JxiZxRwyOMW0Y6fMy2Ori+
IoNYwyrppd+hoqMI5IsZmiU8r9KM1FrSnPVXMqVXuSWzrXvMYw5Bqk/fP+D+QSmDwkvtzC7BDg6e
jAIWu5iGxotUI22zaHKy3a8/3SX7/c0OYUsm7AZhLkLA8MT9Ycj3b87Eyaj7VvtKZVKd0WkhqkN2
KQ86HQL3jCoSQV0kEBj7dhI+leD+QhjzdeJvdMfxjc3gIlT3Ch2s4URndN1PcXwjIQxOzJSEeeN2
U3wkRY09RffNPMZNLPMa9TCJSBEh1itawrTNcRPGMKzzHC0J5odmk0GRulY+xdDq1+/4gz39+ztG
qmBJW/G/YYx/2FlS4ESpWaSvrbHM1QymHtQQcFi4N6NKyFdIz6p+yxorztI+GKOdWdB35U5OWdNW
Rjhufv2CPgz3lxdEBpgpDMl4n0As+8N1IVMq4hIBPqcdOM4PRVdqNzF6HNsLOuGjXDOs6TMQJMEk
t039aDNAx/dPXUx2pAx0bdOR9VvRmhEoBL/loRO3mzjTrXPbwGaw7UqyK2rwRP7RLKvsrOtzACw6
/mjqq2XAyUZTfpFlQyoX4BeBBFyne/f9nyKURQ8v9V6zV6A/ox6BLnmjW+yFLJGihVut9w3lG7zO
xCAWNOOySPx7Q+QzY+xg5c9GFO0yoplZ0X1Oty7lUh7yVw4KjSK7SPvg5gV/Wfp9Ainx4wT73O6q
vWEpsXUY+1NImj4gz8KhomXM6RfjxojxCK+hixGAk08LDrTTZHIKR0F8JuSbjrBZUPt4SVzbqUc8
5BkRfKQD55KM3Y1BbFjPVDC1llBjC+sEzk3GTd+/2L8lF7r9Uxr2/xt1ZflFL3RHl9iw9v8XZjb7
w1+b0HZP89N/3bS4Ft6z//lDPz1o6hMWMjxeLmteB8jAsf9DLGSoTxIVEe1MyAk2myy77E8PGvlS
3ABhpiygA8Fzwo/+6UETnySiTrlQVnRLcF34O1qh75vdH9AMG+oIojhJ4B6GNhd8w7JZvtnpEfZb
IBAwtTRm2mIK0Oz8HF85Id7x2ofsdqIhF0xXAeNgxvW4jfhHHM/1vqajPa5FSDmF8l5y9PYyWdLS
tYmeAhu4ZQLU9KCzkBuFrGbLfTbgqk0gX0EpNxNezgxfu2j0hut2irVgNeW0SXd5g2gURBJwTvqA
aGjtvBBeOs0cRH9/tf7PdE4Cjv7Voj19avvo6d2CXf7AjwUrHfyProVVgpRGHXcia++naVL/hHQN
AKKiI407QnFt+LlgTecTbkLCKKTFkjJZ5v9asKb5CT2ahemQXDMUcbr7dxYsdNT3x7e+XIsUzwb/
MWx+08JiebNiYbJOue3E9pqRaP4tc1v3S56piIwzIqBTcAxfk+9x5R0W5y8+fgOy4MHPndEYqNRW
uKm6s+oZaAi9/hpbYWxBLpuMcgZLSpYt7U4bZiY4CWLTRSGZ7hUqTXMAflXxhaEAIevx98B1d1xc
J3VHHwD/3BLKnpg+iK5uyWqndvLlkaGKNaySIUxu+dSI/62XjPdRoW7YZaZqaWiXDjHwQSHILNaG
JR7egQCKccqMKozcVSS2SagQxJujj4rKz9L4gdxHFXhIohlUNhOejo1hhOAdjF4jdzVCi0VyugVd
bYYgi8hkSLQTXxgEojaw4nugIt8AD2onqGdQp/bVeG2nc33lm4m90PRkA4sE7N1TlhROd885waDZ
oM101spsOjfhTCbeEKvpDpsVWYgjE/wDtswo2zKNFl8W63S9skrVu1swKvMDuE1ivRNomE9j0tSE
DiWahKBhwLFbg3liDhn2Wi02HOP2aw2OM1jNLZZILy8j88zuCG/1KsLhGX/ldfeNLmN0FxAZ3G9S
g74dqgSb0zqmQwi7RB+0M8G4cz6Jpzr4PJWqNjxEivN9H8Gj9ggkMsmsdRq2IFpJXbtK2ya4IyVg
DFZ1VrjVru4d7GN2bDG0KC0ifE+iBqDISs3kp2y4D8ImnhJBhiOsSPx6qCA6ooZi8dp1rnFilBoj
oEHUASZ9SvfzJi1JWKskb4ev1zALOmH+CNmdVuXJlElugDXHPR+JHw1qJfAf+eu2sc1gnddtWZNb
3IkHt3WWuG1GGLTGsWd1UNPtjSiZkeNArAoXH0nTnXY96dtk6OW8hp5oymHf0RB6NmjMPShoIKwZ
pxifVYk2whOqpf/RKRXSzevUiPEF1yxjhQmZOddilFC1rtHaog6orpCQJPexIOJ8VTBee8XlrmH4
jGzrc5bFVrhJnFgv+aqCONn0Qw4Sh27CQ9sn1PyM6a1+NdnLV1+MzFI9wyX5dDMWnXavpiqx9tCH
g2867bNplw9dZq0HDPPJxQiWhChhV5JgBMWR4UQ1ZKR8+RLKnCXr8M6fAwTYsYpRTGKNc4kJb435
jh4FUV0RWMho1U4NxD/wL0O4CjNphzQPSQxeZaj8sRfFAzyCOIUgkwQ02T0wK+3j2FXGve/U9cKT
opW2gibjN2eGk/RcPY3EznbJnMTZSYF/Vh0QVnX1AY9UBjoDiwLzITma8BHiNoovpkHDujvY6OJW
RD7znQstJHZe1X7lrGpGOOYKNm0wrOuKsCAK79S3VyXyOsDNiNLGk1GE/q09FTzJ+lzQ7IzIe75C
AVUwMtYUMWZjParhZiz1RDyiKVHZxtYY4a4Yso3cRuu5eahZCAqQ5kBPmWDoPoOVFJPsRwWOsgvn
QUxwtVeSGVZeROSIw/IYpM3s3dcaNFstCprTboqMJfwvV+F5Qpz1t9YaQ6Y2iYvuBONswHcbJUaz
661ZvyN8EwmBm5TxS9KMNqILrkuQ/wyMtc8KTMljXczBa9+1xmsdopfchDkG5NOoQxxKZ1/X74hQ
BIVZso9sapAu5s6RKrnHR4AzzAz7GPGGYwX3diab6rTDm25viBVo72nfpNO6U7WasGpgAt2MTYFu
yITaDTQCG2ayQdNjBVdygkNrGWW+yZpqfnZ7oYFmHgyQKaM1IGUrITXBcsoj43a2VNCsOl10xTrV
bbR9BSNAyCcpLNq2EDmu2HRq7lFVNM/GkLQMwItqIer62NQ9jC5FvmpajdBtHJ2Os/ZHvxMbOyT6
etvNOgrDLhUxibSa/Q1NGHKZCNMAU66eXfzgW6FrbMxBsF9FfljYLKdkoZ6oyt44bm+wyZQlXMoA
5xhN9dAa2n2dK+chWjIidhrq9udaJySAzQNyEMBeRLcn4ewzYwPKSxZuX5TtS1NXHVOqtiKxCS/G
bWM7yHkyx/mi2QXSkUzF8y7FdAMxvR6esYAHx450FjBbTccw0JQ92XVjcVsrp8W+1GRgZSYXOVnI
TKzVQnSoSCjEC52v8tuojTr8JXozHCZDCgZfIHYbMfUuTooKlvoj27dteTZL9MFslRhutVg417Nj
tfd4oZpi1Udjd4mmvB42GJeH+4TeRLzyVaezEdeJubPJSQBvHE3pYZ78SltNWHq5miJuhfdqx2NH
Lsok5ZouN4I80fY7VafY9rt0DGCZJ4UPuzXVcZnldFc9mnjul77MQnuDRi18SpqO9IiijEnVA7VV
NFvHp7O16kt6iExH4/kb76evjz6JOu5uijHenvq5jlx3QoXZrp28Hi9o/eLhNBMxViTx4YdcBAHg
geGi6KjImzwRSJjgIa/CARz9j27B36rh/mfeihe64l9Xctunuvj6X4dmiRFu3t6Nlz/242qsWUS4
cSEm75wvdoGH/PNqrOHgsBTUEKo2ouLMpe3882psyU+Ga0hmkcgydRL2/qjlLMGP6LAA2xTQTgGU
/J2r8cchiDKFomNHWAxJEY78Xmm+vRnHRR4KhVpxBduiuWrQNxxg0d76Thtt+n7yobpGzUYCLkZx
xiYqnTg6B5yMIDNO8q2o6W+WVngT6Inaz1F47gx2e4r/L0GEZl+++XD/xOLxHW/yR+XJoIpXy+di
CzLi3aVqeH+PH5BIxoWG8JHY8OYO9jHpxWVRO7elUVgDl+4SAkrsHqQsh8IbVFddh33NXtDasTi0
UdQ0G1RuGewCw9nTeDZoQi4GUNeFekgC6rzMYCftK/q09lyvGN/GFe6ykt4qUDE2r6vQkmS4FrN5
Uzo+Pnnl4iTxYj8zqxUdsOVRRlz9OazMbiFvM+AWkuCmKLVLucprP33EKFhE3q8/GcGCeNOgXD4Z
/iMtuonMgxRhCe8/mXZIZ2Vm8OYrUkJN4l62LqPiL6mETrC37Qaok+Pr8NdDcV6WEf41287H27K0
CxIvc2I85pITMNXRv2xyqwTwXS32EM3EzjmRKv6bF8wy/bcXbCqL12oaOn6dBRn7duHRw26cBjM8
/plAu2lzP6U5bhJlnLKfeTTiwhNdlv7nyAxM6nlEtHvbN25ls1yhY/rJzOSUeWrHHfIBXLo26hFD
n+70ymjv/Iz3iK4FqgQHaBNe92UzXo19142resamADAADL1puz5SMmOMH+c4sei60VSgeU77hR4i
l3FEe0b42s3k0BN6jW7V04fcWaGgnAjuG8fyah5wjvta2VUrvJzEvwx2eGvng/+AtSTmJhJm121k
l0+MVls4aXMsMRqUHURxjlqQGY72JZRdvZ+E07xy6Serd0zZprsCuTBWF8s9Q/isXYIwKC+KbEqB
aLQiuvr1+ln2p4/rxwSByhHFJIHna1lfbypkrcq4sepYHwejina1jbz4ezGDp9shSWIMMLpuBgm/
C0+Ys8mRNG7RDqjreDBS8Jaa5aEnozdc95eRHdt4vIm0vK1oDZOH7RjVBe4E7tsWlkgTwVkQn7lT
SSx1xUUATJoopzOGzfsyzOth0frwJenK71djgzhhEP3phLgoXJkp1zyv0kg9QCzDtS9M2JxzrbtL
e1LMtgn1p1c0QXiWUzeH3+NPblrLQkQ5+lO9MnRMrkQsYljiTU1IQtSgTac2IzQBeTwGzkm4IqWx
vjHoMoGIk9lRC7KGkrIwrW3Va9X5lDQT8eiGfeyCieYuDHCwb4RnVKdhRvg30prIuIykdaE1DtRQ
DAzhvkquZAcy0XNJntXLKdjmpW/fIzBZRouFGd7UzlineAK0o4agl/jaoFnXmXDurIrIcJUZ6bWc
XWf8Tav/T7YO9n+aiUBAdKz8HzbVVM6JpQsCx7uUxRVNtX7KBd06ryxX382DYa0dk0tpMYf6b8aX
H0fDy67F8Bo21kKPJrBs6du8WXVZMDsQcZgKNrIsNqZWjl9witjkYstjA2nloNqu2pkmJm+dGix1
tXItoy4801xC4pl9DDi89fz464dB/snDsGSk0riyeee0jt6/LEGzZXTSSeB3jIxNqEgNw2dRY3i2
4cihENka9MNXWWbUq2ogAYQ5dvo5KCj3i7AxAPP0+q6ryaWUgaGfaBS7qzDxg9NBT0cc9Lnxwq2g
WlUNXYVfv3abHtzHBxlFBfcJrgjoCRef6duPFFUrytMQmaKvqfjUymNoq76QU773E3GTE+NA0RvX
7gNIVwpxKreLpCy/IYX2Ce2mMCo9e+hIh8ftI/nvLNMvVIJDf2vB3NwQ+DRu02HGYyXAl66GIYga
UgiGalML0SH7mptzI7eqta+IHzT5HO9TExOPcAfCcLiOxl5U6uWRKfr0ysiEWKdwnIcjg6OLmMin
2aphMuqWHd3K1gr44hO3vuDfS5+Myae/o0HZICQGY0ZOEsABWpgPDSAdzzPUNqcJmlYkpJZX1IE4
ohacNURTrnN0lVIxZNsy2jZOPO/rhJ1KGc30ILFf3KSwSR4QUsnRi2TYk4PIoGQ3N4sAPw5nPk0D
26U9pe4al4GFCXA5L/op5Ge//gY/qhGWh8Lm0bLo/NvLZWf5ht88FPHMAQQVFMcTp/2t7ITCOEPI
aw1SadO0Niq2GUUiO49+hEka7YUegk/QSHLLMB0iZAmwxjFj9mbabNjFS7GxNEv9mNv8pX7G+JOV
hlOYI9q1mfqaNu3bt6+TKD4GSKHOkdFnyX1VGc6RBB7YjQyk8phITVaQsdOtQmw65qeruqq+VH0y
nLjOEO/kjH0CYb2BvBGSQw64/dB2fXVELUPyeBAzcAvV52qaTcz+IK8Dq5wuyzAmZq32zC9JX8Tn
bWaFu8zusn2NdOV3X8QHcYXibmJxGEp61FyPl6nJuzeoRREmoQqR9iASeRnUKjlB9d6t9MJvkBsi
rSxUG52KgpJTV2uDCZqL8N+yALvmnUmLtrNedc6z3z3kH4azvC5eGZ12TlDyDjA6L6/8zRIpnYwC
0MoI38hVfKnsfJF7IMEUdn9IHJHuo5qAmdZ5sJbOiEB42Q3ub/RTf/Lp2PrSUwcNzz7zcd4fRTEG
D+XqNLiGF+b2tOLogGwzGcy/24//7YRSrC70rjhSKKEoVN6/3bFhdJnqJBySeJpe+lXZXEzsaSdF
E2G4bHOzvGTQ1DwWyFnuhGUFNe0RuGa9aWpHOIpgcWw3Fc9J0e1dkugiegOqtzzCmuimZ5iKYtpC
OTd3I4GG3JfzlVOk8S1ea+KP8RU+5XgyU48mUXWC7nx0NsqIfwOEN5fl9K64ge8FbUqChKeBDZT4
/bukSOv1KK+gVXG9oWkJN0xJKz/FKj9/7vAFbQzSq5CrgXtpvWZQF6B0wJuW3WBkDALCG7SdJnfW
rI8JhtHD8sWv3ekmmusjlPviNqvzhnZJ2RemN2VO/VSp2blbWO3bHiJ1i3Uj4TJtwnfFXuGITTxY
GACqiIBpi6Bt1U/TVZctKgfgV3dBYTkP6ZA4R0OT9vNAe4XWN9HjpwmWJ0bQULePdmcWldeEyUHM
bQrltUoT06ucW6vtxodyFAQjusVn6q4eKmTYFDuYhxcGCU0bMyRP6T/jO4KgD6///Q/kEH/dp/g/
6fPH/A7+/Z+zO/GJzdsQOqIhw9bFch79mN0J9xOYW0GrweV2ZgjrjwaFkvQueBZ1iWCObXwR9f1z
2Ox+QobErY7NiR4FG+ffaVC832XYe9Ga0yBhsi1Z7FJ+OGSqrqIORZ8FVCbsr/A4sIbsnkOgSAEh
/+byJD/o6fh1RNa6DGR4BPko0Jq8fwYrM4vJo6TOaOtCPcxuGz3rdhXi72i64szRVEcrGi8JmUiZ
HJ4bI3NwUgSyP4fAYhl7cFI+IeudGV9QbmC+CPDZumu3K+Mr1VG2r8PWinTMMm52bBRYZwwD5XDo
Oz3PofnQwEPjrzsP3BaXfunkc0PsmVdMUJbEgp2WcXZnIpwi+QPC3BW3kOLSZXbOa6kYXARJRGAO
ECrVrzXlRA9AN4LDYKcl80EAd86qUYvE2Y9KMnTpEUp31Sa+fHQNza5WE+7su8YFObLSkYCARiIP
gGLYBFPFlag1EC9by+DMScr+PKjT4h6TXnYshjK+DnK7JmLMmIiRRr1Vdkh1qm5JtVCSW1hXVZdw
sWSwES0unq8xHDpr07IvPAaFa16EfogjZRpr88Fp0NJ63PmkhQFJDhZw/Ly60+lfR3sNAwFGvCSY
ruykzbN1PlE90L/Wqi9kTPv3kTumhE6a+JJwp+iAPwKccxO13zA8Kj1qBFhP4dxjFR8Nb4Kp9Zxl
E36VAioeEpmqadAncPmi+gxccTVQ/xl71UKcXNuz6K6oeXFDVgM8vRWGO4ea3VZc+YfR6rAbDLVz
ZNWWtNdJ4rt1nIWNVmQMAzzsWLjpLM22AHBbSnoZU4onLWs0uUrn2Ag2VjKF9TbHKnw5DW3/HNdD
p7yOY6vziqgbTaZPTQ+CHunIZ6WbNUb4eXS2fVVBV2wDgN2rgqHw57YccnAuXBBwZTH4vYAsmM6U
vhmTG0YA5hqyl73NuZ+NO6NVQCdLvcg3SrbDOpEsmVOnDgd3BbXAeg1iGufelE76bR7IJYAzrGtc
HmXf6FxAawx0ggCwBzWYCfz1CTo6os4IsSGEtOGRXsdYef5oQR2oixr3CR0baJqqm+Df+Wpws0M2
NSo9WCploM4y0Z6d2LIx9GvwNZdVR6sGYnzINxv6cbtOnIlSaxRpWXhdqFU3Rm2yORhgeOlLGqNK
icVTcoTiJZ1LnIdIUZzBhcxZVQlj9dKUNRPH2ajozGtRIz2KcviXnUhIHqX9OHyjKVhmzCNTnmZe
xq1pjENFHHnYQAhESgzRRAMesMJa4pKvmqWt2Ep36G6btjZcj60LbDAlWnJmmwVGJtC2znk25jgr
sGZUr7PBfImZJPZRjzktgYVoy1ukog7CgEEHXb8JnSF9HHDZFx4jX5+LTcS8b6PmwPg6GGbWnsXl
hPF0LGvOTvzykXnigj69DVMAvBs55nW+RRfQvqQEIWD66TMyExlsJrQrycIcvBQ4Op61Zp7hDRPg
/Dhb+GLWRlzLC4Q+0x2NYf22TPv8mpjcpFnpddpfmi6pl5u5cnBFm4nBNeT7+fSficI/4BZxxroc
ZL84r5+7/zrrmqe3I4U//tyPcxuNzAIaJ6tnKQdoonBW/Ti3l59wKUcgJqhaOLs50X8OFqT5CYEY
t0wkkpRuqMb/dW4vP+KvUejEKEGFzajgf/+vd9Ug4rp3//9tHNaHKtbmRmAvcwXko8Yy2rA/nKRa
x7RZg8OCkSU4MSbhbsg+X4e+MS9yEcHtjnn/QNfLBfGgzUSTL3mhCHSS7UJG3pqzmIBOg0uZ2S0a
0yl+lHf/WWH/gDT0q8V1+UT0Yfc0vVtcyx/5ObAy0RjS+ebWhWaQW95izPmxsDTmUhiFkCa6Fj+h
Y8cq/rmytOW2uBDKEFv9/OG/lhbXf2Bl9Fj5S1l5LsKuv7O23t8JrQWTBvoIzYtCjo1s6kPDcqLF
y5UgYAwfpDcEjXY03DJgGASD/NiF/nIV//lvQmi5FNpElH3oT6o+QTmgWKiJPU3nJT18KJ7QWhDq
Fr+5e/7ZrzJ07tMWnyDgkA9dH6m4WsqWN6WH4jJMGdigC7+GHvybMpMv702V+ePD48hBjIf2zv63
3qbrmhUiZDfeJFTI6aoZY9MDryyOpdOaTI6C5P7N4rr8UcC+3QmWz+iPsvbnLzQpadlviFRYpIFv
exXUoipScZRscIqmF27hPIIYrs8w3CpkamSHUuc1P57tv/zeqDKW/eXdr0U5SBAf7QJdMFn4uEiI
d680jIvhRuESudT6Kf2ak2i1iYCP7Y0wdG76sRxo5aOHAitW7iPhpCdj2dvnPkXr2qyNdI2sO7t3
RdRAzKyHE0j71uUcBs6KJqt5Gk5Id1xdK/cisOwb8rtmuqIjwWFNk/qrGcu+8ADZtMeyT50TaywS
BnImAht4bukqqXLQTXVStmvamz7ysHQUDz7+N2Ziif2l1/0M/6HWKor9RrtweuW8+LqvHhVfXeTZ
cPmR4yQjkvgOy6btZ+0TttfXEKnRiubied/Y8TGS0EsqMowhXBktqb6Iez0ytcWqyozxiFIp3dMy
snAkR9o98TjOuWkDHRJZT+qRRQHGDMYe73Ibbh3TgegiGRxJG8GKGBW77d7Usye9qOTerwZMsRUR
z3dL1++p7ug4l22Adk2Hed952TS9IAktECdwqdrO5tDtNOUvJRRX+rVmdWQJASrmA07BuV/ARq9A
2FVj+tzSMV35rcWEBVsCPgP0GWsix+qHPm2Sazxww60dluLgTGBeJAcKF81cPpPgpq3iCAJEkweR
sZ79SDsdZeCstWixwg9O9xIs0nY/9MWtZpQdfh5QYtEKsCf9c/IK9riY/QNhMzp+WMLHaaqgfAmM
5CJO6+CSitQ/CLtFRi/4h3ukdYzRYgILwWJNJhaJGAc1Cc64jlLZE3nctDcMfSoo2Fk+CJojmX3S
xmb4JaCiFhht/WI196m1muFSbY1ZN0440/MnGTTMGgpcVC89d0Y85FnT7UmEomgJ25ogWK7qe0Fn
Lvaqpp42pHCLtcqKHtpLdAHXb4Y7OnevLVvASTa6pIPp1tCgvDJqcd3qbf210/XmGJPlfLB0PlzE
i8Y2auaKoGkkqb2XVyQBlOTHr+O0rR4qqw8OoJsw6cs+3MDaCBHZIsJac1/McRSgsTWmfti7ozDv
2qEvLiXBQJswAAHiF6V/77SLjVICS4BHreNBDZM7E0ApMVdV+jhpjr2pCrtEaOt8bUWeb1tiOB5E
QSltWu10SyBxcJ33pgWYRLmf/YzShamfs2sCmKpuG+ZnOk/fuKJjqH9Gm6VfdEbpnwsRQc1o53y8
CYENrpNi8F/xWIcX43f/zWQnRxdb55WGIfnBMYgqulJtWaUbjZfRvOCoKzFIT24GVyJf5LtDjk2e
ApFSDWBKWPvFdZ1Qle+CXlZAs0drzK56Xcbhuuq0Sn/N3XRIt0bfd/4u5yqd74gkoChCGlIUZyF5
JHsEcS5RXwnuJIhxqf7a9G5nbycicqdNEC2z8MopkuCMI4XPG8sbUGB/atXjjJWzXY9ytqnxkqxr
14uTdsALVtqNZwXOpd5mezvWhblLpUIzX7ulGhhOT1q8z01e7JODT/426guVrE13Tmy8VVKdOc5M
gZROKhtOQjiCxUnuTj26OV31OzQr41PWI4nxKtWgiUCGOL50eqzNuy5vjDvy/1z7JLHD9ltWNtON
mMC03MK2b03YtaSTUUfJOTxgRU/UOoMWCjUhNhaOusEAtA4Ch9R7dAF+Uu/0UiUUt0pbwTI8NfGl
rzG/FF7d2P66a2t/SzIdkwdm5+uqGE4CJwTX0LHg8sm/M/qInnkWx99UOM0IrpACT5CIwWHy9vkX
oeABnSnaXWAaJ3Xu0AvuiJ3XOqp/n88DO5r2NTbt/rRSWnnZlhFtk5Tmzwolw77Qhslj8RPpoK9B
W62GQCR7nd+3g8XL2gvd26ZrLmrL2vsob4kc1Bx9m1XNrkQgJ+2xQtu1IIV9JS4k2mlCc+CEhjtO
oA0h3Ee7HY5WqB2y0j6mY3o3DNUD7dZoR+/pBZzlk0GjIG4V+Rz9qbDKzzD7+8+cQ7tqsva6FVBu
1zUwblq8XjcA9/YlTtUg6A7Eo+xmibkROeYd5FMmTH4QrEt7Ri1enxYJNW1n7lq3/tYUYlcY6kIp
kDtpeVNU6VVuuLnn6mo3WMYussPuEZUzmI3Qb9YUJge7h2iQQIY773P/W6iG26huL9C57jo3h5bW
nZe2rDdF6N7XGgN1l6k8EWN+tiVf+sopWUc9fFq9OoZAbfypYmAXhy+jDilt4X65X7sSWX1luutw
Tu+Ksmwh1tHYThDWekmUer4PY6/KT00TxrRl7w2Fsw3GFEIiaPYC1jLp4G37VPe84lkAd5wuMlWf
1GFTAQ0BmF5CrlFttW2QDqJ4uIBNSoYihrIABwD5690ZnX55o+x6wxB8h0f2NguAAOKEKc4qx99n
dcY6ktne7MR2KqGm2en0BXoUAhcrPRmGdqMi57u5m/4ncbFM2txiPRSa2nUjxq5gRHYx5bTHxFAz
w3Dojdrm5Em3hl+bah7DrV1RhYwDp/pSC+PqHjAugl1D1RddZF8aveoQl45GcZriN/Mk8lMMPdGJ
inpinSoCSu0kvY1MroZ6kp8xmw12SZqjOI0OaJ2OZhM+pUXymhs6UisVbOgfMoCV8gSLBE8UdL/I
im7czDkilDAu6CJhHRw0d88v4M3H+cb2p3VZG/rWRla+pUNyP/nTV1UWXFBMq0MIwzhzCpFdz81A
76wV9hU4y/I80uNsnSJV9nS9RtSUkUzoat2V3mI8cgvzodFQFoDAP7p2DI491Q/VnOm7oGzb677u
AHwW1bDNNJ+hkByepDaGZ5U92ydEvl8igIFbRsioquV8lmjmoXK0ggTJ+VCDXV2PtvZocNbvRTfi
PHXEGVqdq5wIlQUNBcebsNUviQ62VyvP0xAyW0iFtAI1rntdI3eTP1znGfnybRc9tK4FV2AMH6Yl
1hRFQbManfGq6aO7QgzXmaOOZCjhsJJAGUmb2pWDlOfC1s4GGx1BaMGOLNrwZpz0c2H0ByMrr1xj
Oumi5rQXNVmVuVWP5Cnnw64qnDMxpzM89+wxrYKjpep9MQ4XRWXm26mTp8pEGDaJb0k07G2jugbg
dYcJ8NowjfMgIRklDS8Tt+uBc3UbMc0L+78zVtE0vhBUtJ4mbaMS5+C29b5h0jtX6lTjcfWUA1Sl
Sc6KMDhP4yTeOk50TsDLszFm67mLdn0bOwhQ2IKE5jwKVV1DhACUouwL0KcbcA5bmYiLuiEgSqfl
JMJZO7X0/Bb2ynOO/hZUV78Ooa+tC9J6WLJDeIKRLOMqOOwCxyW4Zxwnz0qRmIXDErnC58K5NJ/i
1D9dkPHkztTshQU5nFFkgvyt2nPBD1FKd2KPCYWYI+BGXlka5BmUHYlQpfysNeKQA3Dc6PVsg+/t
J/TISmIdkK+6w5eYECvpaniERKK9lKnSYTd11klsDDqbYvM5LdRNHnY0ESNsAnLIMw/AJGC62qij
K5OEhpWJhMfDwk+/t6DR3zn9CyomH3BKedZZg3YSDdpm5tFmqbgPTZo/jnW+tpt4vpnH1MHBWete
YnM4Ne1cbcvBFdu2T+/Ntp/4K4cvGFLPspTzBlP9wijJkHUht9srXHTrdmziV9nbz+SvgAbSjsQ2
PfkgUzej9C/YpjaKFGFGITgCSyuh+WkR8BIz99/WDpMGCMg3dWFzuBAxwvvnrVj5eRyVX9OxORIw
ABLVGqcV8r0IuTLobBkk4XF0Ffe32KWRT4/ca2VKBnLfqC3+ce0wpx1+c+Yi+R4LQr4rZivW17le
xtxZg2pNeFjnGcX0FS55uYYMHno5/Xq2TDT7ktCWHZQYM19L+ryeaPTxbk6nkXAkzXwJYKreIj05
b5oY2/xUZzew/wzMV1q+hq4vT7Ok/b/Mndlu3Fi6pV/lPMDhAbk5A42+iDmkkEQNlmzfELbT5jxv
DptP3x+dOF1WSEeBSqCBRlVdFDJtBsnNPfz/Wt/iIKJLp38GHWKsM6BYK73oxu9lKzyyWQqklIVZ
eY8J0mCsZpz5lm+RUUcU8poaS/XTmOL5pOFYeoYP7P9yo3jY42/GR+AU5PCoJKvXXpxJf4vPnKSN
IY8fYk843zKURIfWMm9mMip2pIxmtzlhLT/TfnapovkdXCCHonRvaTbLA9vqtYzCjL5x4x9LL54E
mEFdHZPeoP6dTsLbgzDm0BQZhTjFIBavwBwDwh7B65aJJHwXYMvOGe3pljg/+ShlZ9/BBSpuoDB9
qWaT9pXUIannhkF8eyI53jgRmabo39cEoFanlllwb8kqO9Vt5jxCik63utnbt7IkUKgS+QQwowXm
q9GrCXWgbiWqgmc1dAAbrJgaeajq7sYZB/e6g6bZA0nqwvvaj4pNZlQa9LWEz2lo+peE/sN1ST7M
PcUBRH1+bGY3Yi6SJy3K2P6GGOubxXqX7Rix7g/L0KptzQL6MjEKf7luD105HYkTIv3pREr1IulT
9XVctLiSSPljb+GncRczrrEVrWy+/asMLdSeFGPipKxQ3tihJLEh0X9imXZ3ke7LDcRJ7wkiqnnX
+EbzOM5IiVU3sj0rjGNsz+EqG7y/htYItxETyVU3+7zoSbQgiupKXdvR3D+0drFUNTAeNPsuFaTg
TsubApAbaVDscHCwaxJBrjNu1Ukv0D94v8pOkSAG1JjhEBBdq1R/o1s4BcdN42BH2riF1PVcwvPz
RnPbKBzh63wMnWI75W5eUfHSDEgZdmgFZN8YL9KCVIrBMMWjMFhV9FBY6oRGmcm1GLujHkcIyQg+
zPZSNN5LqQi0k/OCeg7HAuq8U20dfj0b0djclWErdoBqmlNNr2zrkOKy8aZB31aq6bf08dTWIGBp
j73Lxo251Ip7ne3JPGxbU9G1pMxMB7LcZSQDUYJJrTURVBKJpvBOJq5U+kxh0ACPWxmT39Ge8qc9
uYfkxKapAI3p8rpoaO651emKSLF6z5H/kfYgUtNo9I6hShYIWrNN5RjdpN30xfLmnw4RR0TggC8Z
TKltBw2UJiAZ7B/zA/DEq0wg/otw1RA3HA0n5KaSfBHD3k0Tkld4rv2VzJL2pgZvue/zOb+GAZ4j
rG8Mdpim+RnC84+J73kPtU9s6FyWuyp3IPSHvdpCeX8KBZtghX60T1KfE4UA2lQD11qTHOZcS4FW
mdbtcNMWbk3kWtkeJSJWMnhDwVo5T9otAEMHw91ukpW2cWmA0evFytTGjDxrgkeLZGWnjIYPS4Fs
JtnTubctC4WmcpD4zid+j722lS82GGTTBstdhVfb049zUrknPmVEzi2oc6KwePD4Uu9aOK9TUvnH
mHykXWRN/lWDOFCtKGKlL11VDOaqq6Px2Lf597pCbOfkeK4wmyF/87JqP0Hf2lpdtDBNaEgnY/ct
UXMJ2J9wvIp27I6MxuRIu7u5a6r+IY0iB6xf9DzoOlpNNWbbtlFfcSnhr9GHcEv4tn/ge3cP0eQo
qENLUuGgQ5akDDGUhvlZFWWzC4e4XU/UCWgJmreUOtVtQ6UW7nqMMx0c4bWdTfPa7DI0+Lltqx3q
CXyLLGuFsXAq9Cxcws4p3UUaRPwm+aaL7BfE1Wv4XxgfkSLdAlL0oGGFd4huOU60Yvhikgp+9FUM
aQiF0i/DEoQ6NlhsP9kDsyBJG/e11JOTp5VMarMJRlJP4wN9I/2LwcR8rDO93UByc2+Y4tO13eDJ
4hiTb1kICHf23Hw9EXm6Va1rH/UOt3IujOnzTHl12zmeOlEHL+7SiWAHN03L7xoI1ntc4HaK2cJO
v9iyzLa1B8Aw5Oa3XT3N20ZIhNqU8MMjyNziSujK3emt1B/82k5z8CUaTqUClprXoPCG9ulsk6Ls
HxFzm9ecxaEjtm7zEmnRiOuxaW5SUM1HQjUMWI5A/q+TtO45HKU+yRV14YW3mjMhEWuaZ0VU51GF
GYnp9KnWttkiGxYC4PeYfxOJwTpM43bVF83zbJm3RlTrdxFsE+Yln12ZS6r8tIrMMYfhrHz3WSA/
2ySzAETqt9oV4misWlpeUISoPmU1ZfZ5Q7Z1FbvIVCpIp56mrcfQEhs1ITw37PkzwyE9dO1sbQlg
ws2aVj4qhIEtaMznsbLBqq4sNsqd8bWwqupgSoOiM/nVUBWqwJkGLGioN3agS8mLMyC0+fhugoHM
ulvMyrdtXULSnV2lkzenO0etSj7J3PhEICZw4TLmIF+hSARnTLu9bJklGBJeS8aaOUB2lc5zo9Gb
Ly3otMW8mzklAhg8+j2CgKn+4qbeATthYCrvazEN39lK2WxxwXk1oyfvYmv6y6pngqWsriCrzOXY
0XXfY4ypMqvVEQI4h7xGl0cMQ3bAN9fezBVx3i1L/AHmc0fuXq4OcRNNW6c2s10Ef1APMlFlV5B1
b+xEvZiN+qalTc+JbVSPtAW7B2ukwEGDMVLrvC0cmNPirkahhrBgGj3yRIHBQMG+7kU/7gjF8l/C
Tk0vtllzjjI97QaKzE2fJxYOQfJUIs9J1rk1PaLgfEYwf10Rlb7Li2yDaI0Vro0IJpiaLyVhK2Dx
xn09QLZw4wObhg0F3ZNyLe8rweuUGGJ9w3nqMLj9IxjqrZy8DQCoB6fOMfFSk7NTSiGJjqhoHrDl
OCWtz1TiEEqS+7GFIybSTcsfqmzGYto3JLwmMIPtWzfxP/utfp0SVlZbgmSe9CpqrIM3F0+TpXu7
nMw7PekPfcV86Sf3HQkIkAo/tSV0Z2DK1FR38VRse8ohfjFcRag5yL/dkdH+U9Ig6Ax3o5wuKLXZ
/irADLejscnJzON00W1Eg/YKKEdXqfkFMNNhydKzgYPlg9rWbNTzXLsGb8j65F+bpO0V4UCA6OCB
Q0WL4XYBNpSdbxfPdTFjEW+/qGhcdVRjxuVoM0dXUUloll3vMMvvLPLRvgyFs2sz8eg0HX5IIVeI
Yv0r5TufQrIl8DZsc6tnFM0bP2t2KkMQksaQw6n8O7A3Hdddg/EJyUj+i3Cs5nYq/O4wimrDqnE1
irH+PJrmVWG3+3gYj1bMqp6EE9ZscxNX1grbMFuEcjjJqtxzMGWshuaplOORggFhfN164JcST/ul
TgkSSMFP+8kGWVdAN/SzqzENehGLtu6cCrt8QIPJR63DcXBLJu9QglUy6ApABS+g57vOaXK7fYzv
nZpHYOI0WEcIpPOYvpH0dpqflSce5Y1vh09StuwyfpijOHVJsptIwLNG65o402zT5d2TE+YBcWpU
lyf+EqrPHHZ8Mez6KDpFfkWjKSkeMYje5IrqFyu6KbEnNaQPIUIDezCa90SWNevZ/6ogTed8fBGL
B/VR7UDgLtqWWawdZzplbXfTeTXzhXej9fV13jWb3OZb1qpjGXLs7/nG/InG36oe+xbceXFPZufJ
HNKvY9cHCgsaLQR5JVLQ+vCoHiiskwpa5/D4e7l1bOcGt9G0InCQAmbbEDc7TPcmBFUNBgULgkwD
Fvz73JE3LVvKWc8oIAhKa9x9RgBQZvvyGhDcQ5MgTGvd4brOES31i9Nh1PdJ7O9qy7ieih6fNbiu
JconIMvwZJkFxIBofBhs9Rjn4cZNxXXS68O6NIG99iaoYekzm+ICQ2NXmf1OJvohiUPOnowrzrZb
J7W+wjT3qEj0Xyqrf24tpk4tn+ZN1rnXFukQxAwALh57Vpf+1xRPx3ZMjxaAhqlMvgyxe0/H6BMs
ZSJHVf81N4frOfP8I72IJ4tZq6Y3SI/zRvrxd7xtVzEgDTAlgfLTQ+SFTJc0e4zExyce4twy2ofR
pqggRsKOjGS6bizjaGfFPvTtT96s3bmYtVA3AdHoIuuxT8puHbbQLKL8Brn/T/TSq6kR+3rS7nwn
/uZ3g7am7nIEHov8i6Ncxa0jALnjbLIxdSg/eXwd+tND5jQPcEHgatrdVVl3t6x/pCD41hrc0Kcc
odi+EJL9k+ttI7qC62Imy7DNTq3os32ozS90sFdjMV0Xfn+XxyWJ33Oon7xZTx6NiHO41qfT7TzT
lRu9KmKnMYj+cU6KpywljToOKZNkuhYRwc1J6xgTrHl0yf1dGQQMnUYyFxY09i3AannwOr4Lvg9y
S1Xj7qPJ8m5z5pCDbFzjk1r6gpgtqNAbnlRoM6V/zCerWSAYFHy8toz3SDPNz1qq0plB58/XQNCN
G2GT9pnJLm92VYMazGjbZQvkOTsayTSREUkfMpnHj8UcEl1oijTI1SLvzHyFxG0M9U0Pr/BhUIkd
mG6M6UWBGj8UYab/HEhnz7DJjD0TUZjgFCFNcNfo8fc8Jh3hECbgcsAPRP0XbWwI6rHGagwArhL0
PPlez2IlMtjjKvne56GAH1O29w3dw0OVCffRTPz5xdFs764uBu8WJ5aBiDXnxOwTaLLpwMNtwW9P
AaVD80uoxfrXkUryoRpzkirsPKx3TqOHIF3NOt8m5GDR5ZHFLnST8aHhzWwV25ttWHdsqgRrGGaQ
5JvfuCYVC/LlnElOa7rqJvtxxeyDDeHa7ieTlOsOAEBFwKMd5ktmc8e5kcAYUo2lJsydQZWEiX0Y
b6xBJDeesh3eUSnG57wMJ7Dwg3s12KP3jVwn1mdBFTTK0F56Xk+uNfGon/ReQvY3o59RxipQKQXj
UY4sAMiK6wMCw/7Kg319GpPurzSOv7rSlgAx5nprjFnzBMdd71cw2oeTP2XVUc199tjaFFbrMaEo
Q111M+OiWrsVQGToho96QeUnZKKkKUkB1Xbn7yW9wXFFeNV4nLQu39cdxgSpz+6OcNf6uqnIOi4o
k21J5dxYlXFbUXMH4107D74+Z9eJtPcIE+5pDZkPcTGzD25a/nV9ESdPXlluwVg0L1M3zcccKsxW
dLLsNuxhh60d5RTUE0UGJSXUDZA+uRlMig0NTpmbsHK1W1URqYVCe4KaAxWXykU15HdCjbTMiCW7
ttppZO0Yw2U1QXGxGgGJ3SadSc6gbaTXpF+n93rlfm1a0eyo/3S7KHPyPXsnf625dpGs9IqFHcgX
Bu3BhbjupB3Npgzt9FVvZ/6jL2GKrNBrd3/N0A9awobaYtfgarvzar3guOaQP9fPot8PI9kA/Fpn
4ojvWvvZ6pA+JsBN2OjFERONSfnkJgSRctV5kbyyshqPZNXMxHQ4cU3SM7ny6YHolqHd+FEasvcn
6+DJqCNRb+zJnNd0DKkAyGj274qixyBVK02xY5Tqlpx7ulpGJD8bnVEcMjLNlvirmIqOtG8SGnX8
nZpzW4edi1o3pUppq4L8+rQSq/+cgWDbdW9QSvAR3DKWI12Ano1CjhJVHkL/cQDsfDYXzO5qiuls
bVxn0s3jf8rYaAy8qOk2GhBY0d7wIsiwdPT1W6dxO7n/z6wgVNYxKVSQiUQ/K064FgngJRZqJKfx
cwTkrdn91gr9v9DkDT9b2bc//+PmW939x64v//om4RP9r+VS/5cG+L9f/9//P+CAi4/uf1Z+PtKY
KKryPabE8gf/lugZrv5fYNNQ5qHO+1vE+bdADzvtf9kGQ9JCQEYmqI3667/1eYhC0UKhiaIKZxi8
9H/J8wxwEzSf+EeQTRHSWP8WH9BABPiH9ApUKKecRZVqCvwUlm+fS9lyxOS5WyRBRaXmYBp+eZjD
3D+SfqpdVTpngwI3FrYAcNR2NUgiNOYqIGcm/Uyi5c8/Ht878rMzIerfv8aD3erj6F3QrWe/xi2i
SVpE4gSZrN3PIVOitSIGKn8y+UZ+Qk/rxs2QFjRrl9gU23aje70hIxQTukmGIdxWk368aTylamkb
1VaC41tNaVytS0Ixf3z8c3+bCv+lW/v75yK9NIQD5NTGBvxaLmdmBARlhFtRwGVXuamGsX5qB1BA
C0JCCzwV10hj6BYfy6SAVa1sgg7NyPlO7Ly41SdDfBpqb3pa5h57xXtrf+bEfO1BnYf3SvjZLxEO
yQ/biudPqMDrx0xMD8gCtOePb+S1/u6/78NdRifiJEw1r+/DQJCkW3GbBI5gI+tFmG9d2zb+njD+
R6Hfa9Xk76swXDmE4oF0+e+Zylg36a41ckqCglTRzQDgh8pG01y3KTkaH98Qn875qAbHCe6SMY1b
/Zw/C4/Mrz2HG9KS/ldOnDpkCXHTacainLE/fXyx9+7LMCyk0y7wF+GdeQG9PrNNr7WSYPCkdQ0j
TNEFpRA0mU5x+/Gl3nlRzN8utEXkvOA8z74PHDMkzc5tGqRkLOxGyyRvUDXj5h9cxUaJCbd0Ma2e
3RB6Nz3hTMk+NoJ0xr/REh+jmRfe0dt7sRfNO1xSPB0AYs70ujh5YeTNRhowKaFE7Dmvhh7EjY/v
xVgeyetvFFQCAnn4i7qOyW2ZAP+w38rJIrknzhgKMyiskkbfQUtlBwdCp7Rb8AAbQXC98qbtPEHs
MhEpXEAnvLbELgPfXnA9Hq514TqudfYTUjRqrjNkaTDG4hfusnZvikHuybMfkask/XoYWvB8FQWY
j2/+nUfsARxhpeEReyw1r+/dy/NwyKEABZSTok0f52hqqqa+8CLffmyQjzAhuEi80ee6Z8PFkx71
WpGkgd74Jo5U+xsEgxeNTScVwgsfwHuPkqVS4IAUtklK2Os7GlIvxnlEVqlsc2PbDpJ8z5Kgj4YU
ro1JdOhptiwOhYVTXRpIr7XRv9+iv/g6mE2EjcHxbLwOce+BiunywJu+Zt1wQ+TclqwSNng6VXPt
Kc3LtYjC9VSGIPj1bTE/xir91hrFalL1qs/cTdb/9e++YHwj+DfZRriM8fMv1SFtUNjAPgI/15Jn
Wg/+Q2rDSPz4KmcW9uXWqbuxIruLecU29LNxFFJp8qo+TpcVLdskpp/BknDkAVlCsu7i2D24k5Z+
cdq+Qlog/EMKRpESDWTCj3/J29fvuAtA02W48VH/BhX98TGPhtV64ZBSPoqR56HrkNtM6hMnRz3m
7F9a2Kfm5EEQP3Hhym8HOVcG7sXdmwsF5WyQFyaZXvXEwCPVjX6egn2fOBx4/QI3JHll+oVnvmwd
Xk9bjodpg73h8tjpgL4e6MJAoGZTnwySQSZPs7nEDneTVksK5SZSP0uYkOdpERRH4iJ3ZImQc/nx
w37vtbMLBadAiYP6m7U8kz+edg0FUmF7TQOoFNSHZedv6dqIVY0mijmLlkNPnekxncBHVrHjUDlO
WPvMuL4AFTijWC8DEHo1Syy7rGX+tBcIzB+/pK8NhfKlkEGCbiGicIfCl6qIqHoq4wbiw1SjqrEe
6d3CtWi3jhrQ1zXtWJGoR/cbKXWhgRAJqR5sK3THdE/6VKfhFzmipnQ0OciAO8olKOtD79TKUnwB
txZvIhVBG8UHKD+7gzU9FGnv9evJbstFhqQ9uBPluSJ3QlqCfafwBkZ1+6vuFRKIj1/H2xHIznj5
EvkPn7x+9jYSX0YWgusuqDTgiV3OhrMD20htjpAVRRT548fXe7utYQOg40BbfN1s286euekOnpM2
UxeYdAgOdgw1tlGQ59NKt3cfX2qZP14Pdi7F9OXha18wKmeD3ehrUll0owsIjh+voOYvhVvd+SdX
IeSDucM32eeezWKNwv07xRo3pJuMmKl+0SyKAv/gViCtLJY+cznvvR6pMTlTzmBWMsAsW+3yOSL1
2p+Tzb99FbICfNPGS2MwK51dRWlNLehAycCKRL41hvB7RnLshQH3zltZMIMQbixq38z8r2/FUxL+
UJ30QS76jqbY8HPARHPhIm9XVW8xmXEKZfvMCeRsRytZ432JdD0ggzI/RrZqD5qv50ckqdF2noFl
zKNzaRl5786Ww7VnebwjKB6v78xxG9t0AeIEqS4rug1Dvy0wDl+4tXc+IDT2ZCjxBS1ZGGejmnDB
1vantg2yBNWe36TaBn0X9B+bzs7H48FY/q6zL8i2dWuJGoDPxfB7fUdmAYHLnKc2SCulrRM9d7dU
1o1d3bvhTUit+yTola21FJV/lQA0H6PGfCRwIt06gzt9EqM0rz7+Te/cPj5Cg9Ox6VpL2MHrnwT8
zlls7ZKtGs0l+Mraigg2tSjJLyWjGe9ci7OEx9rMYiWgX7y+lqzpdeitLQPkltEzeB26gPRCStjs
7biPq5KSsT4Tl20NutGsbDz3BUXk1BaraIBvt3Ew+pAI7JUvSa/hcsfgXZTbjx/IO6OOldy0fxdc
HO/cXFeoSK8nYhWCwrXDlZ/RgrNJrrzw2N8bCq8uczYUXNiVBVWEPjDa2NvZyozuiOJtd85SrAw1
IY/R6BpBbft0jnSg5FY0avsUIQwJ9kTyuTO024/v/Df542x4wuxigudzWBbzs/mqlCoOlWGPQQ0g
+ZTi98P7X7v9ZqTE/8PBCN9AvCAZYg0ais4KStI2oBBU6+tukLRflQ3Wb0N7tCb9EJCyWMeRasVq
9HvprqlwV/62cXoyZ20NT5ENbRS1xoDRw6lIHlx/fD/mO58b9kjDwROAwJb7ej3ePHq0wMD9Pkga
s9tmcZvuAGyRxTI63sotMNEVTgo0gxpU2HXDVSivRtR1/SiAfTntVpV5tJt7F2YgVk6MJ4LqUZ4L
slfE8BeKYg8/Wmmv4447TWz7F9GYVuBZQ7SrklSc6IGUxzEd/b2XwJemrdEdNeHrW7wqgCj9dryw
rL39wJgvCfPBZixY1M7PeLXu0laM9THQtU5bx1hJXhxoJqtMN9P7jx/u288EBy/P1MeODlft94H+
j71eM/WD5czuGGitMvdxl/9sssE4/IOLuJSIfv8PsPXrF6iZjSSvRE4BpbZxU+GEQ35gigsrwDLt
vB72FLxcNgIe5TJYUWdbKEXk9sxGYQqGtPuZSO8qdcedTuF+0SeaFwble68IODGXwaFiUSB+fUvh
aNETrsIpEIouN3pLtSvQkq2Q6OYXvuff8+n5jbHcUPhcrmb6Z9fy6bqEys5U0EY2hp/IS5ANZWIn
mlxshlJrrny4m9+MxBFyzetzrj1UHWhPuqrzOcGQ6gHyHO4G9Y+oEHvpZuOvFCd0e+GhvDOYjN/E
JE6N/PHzI8zYuQwwVmHEUGO91nvklk4bFReu8s5JidIAR2TTMpYCz3lpsymE5hYGz4MFTn/ywbUj
W8ustlyNTovjs3X19pBGFSoeq+sMLP9ZFO2mMOoeQ7CkxoXtwDvjjqqcZywFJxbf8zKhjRqGEIl6
xgCfGN9mlAGMbjcNYP4gVpqIif34a3qnyAaJ+Y8Lng103D1aUzRcUEJ9vlOzn+9bS6DPyp3oinRh
8q4AonwudaU/yjw3dwNRjBdu+p3xzyaLShe8AeAGS8/kzzNiHLmIlItpDhpXNHvMAQWamAXOBuTw
wv2+eynGE1VLqD3MjK8v1WNMJg1lRGePHptTJ/kO+GjHnQUE/8Kl3mnQ8Gj5wpDMUgV4E4yYJx5t
oNGeKTt55n6g/LyxIpqzWYZ/WCPPlhJEqRbmfb+dyeGkydsCkMaY9hS2UI0/ftNvyxL8Go+9FtVh
g0Oo+frOtbr1SpX1M8m5FAI6Y7A/VQUezcQru6uMTvsKGi4KcNP80baDdmFv895zBwEAm8CBQv1m
m2dQaZdprM+BmPPPMnLczVRUzx34mwtj6ffe/GyCY+f6ryudDSaVVg1iA80ICgehToirxdgZoqvT
jW9IeTdbTowWKcx75C1mZwRDhORl29eFs5+lN/krkzLcUwTayyN8zhYDGmW61ZTv/WqnlaL94SWD
3h8INTb0E1+oQO6ue+mpbCrTXzdEYTQX7untpO1RLATey4GRc4l53uqz3XgiFVMzg9ZDegdUTNv7
cVcEWAENbeONtQJ+pgMNWJmTqO79rtZf4HegsalxQIJ66e15j6LR/YWdl4hfXY7aY6YNxvPHY8xi
DP357IUHM4nmJtgmm8VFX0bBHxuAJPEgwaZVF4SGZrMnNef96MNQ+Hev4lIKgHIiuJ7NgH59FYDr
mYkkr6e8kT4MKGPbFaBw4xKm7nwqXlj9NHFB+PC90DQ9u0zRygL3bzsGoijcU8SBdlVPmf9JSwgW
AnnbP164LXH29EyDeE/2T+w3gPowa7y+rzo3pMmmSQe9abo/ZJajY28MROxIqIchWuepSwcAJRPE
NP4OFJpRjpp1lbD5/6szM91ak0ffhqthiJMXt+k7sARpSbp3hfABLTWh4jk+uFIWa1fGzp1RJIQU
142TfO3409WqBIORrpyy7763rRHddD2W53jUsOlVsY2qxpnBB60d+MZE3Bgt+JS6am2LWBEEL6ta
ZN3M8cAegqKvcULGo6XA2lEtJeUH9Wq1iREF3ySa12arlDrOj48foXc+yZEeitweEhKtXWs5VL5+
hH2PuqwsUTrCBEGqwXl5Pvijp99aDSgBU/tkZ7P6MlupcwQv2MBl6GHY0bVIEVdZqX+lV3P9V2nQ
o1tlMzKSTZEmEGfxYmkvanCNbqVGV7+KW9URIY4i/ZiERgwDWFryO7iTuiFuWfoHXi9vphj9ONBb
p4UT5tFkiHLPWfdzm+lojWVt3vSpCXkwlIW8gh1glivTUTqVSIVhZSV9LWpQPg7WM4iJql1FXUo4
WWbjza/9vGwQPIrxJp4bs1rHleqe65kIqPUi6LfXVOHdbN2VfV9jpOjte/qAtb+FORhfKUJaGub7
cN5C1kfbl/hqRnYo3Xa+1saU3AkxWPKTyEqUfUPf9d46aps0vvacIrzRonm4ryoPE2Ye6V8ZYT0o
t7gHTAqYUdeJksKxseK0N3rrzIQHu7fFyHm1biKEqmKonpIsW4gn40TYD+mq2bQtotKGymhhCioL
FR8wThO22WJaehYWRxjcorGyV8WMYccxwN0zObfehdr9+QS2jB+iQqj+cVwCiXk2gXWqSOC/iT7Q
e0duiQtqtzW9yd3Hw/Sdq1Axoz3ropSgM7P88z+myTovbFGVJXtwyyO/zcw08H32pYPfm60dN8Nl
gA5SVWKv83t/8sdlwkoWfaj1Ksg7wDu6I+dtRvlxnZozkcHu9M0Go7PCsoYDrOek3flZd+GwthzG
/lwQlp/AZ7g0MGm9UPN8facx0RJKG8Oe/qlhbEp0HBj98ckv0bZ5ZBeHJkVR56ufHz/gN2qU39eF
r8YOy3TZWp5dt5IDsnSvoW9ArgE5aGj4XgoeA6V+zSeWVtbDL59dSIYSfEb5hRV3l82zHziaZq3H
In82yrEECMnmEKGkauUSppDgRcYbe6FF8u4zoi/FvMUZEJnF62fUlYM+p701BNMwALO2aiJqDYCQ
GdWcdYZrZjPVPmFanXspffi9cYgN4PeqTWvwd2rNHwNEt8vJ64l+C/oRs86oY4xIKOGuP34Z78zJ
1BJ1eh9QogTb4df3VxqVdBtdG4PR05IDzBnS2rxkHtAHsan6Alo0BuStmviXTPoEaGYTqktln+V9
n41DPjSajwiTyK08L4KkQ5+3udI4zo/efMCdmOwjfLz3djkc/bwNnwrpiqeP7/tNOY9BuBDcKPTT
sSD2/qycp0N5DIfIUEGi+wcLtwq7uFuOj0+Cbr6CQM0C+G3ILRibMqiZ2nMDPKmZbi78jndeM7+D
nrtOyWSp6b5+AbJpAepEEWceNL1HLxZ413XfuiqQj62IrCPnR2DkELVRbzkctOvSVi4dI0z4YGRI
vyanmHBEy9xe+GHLhubsrXDSZeAtExSH0LMHlLd2YkDV4YA09NPKreJfHuayAAV2hcyXqbGxZbdV
Q5R9y1PH280Qo9bYmPUL8/E7o4OvAKXH8qKYzs8ekF+FTaUth+5o7OGTTmV/Nw04i3R7ifkyqwmz
tKqPH9/9b8HD2d0v20o2zNT/PT6R16/FsfO0NmvFkQhl0D50BuAZddbtx1lD7x7j9zGs6LEx8n5r
aZa+alP0w4puwcaKpQecw3RhKpR48eKsOVkpRBLiOeU1IiNt12JQP+InlD+Un4xHEyf9ahq8fCMG
OPWDbj2rGX8zszInB948JrkKiLsMx/Uwj+M2KcuCWif5nHxOtFhwhtJQzDcQfcwbsCXl6eOncb7Z
5luhJ7Y0k3gi9psTTme5YTrgfgo6BeSWTBKsoXVbbBCJI4QVyrqwMC0L+fnDt3QOig4uFxpxZ5NS
I2nRZ33I0MOzFmSO22I+i4kqj9tq//GtvfP5sRul5Kzr9KZo8rx+z1pksQjPGTY7w3AO4xxbe6As
l86I712FojbNZYHIDB7g66skCCjTyh70gLToaiNK/PGDznf08b28qWks7wlm/m9JLM3W3+W0P5aM
cjbZtnewE8OcRRbFzLLpM9lU3+Oty75E0zS8ANSI5VXInT5UhLoX64ZokmYJ9dSbdV612qVO5Hv3
Tj2YFho9GtozZ19SHYrEJFdWxwnmISbJwHgnzLUXjp3vbCqWziP7GKpzZL6cl6kq20vNxC1FkJEv
ta0GP1KbSC8SyE5+nj2bVRoDu25Vv4Hh1ATpYPYc0SCFswGfu+QrLUQrwSpVlN8dL+5uTTz/3cp1
RsNfA9eKvAvT2tvHwu8Fs46wkXmN3tXrIZEOPkU1ZVPi0HHvh1DPCFUBe/jxkHj75S7YzkXMxJHf
YpP3+ioc9L3Z6SsRuA6TRw/zkcOWKU9zl8cHGOjQmv7BBUHpLys5epLz74mlLppVN4vACb144yWk
hCBmIvWGo+V6SoiO+fh6v7dBr+cK7vCPC54NL0oERtn0pghK4l0jN0k3OPIBQbintMYOaIy4PQeN
KNHUH8Nd0SXWnoJNtun7qnmgHlJuonJUxGg03+DGpXi2TXEsnVnbgRn/+Le+ndb4qeQ8odujZkHg
2+uXUVp2isqFn4obNdmwvMpVjXCSMFKZXbjUu+/9j0udTWtgbb15oksQ+FYBODxxqDDlmLKdURHg
W6SXtpHvjWa+bsfgA6eBcb5NjiyVcjgrRGCC4DhGic5dqWq8cFdvtwK/v2zegIumxXHORnNYKxhN
mWBwYTSGddu4Qelk6Rq0arUjzs7doibzXz5+a29PAL5u8/Xo5LugOVggwX+eB0vdGEB3ZWYgZ/Ku
Rpn/0msbhIktnFOn1xzM/WH+BlLTvTBDvPcOXVcAql4kiEgbX1/YdARceCM1g8mukwOztsKiXM23
Fpa7la9E/w+uB/yEjg6aMJo6Zzfa17bdQ+0yA20JmBhtLblx/bYGd2GR9EZF+MLR6p3PgeHCmUNw
0OYUelZRo+YNLasv5oBDDpu4VIk9zrGfaf1/mDvP3rixNc9/lUa/XvYwB2DuAENWkmRJVXKU3xCy
LZM8zDl8+v1R3bPrYtVWrQdYYIGLe68hW4fh8DlP+IcgvrLSmd0JrhGksm7Ciubujp+kHyFiEuES
sBdaKW8zvLPAwV4D0525HcDANm+KRZhWLV5Xhtq+LdkkSW2boHTZxBDZVCY0Pi5cV+7nzM5gFgPm
mrKB0eQbrO+Xc95xUqWSCmniTdkI1A+5dh+jTrFJ2lHZ0gpMrnx3Z9cDHkoFTAJjndxa6Oeo71fy
Xgj0DSwKts9l0n6VkD56mOIhvDKOONMbcUhi2IKWIbPvl6fWmNdKYUSmvDcLedrCRK4OGgbXXun7
8oavNdwEdqm4RWJ3G6Opstu6j6UrFcCZ18k1WBgYzHkLhKLjPZMpTTumHOF7rB+LDQKgGAKZQttq
dFmvPN4z25PM7c3VycIyxlwcYWj9NqYJ8nbfRap/Nw4BdNWqkq/EsZM5BSSjeYhHLTgbvJCOHd9R
juhd2s0Zx2jZxXcNiro3aJK6NjJfva1luMky1hlobk66p2Hq5eF/LW20wkQ/0cxTmJDRq1Royq4f
kRnK0JVbXY60585y+h0zC2sGKJykyXYl8LOQUxnGdgtl2+rDdwb6Gruojp5RG6dRqWjRbZKkn9Ug
y95ZY2HM7GvcT7DC/iyNIMebygZHgUj1usSFYy1l1az6MgvLXEl0zu0P3hqGPIx+mB8uymM7K+OR
Pr+8txq72mJ+mj51lj6X5/41GtGZE2ieVNKrA+EDKmCxlDrpvpkYgbJPGt6KwezhHpPM7KGB9Qks
GFFruFsyJ4Ta/Lj8Rs7dJCcCVlyI4YOZXqQRfaTWIZLeCiSPxmcWOn2tjd7YJQIZossrnYz6593J
MTvPB/BeVeTF92Zjoj67maj7yS4eciYBWyVIm28cDdn7REOamx5R7RrMYb4qQ65+NGA27zQruhJ7
zqQYxDlKXVlV5uC6uOMhjKJ8qjqs7tSqdwl3D1lvm6uWTslqEgyz/EB5f/nW38LnIoVlts6RgTM2
IvHyfE2/hPPC6qR48A1tXyhRNXMuwuSdPkCzchlfJji19vFtGplw3pA5RijFjirD2sAlRy/CMMd4
n5XGT+aLFUYxDFXWzig7nxG+M79JJJooQVk4vfKvCtBQrRVnP4Xoh95L7bpAgLqrU+TcJEsTa9uS
bJi1paN+Udp0fBiNod9OYyOZaCvXIaJANClctjkSS3aa3uEtbDKSnUTZMKQwUEaJcl+fvAKpyzvo
Scg4mlM9wkeTwwQLZSWYYO9CrR6RDFHMR81ndHavWJDdmYLAhQAEDQvXM40WFdpk9Adp17BVtphF
ZneylGXfIYyZJlIpkfRYqyZINaiUqPTSM8y9srHzz5rUy+oq8ycb2nFYdJ8LZA9czEDEDx/R2QKD
xdlMGcUFB+X4oGAk0zi52Fo+gt9XYsS5TQ1iCJ/KuXMCqXQRcicGURiI1toeeM6jNRUKEiXW9BHB
7fanjoD1bQOJcWUx83vOZB/Fw3RADUKZ8mR3eY+dOWIohICZcXwrsHwWX1evxxJ+ur1GizULbpgj
wkS07GD726vMnzDeKTOPFmGv442cWbXqCwmJJMSU7Y2vYpesG+bLby6i0qlRQATJjgMEbFlqDKaa
DyjHmPuowXC1RHJzNUXRtTP5JPKxioXJ/EylU2GmLFJGGOUov/mKtR+QIcYFOlAf5iJnV2JydSX0
nYR3hll8+TMzmbSbDPL4qfV9rOMSFUv73EJDvk2KJwxckWqOM+m2SVScEZxwWNk6JuWXn+SZhUmx
MLzGkISjaok2M8Q0KXmvSXuTkfTBqtC+SMoUlZ4p/YFKNhpb8YQSQN9e241/twGOQh749xnoAndQ
nQEJi5BXgj6dJC2KD3ZtUaTS1Qk3dT4lGAJJyOUzBJMYECtVd88sUOyM2ijWRTSBO0a2714PZBoX
Zio5j3rjON/TXFif8K0vHzs5jnWUsus8/0BjJZrcIh4zf6MEPSoKpD/5usym1Kd4DMsa5UQ19qy6
HvLb0lRVpKMLYDcrwqv1GCsWdg1ooeWlJyW1lWJTEXa7aiqCAg3aadjjnhxEqy5OooMpOd0hSfkA
vTHvsj1Sjc5DFWTJi8gVhGft2kG6OElB/ceSGX8WIe5viDH1/atZTe2EpHOtviqWjzrI2JcpkhrO
HcJLen1PFBXKtlbK8XNj9IHmOYAdgk1dG0bgkgEMP4bW0H6kVSD/xC9doioVtYqEGYhSZ424Irzn
0AjVm9GIYmMF47R+jTENlohMhP/Ah9GjNWyGnRTH/btROPr7xpgkbjJKzF3ZTybi0yZGx+vWiYO1
lQJSwLDBGNHRabT2RxdC2/GivgtQUlC1boNbcVav6ZlHO0VK1GA15bNnm10yt8em1d/4uZpt5ED6
2mpJ/DnVwXDwbnJHersrcUt3T9/TKBSfdbusQ0/yQyR72y6svzR6XZZrPLDbvd1OYqM7WPuVToyr
SNVqAECLVnsIDXgv2EHgSuEO4OKDKx/OSZIw7166EEyNeMf0BRZfbE3LlNQgOsh1iKoE9idr/FHy
VasXDcp/o7HCvuyq4e0co4+/GUigcBGJsGgDO0uipCyVema2dnyQBIM4oy+LT7AHR6+UcF9BXURs
7TJLtjGGG24oJnWnMdGd0HG/s2oz+t0SFE40JQuNGMa4sMHn+PlLziJMXq8T++mB68ACQsfnG21E
XFo6GLHB6DtXjpbTmpBcGuF43jxzStr1i2eOLztq4nGdHxQRIypl4aUg0Dv5GOdp/Th19ngnx6bM
00+VbZQm45Myxurz5YB5coqq9Ct0SnveA0f67F/2603LthTadibUgxX4+Z09Jt0d4mrjlazhzCqz
rgXZwkziZjpxvAryx1Vp1qHOZFI1SH0ME9U87VqH8PSAmx1N7ZmGZHNkLxm/RC7VApqm7w0k/e4t
FKDwZA8kTIOj/eWndnrM4Bo1U3sBTb29veP7McKhm+Qq1vc4dq/MkLHHmI1imyHBscYMBW8TFeX0
wjed3+SHzzoe5Be0fmaeOKXF8cIZejApMkT6vprNADCcrF+CodQ3aIOPt7HZ97hm+vnamibp2m49
/VbpdM/Idjq+kLRna9hfd0qtjga22amx99Px0xg35gerNQUYUiO8VeJw2+Ql8uiOEa5M9M0eBgVx
UxR+Gin8dvnhv0WF46jBIUvfhuk6nFPGjsdXYuMtolQa1qvhaEmoWIcBYkKp+mVKQmkrZxJ+Fo2t
7AoF9S1E0oqbWCstoGqa9J4zx177sdB2ph3bmEO11nrEGnKnoDl4sOosum20cVxDdNrLQY3geSS0
+taqkVY1gUbcqqmlrESGoVHGQXElAp3bVvRnqE2JwJh4Ld6uWZhm4rSGsa/9rn00UCbN3KKr1J2c
SM9sK/i0kGNSkph4+nj5oc4Z2fEzpScLIQpeJR0qoELHz5RjXxRppBl7CBWTh1pY+i6yhgD3zgQL
gcq+E0UCeVpwOAQUWpcXPxMJZ8NDJuIEBxCWxiLL1sLMcsRAAtxFOWonWVTsumCsH7Pesr9aeay7
oY7BrctllQeAR8l6yI3qtyzUQEzzbf16EYsN7uAP1k1ZaDLn6WQPiXq2VU+PwGjQzkA1IFpfvusz
+9jCygzGJIR58sklHGaAEdG3aLzsKzmVgM6JJP6imSJ9wURxejIKsLdeI9tJ4DVFo30hJUJQlcEK
gn0RylBoQqN6xxa3pCzZtH2dZi6qzdMXciJgfwivmo1bAsUtXBHVWNSMjQEOhKIOzgemYF9qUWHg
WzOX3qHujgFUDEz3+1CRtl2+01NkikohwOAb2iZLAzg93l1lPpBN4je7Hwcm/HktSTdOXTkPIvXb
DT1L2ZWZaYWa6YPp7B6FADxtcbFFg2luraj4fF2+opP273xB1Cdzt1lGHmCx4Wo177s+L809mL/q
kGXOK9Gr31khjia9OlwbIZ6efyzH5mYOQYJBFXZ8/xFwxzIyBnOPPZX2zshTpN6iLry5fFPKafwg
HgIRR0CE2TQ0/ONljBlrTmS29nopGd8A9tOfGMODEqnOo5onfLpSI33RRqn+0OGIcK8N4q4RjvQD
5huFgZoGxjpQfTteyWrq7x3fCVYyanGRlyndeAWBMX9OxxFnvlj44ozXiDvL3M9KZBQ77dHc91Yw
gesM1HUN7hK2Y61uLj+YM8+F2DIX1m/QqOWHFptFjz+WZu3jPp+2geMoW2mqevzkhmRn0chZGXnv
rKoOL7jfXtkgqZ4zS3jeJ23/LNHwQbPC4ICfyrCj7zRsggBF4wRHm9UYwsaoKli4fthfw2ecian0
w0llGZMT1MH7HG+G2vTj0BrM8NDX4UGVU2OddmV5SwVbrKJS1d1h6ieUo30H0UDxrKFWceXmTz+y
+QoM1SZRofmI/NhRxpDrjaHKuREeANpQGSJG4DEga11lAv3YgoG+cnyeXY9aAjA2cYbhzvF6sYxC
9JjY4UG0mG1pdp3ugjLVva6ykVjihV+5v9OaaQYPwRYzOaoNcPTH64WAoZOxos8g41vkYTyAqIu4
Qag/w/MxQFomFFc5PmfWNOjjQl+agTdQLI/XxK5CZtSuRAfVH4b3owH5wS3DNNHvg1EKW8/PkuID
pFDwyrHaWJwOXZ5gCgLGEZJTEODEo6td37uaHg2HZjK11zTs0ZQ0xxoteK3Kkt8OtST9TA91ZnvA
eJZByXRwXcztWBxSNgF2hnRbo0in8NYj1yzUr5c/uPmZH0cVVgN5yGmOFAkx/vj5VAYO3I0diIOR
OCOija1YqUYtew5d5e1/ZylAv0jQzRXz4lUkNNVTZbKjA7A1221FLt7lcphijVLXV3b26fnBXfH0
HEZpRMtl07WLSymosOo5aDhVbiFzSKtG139XCm2u/n9dZdG1k5S0mgzBKqFWWV4rJ6AEHefJlktl
A61mWl1+fmc+V6pBkOIziIwh4eL5yUPfWXYniwNWF/r7si3w6htHy7NCyblt+/Bai+7cpwPD1tKQ
kaCbu5z8hJVs60kHCVkF87eBU4qTSGEi5auSShnD6OPLU5r/jZucx8uA4rlJGgvH+9Ea06CF9yAO
M2lml6AK7CGiYa7DMPqea+JaJn2axoN/5zXSxkEDh41wvBzaphhYNn18EIqE45OW3WGo9D4t9Z9q
px2cQbzTU+NhKLPfVQBh7zDlobLH80gHk7AoXUKaJIaSEAv9luAeBZa2LtKxu/I0z2Q4HGSzyiVl
N8equtiiTebXfijTpkLTBD4HhKrmcwaPRnaxNWiwcUpwdJPJZlYMoGl+ttA6AxeHjwLDXE1Doq7X
se4ZoLJNU597lj/VxtruxbRpOmdqXZQf4mttrjMbHY4HXy10+FnAcxGThtjHA0iiM2z16Tzib8pt
ZMbRNp6E6Y0wNq9E3DMxkKxqJuAz4MRadk6HfmlkQRdMRtsXdNWq7jmiHX4j6u4VWsw12aczYQmw
ObT0GUbEkvON/7JQOfhOWnRWegiCCMp0jkFPo1rDlZd+5ru15znxLMBCU8dYHLNmOip63urpAckf
pmyyZK56qGtejjPZOkPHaVWpur2+HJxOwZcz8oXSg0JhFqpbPsR0qMZOaoPs0CuV7YGpnFOWIXCl
bpC3NgCDbRXm/SEddLD2OYptInGMl0KdshUltOHqvio8xxGKF2mQoarWLh/06WoT8cy7tkkt5ykY
nVu4g8evoG/tFBucMTuIpI0xXJvoscv9AHPQbq68hzNvm1dNk5BhFc3KJaajaZB0sqDmH1S0nrxq
dveSkzrdXH7wJ3xaIglESxAInApvicPxHclWr6C9FOcHCE06gHHNuPUxx/oyld3bV80ohZkrrn5B
t6Wxk2+KWC3vUSWlZ2AYOOBNDRQfqXitijzaAJ7K1pWPcn03xdGN2SXPqjCgeqvF9D2AZuclEhy0
y/dw7kmBUWA6igQd2cgi9Zb6WRmys3MSUVkhCtcmOhjhNY7JG5pskevMYjlUfDOPBzTY8ZMKoAAC
8nOKQ9boMdtRdNG2SAsk3yQs7ZJVqxXRtxCzSrEq1Ub7NI1BYbm9rvtY+ebKoRvU4aOvBgU2Aqb5
zc/Gut44ViUO+Nz636HUqRk9xhlxXYlGKdzY9tMr39m5RzV3wef285tc4vE9TE6pldiJFQcNbWuE
EBocA6c6dZ4vv5EzHQgYTygYg/iAJUnefrxO4JjFMDROdNB8H3mF/lPeM06Je6ZhGOl09VpvlbUo
bU4Ao/baob+pe/k+n6zd5Qs5c0DToWYwypSFNqo8P49fQqaG1gAvNBMHMy8gfuXFcCMMrfM04dRb
Z+p/jpm1af2m+qgNWXIFCXLmKZCoUgrbYBNNpIgX6YESl7KAkpcdKq2z4JAqwyctnIQLp8jc4sas
xm6hyVhJyXl436NGui7wzNlCWhWeGVbGOtO1/IpO55kznfA18wbhSwEJchbHI3y5IAw1GnuWNgQv
VY0tMRxFSX0ezQ5ddalUcxw2RjtAu06P7kRZaTtdg03n4oOOC0fE3/qWWApt3wG/tJXTlMPPfpgJ
rCLzZQZ9soyTwuX3+Ja4HX98gM/pJzDgZuiAdMvxixR+OuCymlND1Xr1pJWhicvF3IILGFCgG4Xg
ZL6i/nB8z4JHfcMbKbaoUkdYSEWF3Xul4bfxpsxa/Vvuy8p9w81t1Gyo+M4GqQOgY7YCMqAv4YFY
EwuhMZqtCnR/VON9J+mwc6xCqp+VKOVn8ATtHs1WfM9weBOP9hiN9qrQyh6bAnjRONI6YrzHOCUw
VnQ5B7g9gQ11AJX9zOv8QjI3Wgk8d93bNYZ+baUlxWqSS4teFWilGyloQ/lWmsJ6S2MB1y2SjOxg
KpUOXriaqh82nOGCq0O8jCrQa4T1gKrRtC96QBqTMZnfc1RiStfXpepD2+D74aly2L/IlaXHHuhP
TbhFHWfffb/Ln5tkMvs1GXW2a2zUWLy49g0VBm+gJZ4udditTcMgyfijxmZLFzMvKk8hviPa61vg
Tso0Mw5NbJQqHdJg/IGDWoinoFMzQRXIKJkI46NE6bZ1bf8c9YKh7OUt4pzEtvlTm/FtdDxNmj+L
ja1JuhHBkZkOZhkDISIeIBpZ5oWcYNliJzCQJ4sEsJ2cbCthGi9/FABdN52aoQIIUkSJ75gJDgW2
OpX2qg6D/8HosDZl5iJwP59yk68DNcTWI+NTvxbd5DceLDqMsaJEhvDKK3iKWoq6dRvo6nNkN2Hq
jhNGl66uVeZKjMpwpw7NBCs3rEqWTlTNHQHuvUSZOn3K5YQPp+zKQlv5iZzsFRS2GDY1I7a9MHgT
LEDzKCvW8VCk33T0VtVVrtqYDfV88eRAzthD0UhsSjsL1+jnAcOZmyZGB8NFkDMdt4boxs6tdJ05
zJA0auUBxwo2Vj2C48q1zjE2djubKEkwJhqI6yM0GyvM5HWWj+lKYBOXeFqJFkMZGOEPvwhyfE6q
IEzwLlHM8BZuHy4JvtDCn/LUBJ9R+BTvlbAd7LuyMlEQLGamgq5JI940ghZYn07g0/okRipe0tLp
LoY0na05IPVndG19giU2Sy8+Phzu1KsdPLneCmGHS8DLPUkq/fsQk4X8IWhitb8VviF3W3sEd7aZ
qjx/f3mPnXQ2GVrMgBOix4zukReZRhj5Ionapj70wk48oyisW12tDrUcVC5u9x3GLP23etCcK83b
ObodRT/4CpDLmFsztpgFo4+j3yjIwcQ0VociTjQPu7UQI1wVGUZfx323u8o2O3OfM3WdFhKHOBXN
4j5rkSmDrfusl/h3bcL4rfU1G7BvetfijMLeyte1qv12VUsWyj2SaTJqZPq5WFY1A8We1K4+hDMj
ehaKXycmwvyXX+JJDs9YwJqhqOCVaIMs87h6Svk85bQ7KKV1GFqs12XdedfrlXplt5xZiNTHpHcI
ZJp9M//8l+TDb5DFCdS2PeQIY68oWuBoMhLYxCVOKpfv6XSD0BMFg8UWocVP/+94qV4BtUD+OBwy
hIc9YsK0hlpp31ljYnnDjIG/vN5pu5t+768LLopeoeWAltphOEz6oKwdOIOeM0LFx0sM8QtOw60C
YPUTDk34mIYYltE4z68ks2eer4EGCAUZeAoH3aPjm9atQNSV7QwHR8t+5jjX3GfjpJAF4FB05Xbn
nXf8AYJvo8gnZ2bP0F44XsqsRFwalTQcBlXJt1JqdneVNKbrSu/HO0AStofDrXjKcpyhAi7aA5zW
rqTSuHYl5+75TWSbhhNlyPJChlEgkVs2PdW5XrlDXxprswnzVeyE17TKTrQ7abVzoCLDxkc53/7i
+SIFA3onqYZDbWjbOAm+9ljNP5dl6dq+v9XacBVrwXYcyhtQEHcAqz80bEO3sDTp3qrw0FQy80o+
f+b2eQGAHRkk0gRZ1hVRq0X21M6v3BySLQKS/SOGptJtpdJY+v04MYtZURc7gLXoAx+/c6fEi1Gn
B3KojAZ0Wizs95jbIiCpISB1eX+dzqZpHJnMEDHGgJgGzuV4LRMclBQGunLoQfFS/8lWhm0juVfm
do4D1y/qRSF5zpCS8qazsuFHWVKkd1GN5bAneGSqO1lGvi85OHt3bH38LsinxaylCr2h8VNtDQrQ
/DZBFH1MIg5frxr6nwMGot85ddrxLu2l6Qb+L0ezNYBNu5/8PvvtZhk3ytXN1eGb7Oj8gn+JifqA
924wmuPB0HINukgxuSFtrSeGC+WV8uvcXmEu+zfUii7m4puVuraTxlgaD9hKjSvsCxMvTFMY/2M4
ri6/v3PhkBNLRfmZhukchI9vCy24XJ1M1jKayPLyBnceXTLRPc+QNdek8B6GjLSKYdbveB/vetXJ
r4SoeYVFhLJmUSk0Byg0ASwtrsCRjIHkezzUCbB/tL9kcrQAvVNp4v+iGP+cyDkee/i3XztQzxw+
82nNJBzWH2SyxeHDlGsycNmcDgZ1jaunzAArsy+pjnCGHnETvvywz7xXBq0wniGog/1dSgqXZlJ1
ljXKBwd2jxWp5Uct1ZqboYeKfnmlU/T9TN2auU5kX5Sf2iIhadO6nookMQ4TaIqPvsNMXzg2n05Z
Qu1yO4R8b3IJHIKbmQlyLs7kDOoqKGIwPWVtfbp8OacFzoyKpwXM+6UvuKQ76mXQISBqdYc4z2LI
xZXjOb3621gNgj7Qwdlzam7dLLdypjpRWaolPVQ9jDd9V3HPqi5ulMYu13HXKFcaEmfuyqY5Ysz5
GLJ+S7QA/XgkOIJKP8iI+uAQSxOsyp3mtxOkuWsH1svhGJ9H1sefR1vUFQ3z2jxklZHdxpBhdm2g
hVvqiGE3drL8u+gmwtzcxwYUP7+ppca2X5fJNOqjeWCyomBcboN9lnvhdUHi4Hs5XgNjnn7+kH+A
NzGsQf2S/z2+vzQL0IRQMDhVnAHGKKx0+DCNdBOUNNyUqao9jO6s7SSFPy5vyrf3cxx4OI7fgIpI
zuoEweOVzbBBRqTiyeKU1f/UdZLqQErwJGuljzzi+gmnPtTkahvUvZxAyimEuWLMq68RSRgflNBI
PEdo32oyRIT+wuxgo2e88RtLdyML8+cr13u63zh9KKKIWG8020WgrGOsvoZWsw5lImVrE7qQZ7W1
ePZzZNvkHvVIx++jFeXW+C6vs4LqOIjWSlNIq9oyCzeEhe/FPSidyxd2el2gKEA1zJ0LJjxLOIXf
8TiMYAiefBUwPLm06gkEK68dE/Nk8Ph1QUEnIiHCwhp4vhy/LvBZvSEYZj9JdCYPTllKVOJDC4hC
KZr+JR98/WCVtA+8ibmKvREBskJeFClKjvRf1ccuhUz+mHDcwcQKI/sbllStemtjmrTLROBsQyHA
ktk+5Gx3KKKgp/NVl9NqxDv4gHM67mJmRqHtyoaodLzicLFGZny6M82sStHlCx3YEADR3Xn2OK2t
UMQ74Thd+mzh2IDURVuWsZtYZrKmaZN/dlq4/F0Vxk8cz+kPK4j0ZociVfaxrHRHrHGRVZ/8Cbtw
Kpr0RS7zECvqyR/SlcnNvII3kCec6vPpWdVi7LvqZkRrQuur6nYo2spf90qJx22aiB9RoQgM4PMk
DjwbL/MSCTuzuKvbSvwsyUlROFeD6XOZq+ajKFtMz/Mp1h5SFeHBrWXhgYMm+NAFbovsHmMdvwiT
bYIvNtbUicm+Kmm0gpsamrWaFMY7KfBDkFqFjg9tLcxYubIfThrkdBVI8NkNgKZooGnH2wFhzba0
kiZ6Eg1y9I7ZqysNI9kvtS4h6aJ1zW1lSdo6Lxl3TejJXcnRTsMWy7/17ZhwMdhcpA7RhEON7mMM
lMXalxTDZrZUbHpWH5k0Ya12z+BkcvsOfdPLX9v8i48+A4RWSZJAlVPDoMS8uG8zwrOmBUTwxFin
uh9yq1tVoancCtpiG8MXwT1Jv3TlEz952AaZOac3Xx4IBSrW44ctJXyWfE7qU4ot6gfT5ulGuI6t
gyqRN0Ye+5sCMzI3w3v9B0zd8sqZ9JauLG4abARKs4Aj0UtYdj6aSlV6rkB/mkITMNrQ2oa0FqrR
Pw72qDwoIqTZ6+dyobmmHrRAsjvjWat1xIPtvOxQ0a/y+q6jJuo3XZbpD5XTo+SUpZPcY+fuJChN
YqRAV9Hxs00vghpALVI9Lmp7bbAGkakL3HR15yamniEZnZDcXylKViBPRks880QF5h7ccYleYWA1
HFuXX/tJqsqjJ/7xX1iFoZmzqAnMRlR9RXLz5NCmBazlpHRH6mlTVH22xggkWl1e72R/zw20tzYa
01UwG/P1/FLuBIhvYxQptKfarOJ7PI5oxRq+nXws5fxDXMnqc5n3xjNmiPUV6sLJcTKvjOLgPKbm
WF7OnipNqmtVGrWnvhp0N9GkxAN4c+3QOs2QWQbYISq9PEwa74sHmjrp0KtFqT1FY5DfRk6CZ6aR
il0a03gSDc7n2aiKB4WX+9UY4y92o0c3SFVf03g7KQrm66BIpIImA2I+e/ygk0JvRRS02hOMivGD
3Gf5zimY8YWNFPxuGr5YapFqkdCluk64fEoxRmf7SKlHWnQN7XgaKyjPScBp5iGgC7Tk+IYiS5ER
W2rNp3DUlE0sR+kNyHENi84x27VFodwGqobVltxO92OsKFfi42lFC6iJVjfwAzDzPM9FnhDpPWe9
6etPhT7Ya2Gn2ygUias35R1A1ucukx/qqbvJ9eqxs6Jrq5/021idTgjdF5AuTNUXz7jrLUlustB4
mqZhum9jRTugqhved3EzrZCh6O8w9s4eYk1Ov1ZJ8jHLo1nIthLXssX5HDgOmXNyO/PFeA30/Bfn
RO201mRVqfQkV1QPrmL1DLLRZ2keK362N1NcYt0yGwrNs1G5+9kH7a4hyMIo7evRm5oiUlbl5Ihv
lwPLyYenz/1ISF4cJirYs+X7qeMABDbwsIPajsF2kI13djBqO0vPtRzrnHS8Rcq33hsx0JlSpBJd
iDh7qQMtuvY5LD89CFLQ6ij96cmRWi5BYopVRaFJs/mQFWoZrupRKuK1GpK5O3EZZx5kE0YVBlIo
0zunkELI/GmJhlugO80Xm3/rrwb02UcQbK2irSbNTub5V69H62pCnMmV9dokbNKuRFk0m7J3vpX0
llvlsbSrEt34XoLEf8dgoa/ghEb1s80x2rrwSIreRbS8+6a3k/7ZkYvoXZnLjBY0qiXHyzOYf15a
zR0zEcTDJ1sbGyC9Ir3DQNBAX0tkqkvKVqirivpFQsWkmAZ6u0km6K4w7XWVIY2u2VOd6KzMVRSJ
wqxXyd6ju3387ctBkyl9UcbvAz2u1JthAnLjNmGAyGPU2bXqEu/j1y5Wkw/YBtX066a4ea82rbYj
6U6+RYrQASTTIqZZKJwg9BDkpXeh4L7z88o+nOPArx8I14rRCEACuO7AlZb1RDIZeZ0KrhWCLpqW
sZ00XteVyjbV5Harq2F+Eyp5ulVFFb8fZ+1KsBfdSunj2KPreU1URVl+sHi5MHQBeTLTMjj/FjkW
SrvRWJWS+l7CTATR9B0t6bVifg1t+hi1uZnlXHLzJVXEgzHx5PJupw/xb2bVXAQ8BCxXEcqBcLF8
gSitGK3hq/L7JG9NDyomb2AazW1Hun2b1nLpFkXYf+3RiEbE80rOcQJUIqul6/nGL+NUJoIeb5+m
bQzfMlPr/aTuo+S+Vh5zhrK21q6QqlzNxmo66rxCPJmNg5PblxHCl6YXXmDcp9ZNWdlrPVNcR/0s
MrGV02p9ZcssS9C36wMwSXyfr29piTbY/SDFSmK9Bx67Tdf2Tbe23WEduofLCy2P0HkdhCoYX7A7
6eItnoPeFwP+QTyH2FU9VFG8zoWE4l7L8U5C8XKdRZIXaX7R9Sb3I3uKW3vhCkHI1Vq4QEP+3lf/
duTUXf/Hv/Pn73mB4EqAkd/xH//jPvpOlp3/bP59/mf/668t/tZj8Zq9b6rX1+b+pVj+zaN/yO//
Z/3VS/Ny9Id11kTNeGhfq/HpteZQe1skeM3nv/l/+8M/Xt9+y4exeP3Xn9/zNmvm3xZEefbnPz+6
+fGvP+FY/PJy59//zw8fXlL+3XsQEM0fu9fkNXv5H3/8Z/39Nav5DX+8ZD/++FBFdfOS/fHj5Q+v
zcKXk1/7+lI3//pT0v96Y8bMkhHUYAwNCWX969uPFP0vvAAtDjGOMhq+cxTL8qoJ+WfWX6ZOCuQA
IeObpoXI60Up6u1nuvwXRCequhnJT4bw5389oP3fIfLvd8cD++fPf2Rtugei0dT/+nORcc3lwVyD
g7emPcXZLS9S6WlIhyjNw1sZkYhkU1u5rCarbPLLbFdBCEs/gugq8m8BeCPqpVDSqu4bgxs1p4Sz
gHRdiWFv+mT/O7JTjs/dIbovGpM/SG5LrUQQbWNsOxk6IhCb3Mwu6YR4HbzVSvNMbcyj71JXg3HZ
5EbatZpbT4ZT74Z6otZYRVbuZ9J6MBEgcv3Ksa4gIhYf3UxsAQdGbop+Fr1qeoPHQS5w0sSxkGB1
80aoA4pBaVuqt3Fj0U8ZmxlM7GYhLWwmYBZxAo0eI7FRbc2SwdlwmEm0SoPAlq9d13HFR67K5tKp
gyhHZuL2sh2qaqWWSWZ0W2UI9Y7rSW714Z0UowJSr8s+kWwSF1OdcLht8bIoPw29pnc3seJElu0p
nfBNLIt6acR8IXSyEosPqELiQ0q8/KygFDJ0q7gSUciMpUPkyC18Zfwvub7/B3EG3zv+swwwR4Hp
/xiw/n8MQzNf6t/+6ys+CUMfs6h5/fHHf1Yv3/5Yp1H10rzWR+Fm/ud/hxvD/Av5wX8wOzp6RsS3
v6ONofz11m6jX0/riXKVrftPsFHNv8ik50jA8Y0290yU/SfWqOpf5PNgcXSHon5mnPxOsOH3/JK1
USCzwwm5zOzILoEDL7Ik02EQmqhCXXEt3SbWnQyjk/9J3XnuyG1te/5VzgMMD5jDx8tQuatz0hdC
rcCcM59+fpTuPVZX13TBBgaYMQTDtuTe3Hnttf4hv6Re9f4C/t0KD3JoEVQFwWEyBH9mP0xliJSy
7mSXh1XtCFAjvgio5m5CskK4qxjcyT0JoLkNlad0iIubP+bmzIm6HAF/HWC/ml8kqyR8d+AN8pp+
33yKbFfh65PqDpTVPCETC6eUQsXF4PISLOP9rv+fpjiAF2FZHmMnTSlpGsrQW1U3rayVms0PxAOa
k2FWRVkeh6ReyHmQyNHr5z08M42ML/fPkspkKZ28Tuu+FrQ0E+ghUDk789G/KYFzXniNL/HL6Tgu
JbPlOUmd7vQxnsCymU1f01xRCKPDNKb5F4F2QVVm6gG5pO7b5706Odt/jSb7BTlL1L6JoU89IK2y
KqRuMBSwxf3ogETESj3WpMCZfblAjTEV/M7RkwzoNvf1z2HOvkQUt1dlLpWPF75lGcKTzi+sdZ4T
OkryQG/eL6ImmmBHAc1wEZorbRlns2mMrv1MdwO/9x1lnien8JsrjW/eAlsheVnoX4J4CFxB7Crn
8885s6TffQ1xyrsdxdshslRBcTFTzVyw81/xiRWxNWoAXn/e1Jm1RdGbSvAvf1i27/um4Di0QzDW
y+5prO3ICy8tG/kCdeNsfxYwD/gM5I5PVbxShPvwOJCZaXbqjoI/ZhVGHG6S2S8vrOJLTZ0ceapP
MU2PVcUVCZZILoeWbXTlVYvsiPcPRm7JuvIqRsTlFKSkiMGsNpxIAOSb2isMsdoPChZLn7fysT/g
QNkdnGtEGuRg3s9PEvetWhpm4Wq+Im7JwU8YQqTZ1u+6S1nzc02hP7gA/hb+2ak/e8g0+blqlC7+
oO1TFgfCZjYz+Slo/Ppvpa2XrY8+ASuOm2nxZj09a9qugHBApsbFh6vEH7rubfAe44UZMhib95ua
qQEKIP+6Grgb3o/dpFujqBRS6ZI0kn7o+BQemlm3SJM0IgRVXXqL5d7f/N0Je9/octL8UQvoRqPK
DH8oXd2XzCdTqHpHj0WjtaXU0i8s9o+bd5kqIniWIXIPpyzwoqpGVav1hhnzU6cdrWpXqa1/Idj9
eDGgJUs2nNVH7h/J1fc9osyUZn6vNW4uCdJGaUpjgwsMyYQhYxglQbsAFTkzbVDUgP/BXwFsdLo4
tHQ04EpLnTs3sFQoH6EP7xtjuUcDYAJ7rnee5QeXkFUfVz97GMYfm22pVZ5aSuNbEyhWFnZgLBWN
0nWd7XC5aF0zluoLHTwzoDqs88X5kIMXSt77AQ3Dqh+DsaeDYtdfo7nT3YtzZEKcHquVGloX4QBn
rlpuWWAHAB2BtKMZ875F1GiaUa6i2k1EpCPlps0LLrkK1+90UAzbR7oCCVZMAL+W0EZQMCS7hCTQ
UN1GmKte0sz8GEYR3DLGHGmkPkktvv+aCJ1lI0vb2tVSxScn1GL7CPSiTbBRzYPqromnzLCnUUdz
FTRjfMk+9swC41xehLeohVO2OzkX+ryhQhrSfme1/oqHXOmmQ9O6Kc7AXWyF26obLhlsfFheCwrF
WJKV4NHBQZ30eTAHaW7bpnNlKY+9pscKLymQoJ6K/MfnB9DHyaYp7FMAztI3DvKTplA1omjQIE85
5FKdupkh+2tT9K1trbeK6A7VoK6nwo89DDhUw5H90Niag9rtyLdXl9JmZ/qNJxRZY0hF9P5UE2jI
07ntZKFx26zWbEMwqjstlcKHSiviC5fKh20FC5xSGoBzlKHZyCcnL8gnaF0aNhYlRDuvjmIDgeEA
MmboIxAzdebL5wP94fSlPSD/FGio3CF8fbKNdaGPjdrnxKhDtEWTcZYg8dSX9OV/jdC7W4xmAOsB
cUWXlwzNyXTGve9HYK7oVpn4ewl/PxRPgaa4rRDJ0m5S6xqqEDmCeFTC1VQFsWckY7QbSgzJkMAK
KiAAgXqYzfaS2Na5EUCEBkAfaTWS8CcjrstpLwDyYSOD4dz1igIdp0Af/vNxXjp4MgAczEsIRBNQ
vpYl9seNGmF/GKTa3Lj4aZYhou1zcojmJPDdsurktSKI8VXDkYqotS9stMiyBPfzLzgpNxCv6OCY
EUhgHpZj+zTdE1RSIhUoYLtBmMiehEmOW/l5AdVU1mDOVMha401MDSvzwxfWqHXT4KbpmUmTuPJc
I5sHCurCtXx2WADQMSpL7H56ogRyIaPR3bGz/CICiFwiL0U8JbaIfRQhymSR6DtDL6a7KRfnzTBq
hXohOP1wkDIsgOexXliECsivvZ+ZOgVZMhrL0oyl6rpkNGw9mZJthyLdz1kwR9boLF3Y5iciAstk
IEe0qNwvtcjlKf6+Vb0TRyEo0sH1DeVZrY950V6ZlDxyQbV1RXDgFGwVnZp9OO2RoOjzZKsY3/vG
cpshtDXoK3AEL4BuPo4EqGwCP4469NjIA73/ptCSxlCs9cnVaqU7JEMjH5tSqm5mlRBCiOf62piM
8u3zZfnxwGNJog5CLIH7O4yC941OFXgbE5UxN2+MeD/9TCBcwxn0uNouaa2d6R9XJiJA3Jtgm06t
OLNBzTtzTmZXi6P6VsnizlPyPL9PsP/b+ADjDzNCYRdgYx9XONcG2hTgtpb741Q+V1JDP69MBjUy
GcVQzuNdMDfNJsXPgZJnbkYbH3spBeeubjq2iA9sPx/gj5cX7S6ZZy4WKvCnGYqg1LUYYeTZFevO
R21gCPa+UTSvQ53KF5r6eJTi10BEsoDrGeHTJFoZl0s8Nk/umGr+9yz3o6e8U14/78/HRtDlW1TE
0UxTABCf7BxsXM0YauvkQqCSfghFqHyLculSWfTjsqQVHgDASsi4EeC9X5Y4R9WjFMaTK3V1utVh
xcE0lSKO6wZaYxhN1iVdkXP94l0Cn3C5JoDOn7RozlPRifge+aAgNwqF4St56C8xhc638uulpS4q
hyf30AD9E/GHlD2ODYMrxVrlzHGWrP7+HBGmS5SIluL2KXpw7vpoGKMGDyeJsCUDDbrv4mC8sNzO
zJHExUH9GGMSMOzL7/9xpyad2JNYg6mOLqO8LRBt3GaCX90BGQ5dCTzKhZvi405SYe5xYkso1lEA
O4mVxqTD90ujvcyMhJ0SC4IFQTnNDZwM0E/6fAjPdQ47SGQJUUKkRnOyzBu0gHodQTdX8NvQjUNx
HYvBT1GMb1g9l4gUZ1YFTyoeEcshtVxL70dSCsxaryZ0Yaq6sngutZD0w6rbfN6lM+O37CWJmqVK
meFUCaroQP0Hgta5sRr8yPxIJc5RXltOo/U/aYj3GU9TcrOni1zo6lqRSkAEfVfldxUuEA4Lfz74
c3fhMDrXJQlJGn25whc3yvcDJ2AyFJm+2GFbIJU3SqEpnoDCzP1YjpeKnCdYiSVkWNLaf7V18uLD
rFgOTIMXd1UawaGvy7R2FGOORofzz79V2qbXV5kgSQ2g1nrOiaDKsV1XuUHMp0xNYSFqpWSN3WpF
PzvTILetI3ZGhBJYO9+NeT3mD4OQo4+j9bJsT0k2GW4G685wP5+fk/rx767AQGMLUbVFn+Z02FCk
CXuh6F1tCkQUz5Tmqhvb9mWiIu9pVmZ5OJQIuNars3CQm8jfTAYqPp9/xbm5WwZUXXwoFir3+7nr
Jt6zk1z3bqFK1TqQCXNLUe/WZI+0C02d2cxLmEegsyD0WPrvm5rasqAmP/RulVZQfxVF9aFNCOWh
loEVlaECK+Dzzp1tkYoCOnrgSpB2ed+ilrOaQCDi0EvWZBspereprUBN7aDzpSslKcObzxs8c4Tg
nwyCWCRGolx3eoTMDWxvhPnd0CqQN7EmoH0yKuCft3KmWyq3FlP2Kwawlt//48hvU9Wf+kEd3Cou
RTcewChVSVxvZjGqr4Vm7i60d26lcuiDmSC7ij3yaUiToSOBB0s7IvM/oFQ6Vd1qBpG3wqeieJjg
5XzNlAFdE2jAEJ1ry3ozO2Ig+/Nu/8IEv38+8npcUvTcBmSdTmWwg6DQU8iooyvqreTVSZJvBVLq
Ad5lYXcY1TS8VnKz309yKCN/Vuh2G4+iA01WJWfblTepjKWcb0yqPZtFtgqRfnWwsy7c1Gcr2nlF
mWpGlObCFX1mjy3lKPyGiaYQaTtd+DxfxKQQgNzDsxehHgrjxsoG6SbPh+Hb54N0bgWy4tnSFqoM
6F68XxvWEAiimGWMUQgPJizKyq5GLVj9g1YWWgK1PrA2p1flIFjoPpT5SCK59DdpExe70uovusN9
fKsw4RAvCAQpoQMJe9+ZKQ8HMBssdCkL9O9DWjWdk0E38uQE74CtmAVWh3hCLD1OfpbnDqeteOwx
tttigfNTHIxsoxGVrCYjCXA96IvenkhybEZJ7J8+H5Gzn0q0vyg2Y9hx+sIZI00d04JxJ8cxb6cS
gfg0qLH1g7+9HlK5sTupVN8+b/TswsItEbzcQiE8Bczh2qX1hYUfetYmz0joyY4oVoMdWPPf0yH7
dVeRtfmrpZMjpyHBGYsFLeV9XmOiEKdX4ZwOF8K98/1ReQdD+4DxcnIjdq0e+GTiRrcwQX/WQSdm
dtTO7EzZii89bs7uFJQTyXxQKLZOd2WcQEsTBg41uIHSaoJFY9eNWF7o0rlWlrQpqY4lW38awVbG
yIWhNaOrDkPnITfe2Uk5ThcuunMD92crJ/dOIolNJSklC4G33H2H8biLR+j0pJb+cEna60xWmgza
kqFd9FgYu5NdOUj4mMVBu3hpdIMbqCamb0LeDDuIRubzUFvSblTM+gUZk/RRTjTh4LddtEdaCFu9
zzfA+W9BZWzBb1GEPOXr9Fg1WoLaDO4kSykn/Rh5mRg+j4Dc16Ge/+yVyM27KNhFbYPl0hgFq8m8
RKo5O8fkiixiGxMYzMkrJe7gPY7zOLi1VZUbrZegeVRNduEWOcH3/d6DlLVg3XHzkxQ/GXejVM3C
KBjypg6MPbIAyW1C/Hrkrm1MV/Z12GlNYHjxlORvgtlmDm5m5otMRu/r1JMRunAfn1t0f37PyW5V
y8QY1BFPFdM3Z7tDncKlnFF6UCn/yV4F0YmACKEjGIeTEU5w5tKphHARTHBoBh974qzEmerz1bTs
ktP4AqTXkpLkxYnN0/vrpu4Gs9eGcEA3SxU7iAQZQGv8DhX5VhWTLHd7Ky0PIoaliq34cXGJE35u
HVHmQS6P9+4i0v2+fUq2gTEH2uAWoZXtqj6unTLJ6rvPe3kiE/N7HYFaXQRw+Us9LeTA+Ui61iTx
USsTYkqyhqWZMXfCw4Se2F4qxgaSXdw3RwC94TctWQjqQQ82ZosiovA8yI2KgJ9Wl8K6KUf9PhNS
Pb5woJ27ThnYBVUAUw0w2vuhqFBiHJMeluIgi8omC9BZEwecG2bTzDZ6gUyGilLzw+cjs1xip/O/
BJcwEuCzfxCQCYIukpOMg20q0siLwuamEwpcyHTtVWovWbyem2yD4acUQWgNYvl9D9F300dxYs9Q
NJZ3SmW2tggP+x9cP2AWzUVgBF7jKUm9lxLNyCLGURl1D5pKdjO3fX3/+bid2zfwM5f6GSV39BPe
dyVSp5Q4mxpB1Yozjp4S7KVgSABDC3X7xRdUy4sXIqUlDtKF/p2bsgUGbi36Y1Rjl1H+4ylEla6P
C4BCrhIIARnJGkm7UpBCL4N6HdqZmCWPn3f27LxRRdJJTgK30k5OPYjiXc8Xje4wWJarKYnqCn0U
rz5v5dzZumi0AOIh8UVC9H2/orCWzSGSRtf3M+moNKO1ox7TbsU2GS9stXOzh0M0xEEQGgvK9H1T
aa3qgiYlk2sGynBM0ON49I023+C/I3gZ874NhGh4yWVf+QdDuZAWlwQpl6d6sgVK0WgokwpELcoY
PUUFnDzkktQLBZ1zE0Zmg8wU76FFJvt9/+Y01tF/VDjuGnS3MmvIUC2RC+ufnN7o1i5lvAV4eEoA
LbmKURbgdYqmDAprOI6t9am85Fty7mCkckk4CYyHQTsZswqmklSr4+hqqj9cdZGfht7QSeRgRQvJ
ynrKMHQT0+EC0OVsCsDiUqJpIF9ks9+PYpm3QStKRJhDp4qIJuSVcYPcZPPI6ahv/H7stw040PVc
xP31YIX5TTpXXz7fFGejPQQ3gBX+4gmdBlrqLDVIGrAr0sGXV6lk9eteF8uvMe7A62nO1e+iPCuv
vBYaZ0ybNrKDuNVugjSeL8Q+5xbVn19ycuTFua6XSTgT1utlt5fyUF7FVl1dqJefaQXgOJcDmQOS
/KcBgVa2ahDhveMGc5+Edh8oc2qPafn3JH1+RQRErsTQZPaJok+rvxgoymXWtJKrhU12GOOiX9fU
eS6M2ZmlS6UXCbwF40Z9bDnz/jirczGvak1B9k41hZpDU5++ZVmSr2tAOlQCESi1ZUAP688XjcVP
PbnUWa4qSTkIMIve7PtWYzmscvROJRfXSvm2S4xwZcnS6CRyLjudP9W7OR4rR/RD2L9JWYoXen3m
JAcrQ+4RZPuCGzrpdR2icxIGgeRaUifeZDyHPGR/p3tjEH5+3tOzLZEaI3CkFvTB2wVH3TlIzRlc
UIM3ZqV2lTfjjHIvKu2lO+PMwgQuAxVwqeiaQBffD+oibjf4kSm5ExgzezT0wZGL0Hc/79Bylp1O
He83UBbgBEB/nkydWWt+XUPddIPKAM5kwct8Fpsa3xWx65PgKshz6Mqft3kGpEO09Eejy3r6Y5Xq
SRPqCKHLbpcmHY/1MJTXvSq33hxZfo+NkZqvlW7I0IszGtgC5iitLV9Xn+RI2ONp7xWRiWadGjTf
Pv+ys2NO3nfhGMNVOlV37JQOpBdpV5f3d7WfcB50eXC3f//I+aWgtgAnl2P2pPsNRO1F+FRyU9Tp
cKROAy8COHJhlH/jbN7P7aJ7xS256FWCIj5pRzS6wRKaoCNGnA2c5aa5epkVmNLS/KpMuZOkZp2s
tR79CScfq/ChwKg5cRsptIAZd35+DARIdk5b+Aqs8llqtYcuqoXgmpMuvxq7ORh4k/aqbvcVtLEd
9sxha0/maOrbQJHjchXVtRG4+mLOsSqSyvrio35U21ntFwhbCZO2T/xwnDbzDGN/NbWNHByyMET4
mG+YRqTPJiyr8V+eknXmA9lyDQ4xlCexIrJcMebB7kpy0ACiaSTdHmssoT0JAZYZfRU1NT1r8oPD
pJXzI75rMXk7hK3RCDUrK7bNXh0CnFdqv90lw1Qi6QSHA7/LMBF8fkrRprbMXJHo7ZIhWBQkM9nF
Frl4reu5kze5pkT5qpFI3DlhGWuGV/egeexGbkpzneKViyaxWiw0l3BQoDoPsbGODYS2d2bdNdMm
AdG5aAJSENs3SpMGLgChIHB6tdTv/RH+jKuOOCLahWlFAxqK8YgmdRNpyaMSRCM+vWYzY0QzTDXZ
93FWbB51iBSFXUROipATkmIUydGzTDoDtpHSV1dFJZQvmtYogS0b9a6c4BXYgxSV+FAMoXKfkxxJ
ANBPlbATemIx22q6eVOqviYhCTDhaUWx3TQcNOrifp/KXWBAwW+au0ZDZMqVzISEeNBStl6nHVoF
Tub7xiHWjdrCkmSWx3UTjeKzHGTxZLcaSlAR8pNIjIXcI1tSS7HiGK3cyI4+hml1qOAsyasM3kDm
+kpX7S3FB8CXhOkcumhRFFCM/d6oNnjnld21bOTCE+zj/qWeEgTejYG6xN7scv0NnfPgq27mw3WN
vs7ezOaMIrc4yDavKFFfJX08PIhqhhBlrNbDzigwbLcB8WD1IgVF2yL/vzBSWeKBeRTbxhI2Q2QF
42tnmi3O7pOsoMzUoj7N39MsdtNeVH6OuSqEyIcr8boXauFnEZHUseHuxMNqqHJWrJhjrcxBnMI9
x0j9WcvyVMArjXSMQ8ox/BLHpblVoij7UTR1dDNIYx9f+4GhPidRFUNHXWyR7CEMQxFPe8RYWTEZ
UODMapXKGYImbbaZMTW1nWpT9Jz3WAeDxxh8XOnkWUhcs6PG5MxWVH/XjLAoUKbPcWjyjbL/0kbh
UG6q1swSz4gD7TkU0qFHzFj3MWavOuU6CUdLo5Q6hqsQwI7gtak1NzimTmzKPs+yzlMTqxQ9ozbw
EpWF2bpOAoiftuDzIRF2zPi4M2mpLViT9L3mGXXMLaV/C2pRwNRu0KLI1sxEfY6gC0DcN8oZq4Ew
jhJ3BOlSe4CxJHNrCUkrupFlEizmlqArDmqV0Y3MXg6QIwb4gs8AXAbH9MdcsKU4zbe4wKnI6pW5
QsGr7kqy4rrchijAVVZv46eXNredIFOiHsOoU90KjmrpDqbWx1e6jOa6E821pdv4WNcd37+oQ1aN
EtYuz6L8RR7ExkLaLCvi9WTV7E4sB8wMXHnvJ5t60LvaruSo46rJORSosfvouZA5y2/H0dTuEQep
5BXSiXVGKV0fJHsOkYpys66pctsH5Dtx4JD+QIpOEm4lNLOG9ajXEzJDla/Pu6xvcil2s2qwABV3
WmNkiS2Mgi81b+Dw8lG4RRgOZTu7FZVISB+LMTH1iP77MsW7/5VXEPmQcVLdvonyI9k1617jKHrQ
5FogYVdZjadHerqLqzS2A2mIOFiEyqkrQ36cQinmt62mfjT8vGRFpYWQX4g/PyBOF4tHalfQESgB
ANM5eX8GoCf7fLRUN9aDe4YLUwLJn+ykFlMXOwqC3ryuXMVPvnMrJU4XCwjSgvi1cT/HJLtrHn/F
Ef8XuML/v2kSUBL+I6T6QAZ2wkV4IPva/GvbpAgR/EkE/vW//iYCA0v+N9kyYhIctN/JDiy/A9pu
AYcS0Cyq1v8hAguS+G9OMRKWgG143mA+/h8m8PJ7y89CK3IBQf4SMvgfxvLN75joM90B+X1YzGIG
LoIAIPmMRb/zw4vCUuYgSUJV2lRlo+zkNKkHuxIyAx2LUnMLeB6znfuwoVdSrEBDwc9YqsUEUyNl
OGQ1bp+21IhvMa6c21APbsZAmRyrl++sVCVY6NFcO/JWsh76wJ+/9RWCwFopTejGqVO+VeFOFv2Q
/E4w/K1V+V9d09Zf0whtCEKzH1+7fxU//3Xffm2Ztuhbc0pa/3+Qjv4rHfh/pqNfff32tfjX/X+R
sf8tsrEoafz6f/576UnKvxeOABkxYKqIAjH1vzno4O2WpYe2EDljFtKCsfofDrr8b2RZFu24JT3D
A17+z8qDgw7ObOEbAJhaiEry3+Ggn5xkwi99nKUGvLxM/ngSobRklpVV9XujVz3fOiaF8jgqV0MQ
UYu58TVPHvznrl8N+zY/QLp6/WOX/vcG+FNo4xdM56+3wl/tnpycYqg2hFpFv++n1dztUuleHIpj
HjxKobkRMa651lhPPj48eqAj9jpujGIniF6n3lXtJuUPiKnp6PMPAIN2lyIYOOFDq18PKYIvqrkx
rGJtJq/EYUke7DskmKbx7fNv/00BO/fxzMqfg2ZY3KpxEPZ7bNVG8UesvaXRF0nxSJY7cf6K30lV
fsuln8Z47L9J+iYM3Hm4EQk7rfFoTTdciI6RHoXX6I1/y6bcLubNLB8k+XDVCjxn7o3kMSEIwJtC
VnY9cXLg5E3gjbviS/UzoUQWRzZy15tmk1/lXxr8kWx1JbrVql5PG9/T3NJtvM4jYekKtnZAC9IO
PN4cbuQITuxiHngt2G/gOu3G8xM7PMQHeXJa1Sv8Zx52jiGvELSSh+MYbuJq60uvenlctN3GXUY0
pTwmHESD6A3ps0VcmjSIzCISO2luijZqfy2WKzNY9Yo7pbsvaLUVu4S6UnRdhnZ1JxBnNxudILzg
10prUBj2j+1kufhP9vwJheLndcUVioGUvknrBxpEz6qtJVfCUK70V3G9U6vDkB3V9qlCQ3raKNpG
Kjd6uJHUzdjfVN21GeyAvYn9Vulx+Z6wvCYa2mTFKuHXhGDudBcOvm3FTpHY2QbHvfItdLvHRllr
yV04X2lXqbYillXxrHa1O2Ji+IylN5ZO+ySoV3qDqe/kIrpn1St+SbsCVG4VAcqp7Oh1wGBJHuz+
q/pN/IYkSxujvoZNPbzBJiYEhLReYJbsSHej4fh+a5eVg0+Uf22+qWH6mq8bBrbRtwCKhvvoZZTb
VWVJz4Me2GJwbPz11Dw0SOjPOAAhVev6augkTLtwFXWuVOyzBAhe9BUzAsj69TrF+mqXhN5ouAIv
Bt1WDBefWcXY57mLQR5/A3sTr2CnaNtoeuq4FJTkqOu71npq+hXh46r3mq3ipbv00drIO22FeMtK
9CxItI6orpO3PLqUmn5/H/51PJykpCEVZmFrWt1euE9v/B3e3RsAYEftStnlx/GY7/Ir6Sa7kB85
sWP7q7WTikw81gpFYFrLD91TdaxvxvviS3gfrDUvPtbH7HW6x0nxyjwW/7DFU3IlQX06D6FJevla
3Pk7/WneVuvwOrlCO+9a26VH8aBv5GfzqDx8fmgtCcN3qbf/9PI0W9qn1BJGxND2ynVVOSTQFdYX
guTP1jHajVt9lz6MhQ1WLnuadtK22ujevEo2bIFdvep2/LdV7SrbZpcfrG/Kqj/UN+01qZZ9fhNF
jpau0mYT+lc8VkeoBJE7l3bgVpKtDis5cfC4DxIHWVlQcsnEQ9up4MDIbujbBemOK6u0uzcpdwAZ
UgOQMSe0q8ntYif2JE9HucPpRedwLFa3RrMek1U3bTW8i1/Kg7zGj6oaD21/K9aOiA1mu6ZuITW7
4GgNe785oItrwD+p7AmPQZfETvMEi3X6OWYOvrdxYes/9cIJqSmus1vxSkyogdjm1+quOlr7B/zU
MyivPJxJhDrJVbtpCpsXY/fCg2u6mQTbB5VsR5rT0eSWBq6plCLahqmigw+dtkZpV5AcHntZ6hot
YvcrU15X2a6rflicvkX503pJmm9p+doqT3L+MxC3tbEx4834Tb4a9sJrIjhaTHLQjdeZviuDTYf3
1g/ivCtlG/1ssBtL3fpb8Da/osXYx+4o2NnbeCPePkXkK4v9mHzpOyfIgAU4gr7hH7rUrn0eRRtR
X/6hbD0WRPPTwATyW3ScvGgTbKonBVVy/Mq9EaOr1LY2zX7aJ6jZP+t34p14m27DB+WlQ1otWoVs
yfSq2HROzSZq3e+1I7ukNlyUrG8YfWngeIR66QRov7FWZESKbSuy263ipqtknW+0q9qbbdWZV/It
WaTBMT3FxubgWJDCd8pDvxpX1rX4M7zZB25sk4xzmSh7oPnYMbbpS+VZ190TLuvMsORCoVa94YpL
b2t4/iqyzR1dLLeWDTC0YfG73NyhXT5P19Ix+NIk69a6RXjcnp4a9kHwkIcBS7OwRYzq8jfxh7Wv
7srX+pVFUPEr8dR4Xc+UHjcmzoQey1PzoHQhZfxTXOW5Fz2me10QVma/NfN1+6DVVLGvpWqyi0cN
5anZ5QfoudMNtnQnTvdmulJuxRusDM38DrV35U7cCrf1V8QRb6sX6Xa6Ng9IRK8yTznIXuUkzuS2
duzO9oPuBJviTngxVtphGUzBCR1/96XdWvzpeFU5uZuvwlVyBdnWfpUcfdU96Kt2HXrTplq9js63
0TNX0yH5HjdcXe3X6CY9+vfdS187I10KbP0m2VWBvfw0ALe7eced5YbO0Njq10RZt4j0505YufLo
NIMnvYGTyl3RS3Rb1fe9hbnmpHpc/GLloP9lQEGc7lh3I3dwhLUm0Zxt2dYK3PGe3aZ+x6WqeBGR
Bcn3JhUIIkVHylEWS2191dyXV3A7+wk3RjtzkQI9sBPndUYK1yuRuE4Omiccg9tIeCq+GKv20Eew
aylAu8PPoXJKazux8OUroV83ykqEX6CsUCKTTQ8D1OSL6gUbdaesYqIlfSs9S8+4bnrtFk8EsqvN
Vlp1x3nbHaujvsuehP18M9z232SNNPCGxAUvfnZkQyqZlVw5Qm/H32L0Om5RXwtwUUYsIVxXphuk
20h0SN1EPZmjg5nsu8oeOrcZbzVlUzf7ub2R8fUWnQqIKWk+I4WmeuNPxxEtszWF6GHclc/Q+/bB
vj00ya4on2TptTTerOSLLjwbL8GcvDaiQQ4N9QAR4cvCbh6C6SfMA/jt8WN6m47tQ5Onb0ZeeKSq
sBvFM4yTctjEV2NsE6CG9qibHpnxFMnG1A6/Cy/9Q39jPfdpmTmoW3wp5OZgWCsdaVYhgd4aWUx8
Ylc/sh/mq3En34g303WG02JHvIeTwLf2a/Da3vW3wUs13KRDuxb13pOp1I2lG0rEhLKHrcAG9VI/
+hKkaw0JzIEwvySf7RTRo1pvw2Sb5m5ECFXf5cBD2nvzR/udigBRc1Q7SX/oju21+qrfE+R00wsO
QFuD5BoKC1sJU54lvT8iX/A1iq77fh30W0veYL+o3hXfY3/f5xsdS85780ns35Lm+yRthZfsqX3B
GoUV12uYWTZEbzsU4qw3uXPRZwCBPLDFi8yB/1z2T3O3Qnk9Km2pYgyJPkvfNfrxUBIKB3pwZTXf
FcvREhdDunLwkL+tlG34WKY9Ev+q3T6rrnEFYmye7Ihjm0NWc6porVt3mbTK/b3S3lTSqlSuO2HN
y6jeEz03ia0f1E1yXd37K/JP4ZMWOh0ZwcrJOiefnHJy+8xuS0I9b4KZETsjgWjgqf1eTFZ55g2q
N/aPgIzndeSIr9xui/TEQXWtW/9b8D1E/Lfmx5b5zZS96mJgh90qnRwBxRt1pU3EuC5R5hCsRcVR
JRtokKrY2Q9Sf7inav+bujPbjRzJ0vSr9AMME9yXW9Lpq1ySa5duCCkU4m40rkayMe8+n2dlN6pm
ui4KmAGm7xKIDIXkIs3O+VfjYQ0uznDy+ohzjt9p8TOBl92bN8Nl4dmT+6z7tKxTldzU9hfxJQkL
oHPo/SO7ndE9550gXRD8TO3LIarmsJabYiYnf+MYJ6s4zdUXpsYQz3s4UhEqaJ8uX4DwkYd+58kT
16bHADNstbvlhbPxQuJLz1uvnazx1hlvy4sd5w/lp3Mn36zmo3ojZqp5zR+bO+s5IT/dGF6KOmwO
/WZ+MD7uOZPiIZLP+aZpY9myaVG+mc28ZntRxpLbKSWjJFz6DU3pPmkVjRUmAg2a8ToW4pQaRqhP
U6QfFm693RqX911Pt+x++Uqbi/noBHE9lVHGeqLE0/iY8dWG0H81zvpTe29yma3RusRsHXMWsVzO
F/XLWjgmAJXDNo+n6rDmUReNWx7I8lcTOzfFGNmv3pO/7e/JRCt2TYIKKVqGsHwcPvwkzPWtZu4C
efLsp06ecjsKutCrYwJX+j1J8pv2y6b+9tnjdj6Nj+JSYVCN5jNPeOoTgB7yH81X/lPczO9ZCaoU
us/ZTfma3NJ3pVnh7EBo7OHA1u/2NWAmS6NFXgcb09y3HtH4Ucv1nYWERz/wa/b1yNSj/0Gdb1s0
STmdKP1UocZhRCD73vWLi/bmRvZz5qMoD8vf2HFwDRj6bdGfNZfunWPHutT3LyaiGqacrdImoglE
TEunrqud7LTQ1t4R0Y5VhdamPlf2ErNOB8YbjSPx3Pz8OX7/S1DYP81g/IekxttP0kV+mv8GwBj5
JcjcKRc3adYGQULv9Xc7yf8B1f77Q/wYP7zEm//5b68kvv7uxL+RNZ1//j1u9l9+yb/haJbzR4B+
1kIyc431ABf7DxyNPyFTBLiM78agT+ga5f0XjmZZf6CaCBBX8bf+inn8K8vRMv+4VqMjfrra18hA
tv8VHA3lxz9sV//lN/732BCZPFZX1Z3BtJ04Yec4+5Qy3hgF3LrPhxzCR03ZDhX/2am0S2FPL8lI
4XVqHHrHLo66xWvTjWKHZf8WJQSLS0kCTn9btn314fszsa+ajXFwcenpMFMEDLP7aqF/C+kRbI6L
kRuh3y32HQttHhf5+lM56TtEoNguq69utCpRocCloFf1g5KeDOsySy4jxcaRNzX2QRqVjIIBw/mi
xAYhJBtaF+QjGqWmax86M3PDbDa4Zsd83i0Kfx8N5EQDimLbzFDRYjz3tU9X8iReyyKT93YOCO0Q
bBLCgT81tvUJmn8rapaIzKOnl60NjSxHVJHdNpZ3uzb5y7WvvtCMG2iXc5abu85Z1rgGZ7pBN0Cp
iWOhTS84AB2zINvFC3bIus1Y9PrZkvWPnhRJ1KUFW9ds3tTjerOsOkpSu12ieqLqXun67z6rPvvE
vU0zLojU1zT+XCsjf+6cLex3HxW9f6D4B28H7P+NkM4cG9MSZX15siTbbCKCxzKpDk3g341UDe3q
oZl/d337Qwsp4dNO6iCzWA6DUW0oCaCB0P+UyXxI2KGSa190VFAHEJLaGavEuxN59TMu3RoWchy4
OGrin7xO3rlrs01HmnHJCa+8jZXpqo76dOgP5oJ4uuo0+1Z0BEJNetHtKB3wwrG3uzjR533TG96j
MpjvFtTOWZ8flzzjJjFZUX1Rg4Ihs+X+SBjO1uI1z9fnOvNgynFMo45OYvoUmvsls5uboVOKMnNG
+klT2nEV/XvfZ8GuJjnA96pfk4CRGOqEIc1MYtuZvKPvrMWma68qA2O58TSdtu9pfu4HuURGOfh2
RF9JNJskB9PkJM1qH3j1XVn0T4mxspEOm0JnQe9+8HlssXlEhYXfF81S2I/WNYA6niRAaCoPTcpN
t3y0ixGWY7tpNDqLFnEZhLHrgBamWp7a1IyE/j4xuAXFHDtdHWsJASQWvwzRYrik4akK7me/2nnd
vZ7NOzUciyDfgoqPfljRseVaL3bunAVWlMRn9tE0486jGiIkdCLWUToIZsnu/yap9/8hUfJnbsA/
J0qeU/i5fzjt//wL/3m641vAjYZY4GrTv2qH/saSmAGx4Fd3DPlvhBldsbu/Dnf7D450yFeE8B7n
O0r4/yRJNOMPPv3r4Y7O+qpns41/5XQn4/cfTvc/5XdEZpDlB9eHnPp/l8qqail6LsGHtvVWcejy
wddCfRkzxUM4a+cl7R5bVwlJwG6FGALSzjw7DT4mdoUme9cUDriwdhWkRWe4eb4bTCq9o2wxsLpq
HqXxVLEbCA160m9clDSkz2+yYlVvetU4y0ERDeKFfnqtVeaITJ5opZ/m2Gz9wg8NPas/F7dOZ/ZM
e0XBYuttRjtwpg8K1YKxTsklWFf4zAp5iuiNrWVmkONR6ZqdvcsSKU0DpIdOxEe1oKw8peh1InIa
aps2MLXwrSrsj5SCjUX+2Nmp2+30jmzyaFITVjESdQj1mst1TncwSC0b54ROP8xro35TowYOlNJW
AxRlGnT9cU4UPxzb9lvr5u1tOdfC4o8SaqemPGVbIYqNpdlcK99lqOb62aKdm1HDdK7rhBgH0oJ9
lfoqtiep74OlFtMucYvyV+HNnbbp5JrmeIrIrttOSrc+rMJsn+HdQWL8tOm2PpHuXkx/u8mGacti
xynL59H6vQxO6G88bp7KN/L30UzKX3SRVdkG8fPav+YKk8C7qWvynZ6ystwUKM/MzUJe/KFeDFvF
81A7r4RYr5/enPOccAUvZlTVucHla6t5jjRZyXJDB+AmIaug2Hg1EfNhWVvlTecZdXVVaNEyh0Jy
peHObJsgpr6mv1OIxzscaYFD7bM2A0fW9rLeeP5gIhNR9VzuLWu2ZzQSxpAANxgzxEPfWyr0UkKY
QtdDlc+QKzB38XQZ47asy8YBntUAVrD7WklI1P4ahFZLojncGSTNphaMf2E5Nwqtm7CSGuFRn/02
aqFpzN8ruh2Essh5VDLhGvIxZ6dhkDqlCnul/NvONPMqRBsYdJvZKAaaeK2i/DKICr6fKa2td9Ws
5d9+P6CMmgIBMjT17vSUE473gEMoUeRFY5oyZVzmvAHskGNisU1nVdkm70uZBtVPSpi2o8G8uOt4
SPOUpyPM/LlsgHoJDwLhCILyrFWl/yv1R+BSgqpsuql43IbI53q/q6zVwlCzLp1z1gaOAzawEVWX
b7nnoKkNudNXqdKtMESO+KjWpoGt1+70rcqX/GjW/vy9uIWHGmccHJJZvbxAR+rRLrgXBraTA5F+
y86SxfBF9In3lK05u+Ha19WF8O6JBcetaAPBl8ugMXjamMfLCA1kShOkuxsDWm5WZ77159wtt3Up
i719VQrsaj8l7VqRFxgu0gx+dIaU2yBp1+XsaZTgAv+a7iPR1+pdnzJ2H70lkylmpMtelF56IHqm
R2OwZ7cxKp+mi1imhyqSeiZvGlG07QO54U0aWm7hwo34Qr47DhlnIclu1nsm3OK1pWsGr0c1W3lU
lq7HmJHo7r1yTZ47p+081KfSSTc9HfHPaZDYyW0hCxRFXdBVxw6FrdytC4/vtvK9zo4qLYcuMGRW
lzvSJ5cf2Vhi7m+c0RuJA2E8bmzUPULV12kyb0GJSvWZjFVz51WOKzakC0MeDGu25Bt/YMWjliYF
kMl6jjxLtMtdOpRDHSajrtqtEwjLjhAn90mUOD5TSSLyTrLJZkV/sfUMkVmHKwqc3E/A+AriKfqN
pujd2Ru6zdfBr91NH8yQMNH95M8c9XaSqy+6iu1h6w7Z/KvlnH+jgtf70kVtPLgiA+3tK72Kg7lb
+/vGkbboot7qgHU1yhsit8qDX46uBCIQCobU0R9UM4aUedJKnlWFULgWJzkC3TnrHvNEEsROIvk4
CO65rsbd5LpxUY7rx+DVvBIeqsc1GtOqERvTXXsVojDwQPoXS0u32ADhrBP6KEECnSBZI1Jlh9NK
+ZcBFqurFxkMsx/qDsgMHjgDVMjpGly4gdH/VYv5/2Bn/u8majIZL/75oAS5kE//uBdf/8LfBiXN
8f5AisRCi9nzb1vtf0xKmhtQk2IgJyGz/c+2A/QJf81KGn9EBB4ZSJQhIa//c0n+axPWkJTQBc/4
4iJHuW7W/5KkhAyWf9yFCUugiQXJCykPV8kVuTBMU38nLvHV1JkK+2I84SBOY0SBDbNDYXbjdBZp
bqonzSwX/RppCjakZ40LndKggf9ylsH+SlOZeB+DMRRpjORVGyKUMEvBJG6n1giUuZaIuZH1PQxN
QFWsTvYma+pQBBAW8zrjbW3WRRhICfwhiNZZqhX00nLaG11vbF9GteVl6omgC+esCiSxmJ06xrV4
Kp11BpMb2raPh4mK6JcKpLs82ByK9dbuPIiEWg4fRdqZ3tYf0D4QTu/GQpVc5kF+S6b1/NSNtYiS
rPHivGjutNHu47KG7uGaeHEpX/ilKdPZ9FPXbLx0obzXt07rrB1TPSXIzpv0MBvoXFsFd5xEKBri
5rF3a6GddMOXp7KErvDSctgarkwOWHxPTu9UdxaSF3eTecgsLPvSL/Tclh1utXxhS5mqYbqlBrei
yg3PfuNlF5q/UJGiDHPGOTsM2dI9jpN0Y39K/QPGTDMyFmfYWs7wm+OKULXWu0tdpzu0k3aUfvNj
aMvFcihap85Z23YzzNc4jTs1pevWW4rmYlTmV1AU9KSgQ6P5SjKEIWKLYQtEXOjll5b6HyyaeK9N
vdm5+vrLcjPtTrdGkOq8aEO7w5BVXuMIzCafHiHr3xZeggcp+VE7n4aZSqTJc8ks+pHzBOxz6cpY
610q4jpfgTrWsBq+p8b5Ce9lpn+rtS1fzEnnMm2VN7qPrciXA20ciXXsp2mwvpOJK4gHskEJ3Fu1
gx+/yFnWtzJ3hmFXaK5+I83VRu1fpW12zEbfe9Rmds4KN4I2VVfKts0NHLqT4S/jGcND5t57yxD4
TYxxQDj+j6Rhjnbr1Bv7wLzP7FRDiI+KWzfyY985Umzs1ZvaXevUVhbb6To+pLpslpPf6Ea3SbXO
eFSsGZ90I/qRNqzzfiyy9nItL7lMqu/2ORLWyKD9ZwmnIckiNx/cNx5bK1o19tqG7C+FBLce9lnZ
tecuKeSPleLFF6mAer3G6h5JGFtux7T0+j5uZFJp/QuhVYuKPLI2YFvwW6Wpym+N2bpPvcbatK5V
R2xHMG9B7Wb2pkwKnmJfjXI61ZwX/pFUh0UCNbTavO57gjcjmx3qhGxeh1EdZq5NBw5B05aYy4qy
7zxp+5tetik0m+wKfdOLOekacnaXAJ6qJa3G4Q6MVJYMQ2inabK/ptKGS9s/Z13jfGiqyUISzTJk
PEpT22UkJcpu3GXnscnHgWYE2+bah2q3HfK3IJXotX0WkJpcqazJ31bJaJkMoj0YymG9KFBBlYTx
hIHIy0terOuxt8G+yjC1rcK/6/FAnOiVFgeZAqeXDtufr3cKcZTdvTX1op2agakWmbh/9ldVfOJY
Qc5DB2OcLisfhpViXnCu/8uKBEEpu0LWpvxdj1vmeq0TbuZ3k7/Tm87fUYvYHyrT1aNidNawz2Vw
U64BuhVB10ITFDoqp7w4kYOAn4lt+Tl39AEoCVanx3wVL2tx6LO5RYw3YoK5/pPlsLSP9kICuB78
+V0FLyldJ02opiBHmSdb/t186N7+/A021zWswRCyIWqJr6C56nc3d5D7dfZJTlJ+mpWtMeZl6pBm
Yn7yFz4Szt7kbhisPjK8Hgalk/lBsNlue9vl52sVfgW9CXbOWK6hJwNED11eh2pezLuWgTn2K56e
XMJ1EVrw7idL8fnnv98EbvaqPLfalT3/h96mwe2fn2GTNvOTPtfDwaeXaj4TXYz/jFfvO+0dn70k
s77nYtAvfeUVn70H19h3a/FZgu6+CZGsX3M91aR2p6OJn2fh6Jt79700tPkwpFrw5PXz9EhGnfZC
GvLVbIXUgVnRDNtK+DfKcMuoxgb+kystPZe9752w+AWR0YlA+q8EWQSad5AJ3nuMUbJ1WS1Tjdjm
6YjbXxaApdhKYT+v6ZQgxhWI4RHgAqOF9JzyoImmfMKvYx1nb5l3g3Lv6JJ+HNryYXHxfwtrJYhH
xZmjdiaUtvDGrTku+9GyvqTvNxEpMDau8V4cdQ9KJpP+nbJaHnTfuGfLeJ3yoKHSsSXGwrXL7Vob
/W7VBm1jT3hkuHMWPFhDx/rXl1t7dGScNL4VLfPqY1jIESPmgR7WfmZjQGr6nZ4JamQmiE5XeAZr
qpPuO5dHvFdubSDYGD69Fq/ajO8rJPjmBYIg5/OnudlMPmhD++W0QbMxhPZodKq95S4JUFbQz4t1
E9XCqHi6PY7i8ZoxNa0+UONQus9z4xBJna3925LBinqTp526fCL+osmyWHTGvMOaeDCCduHgtv2f
We+360K5Agg4Pj3FlZWvD/2QoFXr5l2fWBsKCOkbWYzyziw17wxsnG1g/9Ko93L/tFRCZzMa4rp2
AxCi7DkRwBiawjig2v7YDixRw7qTrjnTtzG5u8HH3UO49a+cPs3Qc1FJVY3Z/QygaCEJOfom6BPE
osAVWKQwtY0a+xvhELEezGJDokGk2crfpnZzsJcJkKJwq5sUZJvpnlirRig/FlXGMeh42nHSoer1
bjzwvhY7bV7cmHyrwxBcz+omi4Z0EZ/FQixjbw3WReGN2KWK/h0naYP72hnaB1SaGIi8itBjv/If
mw4chQXb2peY6ZpQq9B4pXWfb3rd8NZN5dliP7kGFHNqHZgGfaQXgTIPZWUDXGUyy2+v6/FdUBn1
lrMakaixaPql85PuFbLDbcNuyseDn3vBhoHUxw/ScI24izkcvSD5zid/uU1MQ511wULblDhPfSnr
S66j5VnbNj0YXNJxgkOw4spzB/SUo7XrvJLn1Z6y2wSL87YDYH8incbuONpIASQJb/0QgdB23ggi
MztdH624Ew/ThE5rwae2zedWO+W1Xx4cALcTm7O3V5xX3/PYSB7JQrsraFbhMU3LG4NYyy3nonGY
XBsUzJ3VjJpAC+gXAuGJMnJVELIOCx20We6ZUAVA6Zs019Qcmm4WELmO79GT6Lhk3chzk9PRVJRl
tW0WFAhi1rtHoXKkQxYTo+svKTE03vIxmRpSosrM0yjFOfnAdqA2njOtsZhVhsK5cWIlxmLXtlkF
/0MOczwuRhcOtXTQo6Zyk6xquZfKDC4y6a8j9Lzt3VK7VY1KfvGFy/sAb1o8tJz/kz6sz9O87Ci1
HkI314rDqoKjpSgIIwtj+Z2atfvtS0/faa4XteAYm7y07H1eJNfS9gSnkVEoLkTXyzdZc1XP5txJ
fpH8UKeWxzSAeiF38ttQqv6M4KO52CU1w3SRv9CwATlPrNMR0iR7ChgZN/B6+YHsmSWyBgbQYRnZ
lhe+kO+JH270h9XsoAm4ykg68W+nYHwg1DoLlVksvETKJH2y4zZJgqy+2MRQ4dqYOdXa2XutguGp
YLQ/AqZ+ox3/pVf4w1aH5ihRShAOTJA1WZIr5H6Qim47mcWXq4oAVrD4vApFt7RqoSgc2zts0/g2
4WCRWo/ctBLRL6NGH1EmcY11p31QT/Q1ngbvTGqeecMuUu/EvKLz0KvshaAtvP8yqPxTSoo4ZqR0
YFQ2o4DpOxyzRm1nwTnasduFuHCRd+rmp19U/HyFLj6H6xPBEH9cJHJJLWuCfWLn8jILFAGjUbWn
OisFvyYz2eAqnI6gayuSz+VxEb67t9tWR8yC/GvqVQXAAHHluJ9+1T8Xwja3uleu8TKMqARKV9v2
+MhQO1clL/0qH4CP6wgH5PWX+tvKfeyfrTvep42a46Fsf6see5XRosHrpCjD3prEo5l544XGN6Tm
Zu6ax1UzZeQAl/OwjclLT6KM3DBguYB3EmBZru2hzEGGAi9D+1YFv6YR9WrpjgIBJ7+nvjOTw8RV
t68s7Qm7xMECWjsmttL3g5W7d1PZnjWszjvqblGgB3a6AWQJOEWyIOzTwN1KrQMHHvt1h/k3C7m2
LRGzpKeH1LF5nJnAN0O+6g9JZpHJNFBwPSXzZRHjp7FKRPiqC+3Blg+9ZhVPqW1eXeyd9c5e1W9n
X/9uMaEcA0txFnrtHUH8d6ve3Nae2JEIm9wJglkjKQtxKN16ORiN1YU8uF/lnN/gxPNfE0L8QsZ1
fo8G2C3Y07F0px6haG/Q3ZkSrl31VTzhT9o5g4lijPAs+0bZg3jAfIFQXUP6uiRGHZZmqW+nYB32
ZbXCCoo0OE1JynimfXgiG89eQCeEBYj6Oyn87sXKjXrj1znNfTgc95xfKZelTF6IDBW3VY5oY3Wd
5KwMjSsMEm6jIOw2Vs7Mk/BhurpK75VnCWRTvXOX07EgI7dprv7GQZ2dAcmgwDF2Ju+4jrJ6HG4L
DueICtc5XJe6vc3Npd51ctYFheJAmZm+fgs7WNEZZdNlXiptN1/3UIYVN1zswWHxbkc0+zYcOFwI
keC0hLL1ZCKateErm3ImJc/No4X80J2bEwTV8GKrUhrvzgqVC8xoHHOnxcFBBxtqHPttUShjWlzX
hFriWRYamXeqTbynqvf0SzoN9k0RSMCFGZO2HgRrNKVLespFeZnaVcMG7VpbYVav1073vW9jHpMT
3ulr6PZB0Vse+lkLw53Cu2zdZU7u+enyuO2bW5toNLTYlnIe18J+71y8M7NbEm44Sjsg11SscR6Y
/VcDKxSJwudDrw1kzI7OJDKOomU+c8FHVVrtnUHTT8DCCUZfdiimjeBiW9X0SIV7ys5eUHsJoIsK
tEmNmF243DeCsBCInfGGFZXIBS/1DlMGyDp2qnxqgrp5sMTCNWBzzp5bq1r315qiE9nU5e2Y+NP3
MoMYW3Vr7j0yDh5rx0LSuPoCOY+tvQ2WCy0e4MioOiHv6F5p3/XWlsd81DIk62Uxb42Ww2Wwneyl
z4pLpjdnm+U/zfSPypH9sw+cRciIV21p0+h3Aoh9t+KKz6Ee4tJZ6rfWxEBeptKHEVH5K4HW1c1Y
MAQYxvrZmZOMiypZdmPnrDe2I37rwWScUpUR4a0wjRj2OO+tcoYVWEfKZ31euaBI+70tjBS5Ghos
maS/mtnCvlMkXxPpqShG6nPH+tWvfXPXebO4eO7i/lBiW4UWAWg3AxPfRevI0/Hycc3RnqXyQ9CN
e8NHR05c5ds7bzHJN9Cz/uIxjN+PLFt7v0n0kwR0gHGHSQPFR7Giubws188oAUsmdYVvaCUofqHq
iHxa19msWYuFZEHh8KCyft4jd/Jg1LG0B06tdoHwNMRlrfYWyAT9r4OpvmmT+nFV1RylcPp8MFmL
2B3lSi/BGMPChCYpHcfkIbRmJzTKdiINbDGnXWMVWTwOCSQikY23c1D2EQNtvRGY4D+ahW+qn1LE
zYPeYqyQbf2wMlbHUGPaszuwnlCHMGxGylp24ooS6ASUbrWC23Yp9UPQ6sOe7ys7BDSmR2AN1dme
qm6X2kP+Q7kpnlRPGltVDhVGtbrfTW29vPeSw0dPITZCDj77l2u2uH6b1f/0cUvHhRTjfnUGf+/2
otkuwDZvlQ4hU+RXhiIfB+M7GHXxMviUMlDxOQYPhvT1u3Yt9F+CWqz4TzHMMHj27xE4aZOWS7pp
Ch+p7VKILeQO4S0JD2WQzfIFCCr5GkXR3CYFyehi8JqbVA44BJRQv/JgfLVSu7zF+9fux6FnsHGC
uflY5tl+MGeSoey5mN/9XA4cIbb/NeVrdpKaPu1LLm6CBdXiEsagFY9Tn3AIN62MVH1dtEnTODaz
sW76Nssjm4CZuyZjaw7TWhC4aDeGfy5LPz/JYsy/rFJV3fXaSZGamHVxP3QrtNFkFSgw+txneOi8
W8vVyuWkiA4gNMRFZwovHWvmcNXTej2Ggyzn0imM6TRqQYu3le4S3oM2uBNz4T2AtpVng6BJUhJb
RCSVVudhp1a0RZk/vdZGqm+Shfsflnt9gulOToE7aptq0fDGBSl2hjyX0WgJDGuapv0eZYO5Xs/v
+zad7s3aw6yX4M9yyybfJUbL2Viu58AIUvI4vPGm8MrkovFrYyhdgntzrg0AThjKZazkWSZ6cuRs
rW+zEmdh7bTzHa/HEKJEGr4DBiHZpF/UbH1pjv5oA67eaEK8DkbymFsr89CkTxvdIUzM4zEhluCb
MAQCla3gwx2LuKoSflqrTk+Ai9XTYNgkfjjmBhLw2YXij3wf0FAnG8UwBjLVbN2iSyNpY2uhp5hB
NtQkctSsIkY/nYutIKBj57S4YpTEhy8XeZyadHjsNGS+dl+eJyRHHHcVTT+QVVFmmOaxtcxpUw3L
SyrGtwYXKoqpMe7FtG3YRkMj0aezYYAgEpS35wXHxWhoyVkOg7lZAblPni48Ap/RocP3Mq5ZfrpJ
g8yLzGIoDrhmh/0yQ7UuHYE6eoBAnsiVM2tSgZR3tr8mryg2WcrNn4/mxWpatW+p7bUnuEszt1L0
oav929Vl90h2kEbkkg00a7FIrcQiRhYSjr3K4MG0AXe/mzlmzG4VAN2P5VmJAOy1Hioc3I5giyyK
N2rG642X2fp9UQwY9VrNQAK9jnbMlRLcQctncZBPT3VOqJXRewlaV1WH7TAYUetY1bZ1k+wywVfG
uvK0Ddkt5zVlou8r4Ntx7NJD0LvNWYAlbb1OsUfhc+m7hs/e152ocw16Pf78yXgcnmaxPAQELeFA
IA2VuZOpr2278LpZmUE2xa2je6RkzMdkREHbe0LeUg19MJviVfbpeZLat5wIh6fjbIr1xctv9bS/
6AvSqMkblijVE2+/knS30dEdoAnzv3y379hWxBsQD04g3b0m9vnZYbFSH2fndW4ndaWZwX9Xyrk0
Erkvk7R4AOg7DYWlRz3rRFSsJD1U2qSFmJJxLczKv8t4uSPblMgGirI++LV3Q5nfFk3Km1p0BwmO
xxrc+lFp5699kTcx6wNCB+ihbWuv/RZtWwu7QcwW5MTZJgB/duhy9jowWWG5NyIoO9IuYAxElqm4
tbw5XsllgQmXW7eyQfcy2YdNMpuh2ZXWk6f172MATGdSTh6lmjdzY+qnpClHBNs+YRqZ359sXz33
S5ADbjX6tpb6W+FbKUdLOe3dMXhqXEaudrDms5nlPfkpZrcLLGkdkSY+eK6EHZmr6bYCGac20tVk
TG54vnXEQhza9DFl5GYkQCIFSSCc9Gi5BzPh7CXaZZxL/YnxsdjBL68kE4DfCUBfnYSAdn0l6+eO
RQM3lNVkj/kovhf4nFsie/XtqHvibGvGt5d4AE1yo1/Dj7pB7ggpEHtljdnR8ucdN2bFmcYj4Rm5
2i3XNSCoxLay5fdEm3TWmM9Jm9ibptQf1sRujgUJPTddzWYbkB9iBoLsHGyJXc3eY+QT1FZi94fS
chgvEq4PTfjiZi0KjNJzelSeLnemZvyqDPmUljk669w4piSH7ktVVPs6qGCSGFhP6ZA6O4tR7UZ3
yy5jr1ZY+4IpXlxyYhbL/LbqqXosdXM+NBrKUSeT8mL57YR0krzJNBtxQBlUbaWrueyEGN/zmWvk
RqVqk2dPHOnqf7F3HkuSI1mW/ZWW3qMEUBAFFrMxTtyc8w3EIzwCnKgCCvb1c6yqpLoyu6dbajGL
EZncRkaYuxkM0Pfuvecey2rEFlOaeS8qhJ0haJLPdmqdjWlqLnG7y9ecu479SDEdzYg52aFh79bV
sRyXj8o4N4C0dos7TUQcyckX5q4xXICZHxc7p8w/5sZ74P0+Tq639evr5VnwmJuVvWXruu+K7Gnq
4s1EB/ZWmTq+z1L+p8FUZ62oL7K69hGl7dGdiHiK9Nj64aYSgkyigkRVDfyEqu3PFDaD2k7vTeS8
Wglf9XY6FoWb8qfmuyinYhNbzo+uso8+34aBS2M/mvzS2uHREuETZKcStlR1mrrk5LvQfMiELFEh
7uEROiv0NQMRZQw39CzQ5wq2JipV8Jrq+p1qL46/+EzUZN37RUqmpHvyVDqvu8U5jiiRMG2yLTpv
+24v+S0tkiuLdkkeUZR0tS82SCoGF5JlgXvrOm0Hp30WRxMRo0ri5tD0GUbhMCP3UWFdzWa0LkF4
lbrtHwtlgydLh8UJw6tZ93387l9PFr7FCSoozSYwDREak3Tbcp4+Kny522mJL4KxxR9sIjkq5t7A
96iMJApuE90lCAi7UMlTEqbkCTsnY8Jza/nGQsxfMRZC4oj78S6U9lnBnyMuPuTbKugzUutu++7p
ub+fJEZxK8+yS2QtLZsEmbNNDWAswfpiz5Id084i3ifKgW8uxdqvnsrHH57iwN5N7F24yOvyKwt8
pnXO1V7MPb91Z2trd5p8O0c5qy2+g2Dw1lWWUOaoKQCaoiWhALpD063sDj2P1VM6eHLr8smA8M23
gJN4enM08WJnI6nb9g2bZLD/m2yQT1loF4dBTsPW68xPryjYPCBSsbNYGZMd+QSxzNN4W82mxsSG
+Wg2vn8SGHucKhiQNCz4YnDv4/qkZNFj3LLvA7MUWyHbEtiXei1Tcz8O4gUplBxUi/5vBWRvlZPo
Y73oeaP88KdOlMNgbpv9kAfNs2muPmUvf+yX4BjGkbszyqVLfnLmFdiIB/rq2m2lh+akh2UTlHOJ
Hu98DD32s1GRn/JZznfExx98PlEpsUfTocXBNZH7GWF0FbKgdVOopVUZA40K49uiSh5lzdKiw/2e
9qDrePochrTEbJTEu8b4n13ofJphKtcaTXGLydlZ6bx/TRrzM7JpsYojpBQsWAMQUa5j9z41I6S7
kvxXWdo/gyKrDlYQkqSU6HOySCVHB7EdwkUR/S3PmuKcxIzBsZH5h9UgRhQkcmXf32prdPdeSrJs
6dRjGDuM3P5jD0XtLpkkpN14Cm5045lN3LPeHiqeytw+3VNYU2k5UriCBp2e+iHzdoujmkNUcGxH
PmeZHjOEyoCAnE7CVyfKu9u6LfxL2mfnru4M8MzkQJ/aHRC0luMED5qYAUPnxbZqui3KZbYaClez
AULBLUR+N9qSmtXOFqtcAhYcs4xgOIL9NqX0bl2EgnxvM2fHMmRpbQcC9gFjAbHn4cYvvadhGYLt
5I8PysUxYkv7tetwfPlJCyYtadJjNogvd2KN0VSU05OOm0VdXuyEuPXiRrAbPAYViWXq1FSWrNni
MthlrIVz9p7u6+C2U1ndN0nruL8oVYmhNCjU+1WwlA1cisbI4jxNCyiMlniHe0GTdTDd+UOhybzR
dHWjWp1aLasKhRIFtdnKd34XjXrDHp1oMJ5C9vT0H7ylrOqmh45VUrvKWEaOe/5w9C8982ezxUA7
p/c832N9p61m/r0AfgFeVtot+/oKMs2hqnxd7LK4HhJBXBEMIQ2cit7K3NfXIIbfcyAMZpl+qHZM
3Nve92T7KBDFOE1z3RfZzeRnjXkcdBxxcE2EyjcGjxKwhiSNzC5C7r76xCIDwsNVg71vAlujNRc0
cFnnhN3rfDtOMb9cHDestHwXSMwmD3OmBXKdg5NNK92Pk/deq3GxTxDbFpdjzeQ5/ZZzTxDeZZgn
uI7HygpWOIznzejk2bByqjC6x00R3nrS+TEp/x4Aab3yhiFYl0GNDbvoxkdI2nhB8lYdujiOcy4n
k3xW+djeW4VFFEfX/SIIpPEsXds11DeMHo/LIP1n+hreEy13QZ6yAHfitahg5iSFS5q7+gYbSDBW
M6Xks/YeEM6bU2KFbbjmbmgWIgUmDH8PWovr6w/BOaq7l7HtA24w6c5K4p+pZ5x9Vcp9RMCjJWmO
WA9dMnM2cU7SusobXM5BuiDCZGwdobcgXpTH7lpXUef9cnQqqog1yYlyJfvpVS3+odVTc457kB81
x97zeMXQVNEkzpVPu6C8vkm1jx+7wOOtLZfQ4wT2enTbH7UV3sKQqpiR1GlsOeMxHU3c4BZF9lr4
6dZKuI8GogXHkPINGXvpvMSd5H48iYCMnU2ctK1nrAx5fLQG7b3NtB+jgS5vbV98Nxw6KDnR+7xb
4oNsFV07fQQ6YvHzt7qNvgUVmUfTmNtG6mIPsuo5nbLpPLD5elAqLLc+RvtdntmfdV+na3D/PGVc
i320XtpklzOgYZsEL/8lQwZaPPE7b0InxxR6xJI7bWu8awxVCiFCzSdEOxeiEA/BaMZ87DnjvC+T
MuCUIN9NmjMp1930kDhxgG26IqYpopz1cUwoBfbzBSPro1eH7TMEOWAFZgke8PRFh1ElkhRTqX7G
Y0nIE6TjNlL+hDbTOQfMo+1Z645ZghZLxjOB8ZbffsVzFpSNVvWRbzt71zA8Z5hpvhXCAcv9hdLX
cVzuQtJB67qI/FXsW0Aa4+KjCJg/Owzoq0bkT0U+TGvcyuEWGfZpmarqEhUxsm6kOA1K00O9qfLp
lcQW0B+NR+qE4G1mnBa89yvWojOh9DBavrCHiR9lVPrNQx8xHAq2+mSUS3gj9+Hc5N2ut1P75OdV
+2MZIvaB+LuVf+OVtO+trfKKk3QyFMamfcHZRlMFG9C15SJwmgWK8/WWteq7uLh4YVsjh9U3JXbB
tbLZubRR20GA5nDjdNZy4MyRv+b0v+F5SseT6OLpxA2Mg3UYl8Vat1wH2zrWI0l943Dq6uqxtU+O
sPn2ub2Zwm+GvpqOQUMAl8BdfaOjAp6qGk9T0niPlh90p9CAZJ1SK7iPqgmEFR20EIzS+jFt659Q
TwGa1B2o24qQX1OQ/Zdhe9QktZ6QRfasjn/5Og83ls5vgsHnVrh43kNrHAMLwKEmeQmSPMYDlC49
AITk0y2bF5RHs5mzhXC8bR3zmBFZZNnjVCDk4Ui2NjyHD6FyrV+1wmPQRJIMVLPPBR3Yk1rGI3eI
ne9j6gn5kmwrK8fG3JW0HDh+7PBkDopLIu2nIULbs0tnj/LVrujoOrdeL47Ctbp1bEdiTfnpbgkL
3nvM5tk9rRsDx/kaPRI7O9iWKqGBeM5eRNvL2ySoJJQZ3RF/zrW9lqHoj04KgKVLhX5Z8uKVShwe
3kZ9MwD1j1jwcDk041PKbZd8QjNNvwLyyCyIsp1Bb0Gpf0zgta5jHUnO3+MzR1AikTb3CQUxd1eY
9m2hZJH1bDme4s7mo3F6NPExqK/TxahH2tVINUR9fpP4vr9CQJcvbhF4l3KEZIORIdtPkdjm+IDm
qFq211U+r81+K8zxTdcmaLYV/tr+RgIh93bkWX4YOwy27InCo5gym+6emYqZmCuMrp7medQh1jQX
B3+Xg6dxcQeMq6AndeAshUPosf8sfAX3v3CKfZl387akEB7EmO5u3QkgwGDX3zXX46Y1WXFWGtsq
9crJryDNcAqpLX1XOzb6N7Pgmxapp5H+sF2DaHGo1ED4Tm7whaeHysXQ4faLw2G8zoik2xmXOoQJ
G2YaB+ZmpxAaOpw/SO+nyDgHgyQn5r7cVHS0DRpHRJc7T1HS38qqvakEvtelaIZdWyUYbD0N0qD0
8JInS9Te5Lm2sO9AWvFxKm10rVBTk9HZBGnckFIP40Onqb40LN74fTF+ZdH8Wjk9WGCZss7nXSqI
I2LrJSpppvzR6qxXqy9m9C2SfZE/kTgc54VHvX/fEJg/l7WPpoVinsVVd7aKsd5hBj0g1U3gJTiS
Nw2LSrewB8wP4UeZXi36k/XTdeanpTUCDlqSbgs93Iw0H+6gPRCWnBfGQ3j+v67L5+O4yF8kWLxw
7QRDvy04KsAyXpZjzZt1iWtTM4H834qO3w2/iBnrX/92+Wq7f9uxlQGz2NT/D0TJxZVJ/n92xD+Z
76/6n3Pif/3//54cDP9Cd0XgSw9x+9oY8x/JQecvNDNGONEpHYKyeG00/LsdHsc77NZIkDgkvC5J
f/8jOhiRHOQ//h0sdH9Dhf4LYE8oon9IDkr3r7HzwL/ykD0QkH/uO/RCVfQLxltshCZ4TtWgrhtB
lee2viGIm8hfiT3qPN309YK79dPrR9i/2ySuK4AQyOKgYpYm3gU24la7UVUVOum69KJ0ifadt5TZ
Om5dtxfXm8Vcix0Mf8zweernHtMx7awd7itlFgAqBOaurctBl19Mg7Sx4RnpYm6eyBO1G2Nl2NhX
tOY1smBsrJx0n0xdGPxI4jSfi13YzHXX78YQz7dEY9Uuva9dKa8ZWTdFhGEPeyW7L8RPsqiNMNSE
VHaOmAq5MSY748/0J66XZBrBxFhFLrEXWCSct308C4JtCbb7DFcYn+XJUq3vf+dYpe1L42vf7OZ5
zrj1xalXZzspugolcAk17AnuDkAgMe0J8sR1y0PJM1VDTbB2elJtV69rErb9RTXJghfZH2dyR5R3
Fxiem6ZqNu6CTxXik5tI9YNzWgrih2pSrD88JCihJBNG5ECxbTUaGwGrrFWlwhZTqjeF4bHvkHh/
s5GrKbDOBA2WZ7urTLG1RvTt1YxfgtWh6zQ4LHq2E6G2hmMa10u/mhJ7oqSwLNW9UQOeY6jC5omP
yzcv2AZ796ys685klVM4f5mq0GQbVSyI7UJN8TlnCRXw8Kutflcky8iPJ0pGk+twvAD/wwr07feS
kbUNwX0jUtuihdVIf8WqH+a+BuvYJczNDv8j+wRmeRU3LhPKzJ58VRduYk5+MNpvoT3Y4crLBX8z
8522d3eUqckHKiJYZOgxIrZYN0ExwTXpQ97MGptuvYowpiPpqJnfUg71Er05ZeUxj3e9bLdh4YLU
KTHncIuuEyc1DdYGlYYQ0+KEmtPGKweOwK0w4V3QFpmfr0WIZWNTVE32PcZuOu5lQO+wfRwcf3K/
6KhS7juaddJARAM9n+TraPEGceQEwNS4H4oxHjdTjzYCP3Rh2p2S1qUaIsncuzqa2H9qmmSTtQN5
HI4mAAd8g2j1EYeumGbquaIpYF+Els+4TN3zvXHwd3loXLCo8hCmShJx4rw67WweDjO2+5WTDMk9
39jplauWt3G0uzph6Zj7ZC+xiN7ptOCfpuOWP8wHzjfbZpi7CCXXbT9w9BBHaYii7uGYVN4myeng
gqNgP8l48T4XNKHXVumKBS+p9ptSJ41zIJqfjDcmTTESdK1APu18O6LGmJIyynK9nIutbDFaEo3h
UY5xpcccrOwwyk4SiyngtDHAOOqXDeqFPQ2PYRXpd4wQnOLbOR2ddStnfuo6LrhUZBoMH8rjFrOS
NuPCobW9GUDXYpEF4WwVfhK+6KHJdeDiURegfPRQAJKU6DO7Pvgx5RRy+OhBe5sdt6rZ3eSN8Psn
RGJRkhvqmQWKkShRtE7a2oevRQ2zl9Pn0TCsd6wN8JS+9UVkpY/kN/sJ5qkaY2hWs5iXyaz05Cnv
krh8TR0Q5pq1jBsLxTFoIZm4p2EovVqQh8JGQ2WV4mgoryEeTE5ULuVxlaOCs5VYXo9F1lfdhQB4
aJ353qbyNNK7ECq4GWqi+EA20OMsYetwIQ0BIYFfL0AZ/SlcOx0+p+iaX/DH2LRMXY1jvdFxnIuZ
kHGLC5nkAfZbGGspqxbnRySCcCmOdc5upYIl5mJHPURjHiQv6AiYnZIKflCfSO9ltAccJ0mHN3Av
AlYL+7Y0kx1U70Ih8ICEtmp3xgDlLHNqPzFspJxtzoLSqWVNe0H/lndFYd1wMGzNY01NCDzptMOi
HPCFSZ+qdHA1D6SyrjYkPQGeulhqMj793kS7kih0uhU9VGMO6gDI1mEU9w/EBH0oDYZwJpEKK0cb
mts4hrwwVrfxoES4qb2r3RCnot5VsSG1LMi030JGCRreuIUwVMIUhHWF6iRMi7KDZIlDnKUcR+fc
oj4B0XdlKWLCa4oaitvBdRYepp3fc0Ijpybu+u7qvFEWwsy+m9P4PmZjF6/yqBnnY0OMF/N70Ktf
HTVQ7yhvONmjKJcXUmDtJbluj7k00CmqpLqOA5kd5YeliBeoWGO32Mcs6Hh6Njx3xSZ2uKnspNUE
CbvrMsDUlbfDnOIg74cvq6na7wR9jDyyFirY5aZGzItz2nBYM3ngoYZgHLlkEmzlKxF79mlkmtab
rOEBwAq06jCodK6FaqpIh4cwAaoA1O8Y+oRdZeKcM/fqwomkP37SAR5Mq0lHKQNO3dKKweO75646
lAkZ57C92oKJuZ88mXgTB95Fgf7jcgW1FXXjLslb/3NC9mfWKgu2Mphjnb5dT42ll4Pdlf3yGKgu
DdaR67r7wWRBc+KCmsxGRcSP1lqPwVNo47bYkmtIv4O4RIy1QM9AOo9rUJlahM3ObdtB36JV6VPi
xo+lWhr+yWosb6MIGzfxAfzntBC0zyP5rhBcWRAr9v0iq92LwpyQrYEHOPPLTIQMcDpBJesQd0Lc
eYE3EU5QuZPflSlrx2Pez9z5OXykD9xJ3A9WskV28Dw/++XzKfOGVrkr3geC9ealJjpu9laQN/Va
W2SSTuHgscas5aDUATvNwj0I31/HcUD5oMGCSrXWw+S3bv+d0W8iRgBeUrBZtKPlEutM/EjVlDwp
1yM7a6WO/ZMqi7haZ6UxPG0aRYHFzHv9KFglF/jqtLw++FL9HIyO/a09Y9BF0wRdGavi8pPUtcNt
1q8q4vddKdDOZC2/iokJe8U5zoFsFYJXs6k/4ROGkDLAmMBvg4Zii6Nf8Uasgvrqc8WDNFzSxLkC
DXGVvbD8xAsqkUfltXmNcyLaE84Ddlhzsq2HLuN23Jf88LmzqB8VxS9AB+20/4qcpj8F2k3frKFu
Hp0UV/5WzgXKTNk2wyVrfIkreJAhH6K/DN0263uF4MgT9sg+vvo9sLS46TCy/CZVY7/Tyeu1+3lw
/X2AX4qdTraMiuYRwpjH3hrsXyPRcAfYmIpf7Wzsfqd+BNha6RyYkrLbatpGlK6Jj4nW+AF9PShk
jeeMqW0vMu3YG6tkVnD/h2akP8JDriOAdBlRKBfwBBtA8SdseDQoP7P4pVapEuxOorAFOtbQ7/yQ
oWdhLVYD3Kh/GpD+C8D6f3pNym6ZOgROIC+yPe9PnHXBxITbM5OI70V19tw23C8gI7ZzPMGbK3mz
//vXY8r6Q6+X4PUk/C1XXF8w+PPr+daU81CgfaWZk4eA5y0eagFAKV+ibWLRv9pPzrARpo62+BuH
f7EPkldnDRsQnQ9xrzvOn0DOS6HmPsU6vpqQFrakOPr1JK5tEf+YOf+Lt5S2hz/9ilRp0vcGaCwI
qWu4pp7/KdVM4qJOJ27mK4sGKlLIAbuZzrWvfOOhAXzzr78W9e8BYBPgD9eP959eK6bEJCG8EKwM
h64NybLqjToV+8bonJjVf/9af4LbcH1Sw+zxQiEzL3Zq+/qL/9OLWQ6qCnAGBEzF3QephwKpsbKX
g1aqX1+dTNuWU/dGTbk6ycoNaaJm95O6yMdDm3BfGEPvbZpU/9WW9YzXvtX/U0P5NTL+H8j9v/+M
klVkQPOf5Bv1x59xSHCiYA8MMLOQoTVDVh4otoh3f30r/j9y4N8d3tB/XID/ic3315aOPyIHrn/h
bxsWR/7FCWzpUDYoQ85R7Er+hmaCzMQ3jrWLz1MioquXm8LfFyxe9BcQA8CXbJuLlyUD11TXmD79
X//uBX/B9GTjHHQIfCCuuv8KmknghfvjpQHYDyxUEDiM4jRjwGj646WRAxxKQ5b/a8zU8akz1Toq
5+00yvc4Qf8mCnGKNJkcd89Edsgmr9960ydwFpaaokQIpOrzOfJnM8OETIsXnG5bi/PlnJBQTZ/n
a84yTf197DYcRzBoOej8a5YxmEfFtMuy52522aUzFgzOsNV4XIKGBKMD+C4EMGs4nwkSSZ3f3LjR
D61hqosQKxneeW/S+FZZejQknchBYKpsT1PAmlIIcWF6X0PaeFARgo73ZoHb6KMZ+5s8qopoT2kv
dymreOQ/jvuMMusR68Asra2lL6NFgexibaoCumA5f0zOSNQL2Uw57Y6gxlqjW3td/D7M1kEUMHKn
3GzxF7GH+Wxqho/x5LSfPVz3NgvfA7jXHEWM+8HesQX9Vk9vg2UIFRbiKpJVtDXhH+rQSLSxXxRU
n7obX0zh/VxSkPBFVLw0ywkFj4hfEe3Cor8pO3vl5qgUTPTnqLAObAgw+kQ74xUYuoRe1lGeHrwR
n1J8GskNv0qc1F2IoHYnleb39MO1ISc6NdMdSzQXXkll9gXe3CWHcKDyYKdZhFuu3NPSdGNPn+mQ
Rw/UzNqvFDKpZ8fKzMWOm1fMpatrtXWFam6PwFZ71HdbfQgSAn1B2Fw/5Sla53UlTdKvXFFUcG0a
JN3ALHcgmLmV0Y8ltEj1Lue+nIYNdq9tt4wnn5LtTTG7x2sz1BCq7FUboL9jVZHjs/UWofuxXkBv
ebn6gbNq/BW2b7HhED7NXxqwBHmXe5OX95qDZEnEn4wWPWbEKeNN5E7Jpqrw6Fet1PBdquUGbhZx
Je9ZelH3Opn6haNktwKyVR2yZgYLjszFRA/fyTTOnqPj9eC+kfWw9usXX4bb0blkSwm3uj0HMeTU
q1h3hfaleXQbO7hVEHo6kx2q3H9oo/i1aXhLsY0XzBAg/LsCR0sU7MemOsYViZnk0gZH8FyEM2xw
HxR1WLjoMH9pUb2EoMN9+Y35j4PvuYAD2F13cW67Cf2zL9j7DcNZMAdGUfcs8DRm5c8lwTaQozOh
ujcX+gPNVgxECIfPpfoRdQ+4f05uinep2RsciqmDHak4X9MKV6slugwGciI6TixX9qSmtQcMgzRT
DII8R01da/LUSwLBF+WrVtkLMKx7YuBvcxLe2gsGFzjDTrB2yRfAxIT2L08lPSg3EVZIFbXPKkge
WnnEQnKUMcHbyncOVcc4k9AEiayrkNcGcjCtOx2QNX5PGXl+4kD3TqEvrjK/cbR8Vtqk22XO39la
yn2a2ltgS7cRHucVq1q1qXN//smZOwFP0IYPI2mzPeNUv7G5b2xpl3tOMTqcFtYqULgxYqAceyuc
Jny19JUcTIkZmrK+F53/pN3mER/kpYhQ3+EK/S6W2X8t5Tg6K+SZlRLx83XtScndig+szbrHIsFr
2qVQSzpMTBYClg2RY1lp2X0uA1zPvgKd6IsfTqkPZdyf9Ww9xX0ItD//8KpxnSd1vyVTBVKrRGHC
tuFsE4M71rPwmCmy4uqLKZJIL2vJZhB3tfsbvXfD5mN6N965WZY1AfjhLXR7ACdBkrIRJBDr+g66
N76vaD4QCdraMZ4tV5L6WVWL/TmaQt44OgW1UnOWyLq+30qcr/uu5jIlAcQ0R5qBzMKVSEnlTuJh
Yo17iHKueie9/5w62t7nkdXxnFhs6rQYGaKm9PAmqnmLVrFVCi1cveeyRAWM33WFnzAKH1X2TaKD
73Mp14ViMcWXLCcBfYzbCWj1xpJ3mX3y+mRlon3v/sQM1yd8NeAKuvTDls2xSobPIK/STYyAxr7l
VNCiU3AZtg2XrPuF5QEkYb11M2BzocfCjLglfoBmukqcsM+vOGvJZt+e3zvuZzTnfeCf3EhVkbmv
PIJ9C9yaUrI+xaj8SPPmNh/1jQiXm7bKH1M/eALTi8EBMGF5bqvwVrbZZzdN5LXNdMP0uRnIvQz6
KRM3nU9UOkbwPQl72SzhQ+glH1WWbUiewHgPN6a78bwnxf1VAXxO7eTTy7uNYF2O0rcH1rAGRHsX
wWQPMaJoTLHvca8+sa9uyAgNAEF98C7muvl05JYdNPgbvSms5FYN/V421sWfyo9MTsdAvVSlfseV
B1b9ilFx6FDDzzRva1tqYGUN3Peg3KUR2nXAXnLtsf5PB00f8HUC7sbhxhqLB1Ab7dFbWg7GSUJN
KTHXSlJgxR46jVhApLelB1xl4FOeo29v1rtEiU0Yaha7PiyAtCz3HF/PnKWPOG9xY3PMcAld+M0w
HDEPsBcu83nTesUHDLDneKx/eGV7noikcyqPN1Uu1hVXsLUEu6ZvhidTO7u0CL/FVAQbkXjffRAR
CEEjHRPgEHzzV0mHo2KpdLCbEazPseVBB6QYHH5JuLYlO4jyYwosbnggPGAqoouO5buTzNNxYrOz
ZkU3sX9ZENv5ZezhmVEA+i2tHr2V7bC6bHOp3323erac+MFRi7NTfbsDzRJBdMRB3aJT7T1uVWm/
EC2JcLVGsNnccxtMu3jaG5c2JpaheWBee0yf0Oh481tFnDC7UgkYJbOl2Rahc26a+s7kR/S2fGWP
wt4rybuj2FDWxYmVzIG9yYpYLqHIPaeDxrjZkYeYWBcd/VF4qRYmqmDK7hqNAmBbv9ho4iWReHyy
B6dST4QOHmbL3IlgeiTpTAlKXH24sF1KEzwVqv+w7d8VtkYDAGl2T2N3dpKvxDfr1K2PI5DLyRoP
UsEe6WG58bWxOdbVl7S9DOFnLE728OrwjY5pv8jg7rcnf36DJbBVNgW9LHYX7rKgHuZ02FjRqwtk
Mxy/ugpcvZ5o1LnN+IvDlKz5OPnsPPpI/eccQmfd0BjlpDwuqs/8esDr7Vq8aQqgROyj9xNFGUOk
7Gk+iDGkjTeQZ2eBCErSxrbMUz5iY8jww9NJ/dsmXJsavPLeeJMxchGGGG5zgBieBLY/b+qgsm8Z
+TaZ8X5qo9bRRJFWmDcHp7d2CGncddtDW+LeIpixIQkDLLh5CArB8W36wb7zMC6YsfRgrdnvnwhp
H7FWgZJfpp0fNC8hNZ59eEVKXOCG0UEqHkz2W4JFWZyCu619wkZycpf6PnIEpUMgRTAJFtznzatK
aOEJ+m2cxQ7G+Hhb+yPwpujVG/Qx4+h0C4mCEosuhmoHaxPSjmVz7cfFNhmqCTPXTPXM1AATw7YV
NiE2JoNgeCI/bKoJp2jp/g7i5aUZ+RUcwIHskORjlLsx6ImRkSIX940iIDRUD36rfwQh5t0Is8o6
wHyX5dZjWUef00wDuWPdCe3cgeE+js2332AVZWfN6ZJAREn2TvC07fz8ySwvNSmkiCIE0XRHt4g2
6SJcNnPhxS67k6P1a4+dGBfFm5+OrxR+X8rMOfOcWI8UlOYNznKXrlqRXkTTHIQlJvRTc546Jdat
B35y0HjoA1lhsPB2acoeWxTY3qDOnBVrldZj0X/1rCq2VVVjnnHpHSjA3TDoPM+85daIyay6Upbx
aQ01a/2uLyluGfqXsJo46xqbhoh82edeC8k/IZuc919dxhQwGvsnR1f9EdTc/4sJlD/Odrwv2VDv
M+JOWFUcD/U6EcEmcArcspYUVE5b6izhHR4SghgKu+0htF3/WObJJuvjJ6SD5B64aL3GvdG+6AXk
JcaiapR3FmnhO/gIWO2dFvLTgKIR+e1qWWzc7y3JPUzvTkA2oY520pQc/RVvRlpbbxPB2HuL5JMe
XIF6if9mjt3jot32II3/PFnWbRiqiAs+5IpsmyncYa+mcpO+E6phl0MTMvY1g2GTnlpv9IFBuK5l
/Ani7z63LURcnxO7I4q7OZe0yYwFfCe42au2aLgdYL5vG6r1ovhRatfG19LepgiVa0La95qa3/VQ
f2e5vy01kbnAa92tyuiSyqv6ywny/D4jU/yNC787gGkp0RwII2Yc3ZTrLusRNgnCvdXdkC8FQUlN
OEipjA4SE90EUNVW+JFXAC6tkz94z8KCjesGsIMw1BxQy/GQiq9B0LBDEzksAU9Y2PTGaLV0VHPI
QbtHzj/71tHc/DDSzzaEuy5aQj6kXVtrB5v0HcSiYyb1Q2dHdxXHPyBg5H6Hb4mAP3os3AMNqFI5
v0k539RLcCcNsdXrl0UYcoAVp8feIQwBWDRYL2Od3k34K/YNeuEW4pRYkVpmiedX3W7WLqQ70tvM
RN1nq8X7qJ1HtxWHuZM3jVLb3q3vJq5sTFm/lRd+EIs4jJH8XWdUKtbFL42InXXxVyijg6h+htEr
RqdXl8SKLr1nf6rSE2zjn5YMvnzdfZIT/oDu+piBgoXQI+6qFGleL8HX/6buTJbcRrKs/SplvUca
4A7AgTbrXnAmI0gGqVAM2sBCMWCeZzz9/yGzqkuKvzqztehFm1WVZaWkoEg63K/fe853ClRivQ72
1Q0omYdmXzOtx5+4CMO3lEv8TWDnDHg8A0NRJ+0F2D9YBC1jpxkXWFNIIF54rHTL3+QamQMl/kc8
aid8qpgVZlMDuY4y+VYYqG59HZsIRLtzrkp7bSVJgrEFX2FSBycVZfhdRgeZaL6Z/R+TjkieIwTD
4X09XwnD9nswgB9V2VSw0dgDkNVoK4bmkPv+Y5IFXzBznjyrPhWCeHc898SWvAHrYWIIBiOoDG9R
kldfNhzXxEdzQe7XI1wHPYm23MqvSdFtmthkNqXGFzgKB1V5yNkc/wP8mCDM/CYpu7tM797cBvse
3yyXfuC7yZQ9OZPa6HZAnoHCFFVmsEucpypK+YB0UpgR08IThLytoGtFxrcwavBHeTsL9LacDxJh
l0jnowTD0nxZheQhpgOam21FwpMzGAdQEjew0lBLtl8tZpqLIFVbb1CbzsHNC24KR8JCQbWyKCUX
LjtVbI+7CuUmMzZJF0U8TpEPEdKkvWHUXLMRgfTNnuE8pZR6McN8lzo1YzROwqbY/243HjyNtKwW
nN7oMuSlRB07z7jDEXgiK33ZSKBjObf4XAP6WFqRA0eSsnXn1wX+i5zxo18O+y4ZQbXC920eqYja
W7cUryZnXaNNK6On9HMCvGkwAqxTN/YD2uNiMPaBHMNTr+biREPr0y8m9N8XfB+Jv+oRiFyiGjgT
3YwvEnMM/yDHp6YQyMRjmlKuAbCzA4zRRvX3Ev+KO7wh30fF0dwHIWmpoXyHVUfwSw7Dy5fAWZYW
nqevvmf3MQ2plEZTyclLKN0Id50DuPI3KsJmEmm1fi094sIClKaRXn/JRr5BKL0M4nqNAZkczh1O
lw5pr9XxCUq7OCd889CVln1eHgMdk1Vq51t0K9nKAXy5Mpv5M58S8F245MN6HcDQ8SzgjQiLFm1v
WbcWzZxTN+X60uCKLKPxqUicfVWM5iYz63JlFb15sOv8WjFZvG1HsrtUiISZ9jZxEcNhkhzKMc4a
Mgej+L6simqVjqA/jT6IV/iwnGFFKwh3+/A6u2Bmyc1d1I4bNXcp4E5zE9khsF95XbcxUt3f6J4f
l+twYNk3nW+f2OTjR0fQ2AMZMu/Xz+3ItMnvqV8YURKtgWOlxYd9aq16+Ar1aHzREt3/iDOane2p
TLVdWPqvUjThFo0MURGxlS+ZQi46miIHpAqLWLMPXfJgGdyjSW31C+wSTmt9aRUI+GbYxXT0t53E
Q2B+yJDeR4zbLLXCy5BnGxnhCvd8LmQ4R49BWzxq6HhSrbr2PMSod4JrrROC63vWRxOQcEGNIu2e
fIvbILohonuV2+bStOqtUSX3jnyVDclMSbFGQoW/uRvJoJdH1fZvoi/nTLZ8j4r1JlRpshOTd43M
8lgKY6sPtKbGjn/boeRaJvPnEiThtUr1Y6rcYaP7HcC1UoaPifdcR8OtaK5uei0h6uVTtfegFZ1p
TNkYiBZxsi2iAX28Ko1vUz3WS2S/2ZqIjlVRJiezHo6h972QX8bWNJaddQor+TQW68p6ErTlaOkN
E7SjLjqFg4bwjGj5JsBpnWGjLsljVe30RM/jMFt3gIqQqSeNg8o5/Rhdglcvv3S4SRfEVTxretoi
4bIZr1Kg06VfOLFzBZe4iBobvIPVcG67a7sS2BWaVNFYKW8i677GnWCxlzUcsS29BJC9N0luHByb
Zk9IA6hGf+JjxtYo9kSK9Aax5R6A6W5EJC76Ds3+6DwOXlTB7ELtNHNLAg6bQkPMlTXPtXauaUqP
PiY5AbMrIXuWSBkEvUgTV6aa2I4mz/VXOlLBp8w0PjTlf8xPld0B1sjKrVbpT8ylWlbidC0AJQGX
ORBbU2V7+qCHWlmI3nVm3OEy6rad+xizdgZPv6AL/BYzAlt2nbcWRbJ3G7bjHpXRvFVozITdVT4R
d8AHHw3NsevMLZPjWeAGTusV6MC32g1Wk/dk05SYA7JH5z3ihqPR/Ixb0JATpNVR39qqPQBy2QTp
OiMpU3wJhneRviTO00ignhe8sWXfuFW3NhAe2/FzHX6lo6GnIQDAeK2bE3q4/lSTRFzXXBkM42Si
lI4J32PDqG9SHyA6pwqqY5x5OEj1rdO6C28c0aOU5ioDoVoSHGegZfCKyNlowaOCGs8llw/Q9A8i
+BYIuc+SFCPOHZ5pIk7tdlelwNbInCst+87KvjjyJYGYgzJp3eXiiiqPoYKp4RDoIK1WMaTT+Abw
2IA+Ua4NO0EVVK2yiQ51qbUXe+q/p6b/lhucgkNd3CWOWEWlf2E4fZjY8WDvYtJDB0lLKztUungs
0CrY5WPZnTKmIF7/YMhwU/gfA7MEJOSVeMz6c08qops+5COOHWpn057SO6C2yGTMjODka9wxihhq
e2sPzRrk/8EMu1sd3PKQ+6tOPoVTsw+L/j4R3xIiR6NOXbva3EYIFm2gjYZHAMazGTo7xKQRMxf1
tbWw/FI/35pxuIX3A7/17Lltfm+EAf0mbVdGamGglEtrd6WAcRAmKKSNGlbbSjFuIstHLN9DDxIc
+s6yye5KgBWT5nEIYse9z9pp4QiRHu1w7TffWgFG8OQ2ew0xr6rg3/TRstMPzHiM6pZ7lGncpMVx
0vnoaE4Gh9jZ1+G01/xDRnUcRGvIPg4Rm9lDMp0TO91Y+jeNIzy6LXL8LGpHkPkyGO7NLjr24TrR
Rw4Qj7VzcAu5CGN/hVlklbBk5muhqeW7cHrzUF6SoXNJkDGUw6Nj4t3FQdAl9ZH+ct7PbefpZFhc
IXsCNjP/DjnEOjHkFiNVYIYnOMMWkKYkj4dlZFIm0VkLHdR2ltir0joTNep6j2z/C09la728sbIb
KznaFJ8aLhNaRRsk0STnvg/Zg6wfCRwKBedfoa5lym818qMX0g4hUQiC5kab5qRQ7aEyonUTMujo
gL2Uplg703Ys5C7vIf0mpBBVhFSwbv1t6fbPMrpM9WrMIGwpGuZRcZtlsG4hj9v7RrKxhOxRYjOz
wcyByNPJ+YLcxgdUcOdSPjCoYPzhoE521Y0miJzzEW3jp0mPoKFRgbjqcRx7iXm93cVcvyif1nE+
7RFtLJgUrGrgIAFfYlLitopSXa0dCU9jZKBB8pVHVDqqHlO2zGsCDh/ITKg2UxCfNdez5LYwaNkm
7W09NeQRasW5CbwXpJzfJIbSqWkfLUTpj1GXZAcX2sfGN+LiOLrVczw8TfqEIaSuX2HUg2KYlrKN
6fW0yxAGsINIXXfIPD7HAGnmFrk7jttKEUNZ2UhCzx6wDWP8pifXsB6XJkCKtpxjO039PCrzdgTz
tIGOOIgZEMXUdm763seMIsqpttZpFK5TJIJ4S8ZyfOkJd3EfRuOhjE5SYNFn7gH8g6R6D+s8UjZx
m8ruzqhfe6ntw7zaC+fFbcJrRB9WhHceqm9HVWs1jVvfataUCn2c74NkP7brwHsS/U1mfaHPfapS
SQXeTEthYbWzdNpQddl8mRJwu1ojn13COBP32emK2wLCq4szeYHDf4HFmg0l3UfJdNRH+Zb50OBc
aFJ0Kl1iTReBp8JNqUgud4DLe2EBPczsbmGPX6Ma+03WW7vUquMzmrf42Z48cpNHcccT1qyxeTnr
Kdg69CRc7ZmbNg+VYg5Ut8/ov8m3nDYykRc/BV6m2+G7VyMJTPCfQV8/hEMGGtHflTVyTWCwO2LO
SMyMWM8lCqcFDdGVNiqsQJrLaDlmxltp33PNPWUTk1xNN0+gi50bCM+Evk7mi63znCOPvhr0hwa3
+mibcj9GZHsQv9Iw+KLnTzjNsKwapiLDcEE7qb80FqnT9dQ66MC4VE6Ef1uYBing8UsAlklpsvik
DO1JQDrWrSxJXMOWkHk+TD1IdRfN8q5Ty/2jtYKvrvAhVzr0OUgs0meQrL+LUkNeyEXFwB9QYJ/7
oGRtaX2PG1++ILkGvxf4I5fOwTyX7EoLB+nfLkcTw96lh94jV0OXJeRON5HhN1uHnJoDQhjDwvTs
xxtF831lptWuUMOjj6YParw5rM3qse+dnRZYL660NjjIGGWbhL7oE5cwsanB/8RiOttduWdGvPEd
KLIAhQuh36KPPSnAJgkk+UUuhuEQTaSgtW5wO8SVTtCQpm9dVtIdILcbI/c7HBaZT8R4jEdNR3VN
sFmUJI8CMl8EJx9IYF2buKx0ESlUlymoInYV/z7EEScWqg5oX8YBr7uKRlgwdrKu0SYeNAnOlTmO
vGlN3lPN3IEubRMTDeo5obXxvCLf1jqp1FJk19xgROqOBNYVeLxhlUQYoOwQ7EJdHOM+BQKBUHo5
qRnXUnC76Qqi99KcZsWE9PsLNCO5pqdv3PWYOAlgG+E0ySlhWt0O6YRqQoTjBYMMU/I5wWJTCG7H
OpFci1QaBO4Vr63TGvEp85BMLRM/l899qsqPbm7zkizVLwsYHitCgaqPKSTN3YWa/84z2HGcyJZ0
9gpqRVzRX0kjxsGFVh5T/hxahrHjYjVp/AjmMbgaGVEMa4aZb10B0zEJEnFX2eqhc2mSmYW3ixBv
oOzN5DNDd0bTedGeWzFpa6Ce7B4ZPje90JONNYXukx8HlLpJgxTXEe9BVprNLrN767ase/mCWD+/
8VE8vFPHAn0aS4p7HX9v0Gs75NMpJoqppNdmBy3Vx4zY0c3s1tZoO+Xeju+iYW8crENWVu9NZxRn
C+ob0ts84dQdSP7mgKLbg2qN6q7X9wFuC/b4vj0B4reeuswFhWzUtfuhhwM56KZOPrZIqg2Nj96a
IyzGVcCdZguQmM6vF5Q1ki8mWtyEwWK8V6aKv8DgK64dAT2MUKZ8FfYEzmBh2ujplLy7+NSrFRgp
Umt1oE6cyWEWXeoW7Zg2UcAZjJD4kl3udx1QTsoLRN5lL56NrBXnUvfEc8PVZg81Ij2Kfiq3orLE
KeUKQZ1D8M8y54ARKxmRUwMSFoxDAFebGaWHZJ9/meNHdGkQ9oGzLUpYNaaTocB3K0YqXlzY20w/
xs6oMUscTOetsLp0zUxbr1Y2+pazDsj1O3mLxhb+lILLUVlHT1n6RqdKONCjnpEoSXauO214VACO
l6IS9l1tjDV8qA49nV1YNqZu6Z7wvKhVVzRoYSQXC0nASbIYyr7kUmF335Pet6ptqGncXLwE85es
Mv1Q1Q7np/CNq9H4SEgLqfK15zLQ5Q42rvJQy+nNxQ2jPtnUR0QhoKpztJh3LS3gNVfN7i62B95f
42jMpQ3V4y1pgqNlMA/2ZRzSoAq5zcWi2WL6IcBYKzD9eOjbN2UaDjszxcLRxY2PvyfG8b/iFNOu
At3zSintTfdSfD7R6L2lMITxpzJ2wpBhrHFyEDXkEUx0IhLMuoUO3K6aSDl8LSGe3tq6G7wScg9j
TNIVAfPR3LANLou5Mh7NBMYJLR7SiGu7SIyTHcettoggw3FLKAwspVq71jQM8TyzAq5hj1Kji6xu
hVqVMIKccM8xci6qAFQHYyK60auIoO0e0ZCP0QzIZdVcvWQILwW3jFKo9ARKQyH76L2PECFjv4Dd
4RyLPLwbZucPnGMyT0n9apVklOtN9IkLIZZhV/hPfazMQ9Rbj32elWe4uMOdEM3Edi3kmrcFNU96
HmDWtrkpY894mrfCjeVykxKAEWb/Bl8Ca+LqA1QAYIfHrBtCVhEGhb1p5uO93UL8ITLPoCpERkNI
mnvRK9Fe6FUVGsP3MewJm+hceFl9VKlFpJkWnq8m/RowS/Cc3sRdlfY3Xjw2B6evS54IX4NQYzjv
sFaY05DZuskL5r48Q4xVSu48C3JFxreoD8YjLbnvEEz4RojscqeOWTJ0Xdqxw5SdEIpzicJEQohf
nJr7oIrBsQ9Ykyv4MqOLdqZ2nb1S5ELXjiqXuV4eSm7blyIz2yNjSxMK6zAeJSr1tdYkPGNRla3I
+LWvePLtI+kJ7XnsrGGX5mX84OQRPafCRaiPUGFoT5I5CWaKUPeod7r4DqJcuAnmfmwjguuYVvI8
8t22C4oTiWdRqF0SDA9h5CQXy3bbW9hG3mOujTo9t/jJoNWwTLXaWBEslO+qPCXg1uw3RlfBPqdq
/Opa7RNWU2dd9HN7NB+T9sHpJY74vPRxXpRQnObWdFMgqCUI2xpicSQUh9m/D/eN8odJEnjJrWMy
qpwYkZ6VZSDMSmkEMUu+GeJenurSxngTT9/o9dCiyfvhu+cBuzGTAfVFD3h3sIWxHkAXdoQjtUUy
P41iXQwY80pN95gXAwOhYaLCteoJtqBgaDg0KESyuC4IRen2Kf28ZNEYXGIm75vwY8Nkw8YYwI6D
Ad3P3fjFyPjqPIG0QJLnoi/icFZglAO4M9tHddKUqfeOl8+5Ram/L1HXwMzR0PJEM4sxh5mh9/qB
BRrvXNGr72nsIs5kLHlGxiF5oUptkykA7d8bQjvpAsBjlcc7D+szfRh/sPd63zEGGnBr0iBrvDOr
jdt5WJcJaicvvDZIGykxnS6HtSrCHWAidGezqi9JqnpXoq3DTkIIF1+BY6huVddzujGNwYHohrah
cYSO7aRgIdxVfTbswZpHSD5bXLSmqqNHgMUJqq8yhGJs+MMH/rXwbCaTvcztju50PCcLe707HNC/
MtMJ+Hm4cTA5GLeOU5R3Mckq3+tB8dHldsv1KNGgIDT59BEnSX5wJ32ElobVjPFFN89gB/8bGgzr
DGG82wjaUAfRzYDpnizIC8aYbA0PsrnpWxrlfdAYu2no6ufGn2YypkU1LZPi6rZleKSTBcKgB4ce
BMNzwv2BJxEUG30OZB73LQaBjySOYIJ4HkTOBKDCQoBG48Kn9GWro/2b8qFajyONCxfqC8KIABt+
Nc3m3bR3qvPgu7sBFOOy4EgibSAzDgIBP2KkITuWNdlGYTSO5yFH0FOF6uoxodwMSkbPgROXNppX
6Bet1sKUGux1pQXTt9Ibivu6cRFoRTg3EzU0DzhX0VCBXKho0zXqxnaYK0X9Rdo+TcMaOYI+Vqek
jOS2yUR7HnSPCXUYK/drZbfFLreTftvh6ltreVtfpDYfDEOXcAqplJ20mSbUbE6GgGkandOUIbvi
mdFuA2mY33GEhcdACuB+vl8yaM9o5jkMh4B5Tf0FLiHomY5IKyQ+djTTedgiYisyHtlMvrfMFfcM
hqGw0WBY970G1yAcoiMZNjwjHhZPAJlgwl9sd3Qvjn9MPIYfwY1r3XlpkB78yq3fysHkdPJucQRv
6WgvlN1QAlQeXiBjPs0njfRjupVmmzFyubE6dIckHOmGiagWWwgppaumci2uk9408NA70ifbQaPb
QIFivTKVMJ85ObwtakWc5n2urFe31LwHEs6CXUI7g/k5Q/oBUpWuUdhH9grLommukgSmm26WuFqd
YJsa1Q4m44NOE7BdOpPh3xGM4BC60pKzuCkq3FhJXk37ROEGD316MSFjTzEWzy2ILi0GkO20D1rO
r8iAVxP08q3x/dfl//d5yn8+MxNeh39/zQvi6v2g+c9j+FqRv/vR/Onv2r7np5f0vf78m2Yzwn/9
rPo/f/9l/z2fNfk//Z91Rs71eGnfq/H6XjOH+QeGYP6d/9Nf/Nv77z/lfize/+PfXvM2a+af5jMG
/BGnMNtL/ntzwKZ6z16Dv23b8CX7Kb95/mP/SCU0frOR/ujKNckfVNJEhP+HSUCzzN9oDtiOAgtA
TAmOgf9yCVi/KVxDEm6DCyvc0U1cHfUfLgHxG7dJx9BxCTg4O8mP/CWXgDUbZv7pH7Fw0igo+xgF
eBHMO/KTB6tsEFNw/act7XtdvG+1STTLEaoQ9vA6ZrwDgEBnkJGgF0QLUdIFrKBvAS6PcwbuHfbY
HEtuuGom2GhoOvQUTTF4dTRmpP5upISZQIuqSdcNTy29SlGa67oaecJDKAfcTVvffiHwmf2ywbp3
rmotDzcSRWTJDtFo7dITpJMAjp8mKKGkgO3zvqo/XKdOH7oixWMdeUVj7SblETnQcZqXZAm1nr6l
86cVW6xBU4ymCRTmF1omAC3rrh6WfPjVM0stADiD5/tSQo+/2HiW0l2KqfQt1sbyivw1fnaxqff0
Y4LyiUslMlhcd5F2Ujj5uXPObh9I5eN7KnJdrJDOqtcWT/BT004OHYIkZd5GSKm4BQOpSaBdhBov
89oyMQNgu1uasRY5C7fX0jdDeHb6QAKe7TzUCbhAOKKmHawdo5P3KHGoknxuFexUcBCoNsCxcq9D
tEcYwahR/zqWsMM7ziI/np0Fab8YU9nyLQY44EEut1zt4zpI0XRQM1XbNqtC6KKQgg+mcMo3oVv0
32jaRbRl1IjxookSAuFjrwK+UbgTsRltzw0RI1bdHqQuB1TXRTKlBzBNvY9EpS1Jz0ttjVkpkbZn
JgU1X6ew0xnSkdE6JEWteQsgq1W3LdcUby9SQsRGXXNeMtGbb3aQ1dxi6PE8mFi7H1F7RbwboCAl
kylzruhQwTB/T90WrULR1zXxHaSoH01Vmu8+sKf0HJe1ifwz1HA0oDYboq8Nailz1Qzw/RnQwQRf
iJbPFnlxCPg84CgCzqFMSYuqaO2rUgVllU6m4R63sG9AzldDBKXHLlJQHBwf9xVk+agDwo0cYMGl
y4IEZbXFExfT1FxgjR6+E//t0JadryorLxyrp7QcjNVAnB7ovtR2wESEubaR3ZSkF6wVnDItxmtt
bwIg+Kga4moOCbCg4IUNDJ2TNDypbtJaJ8OWVO3GWxE0ijYBj6HtbbI05SZb1R3ignQaMoQwTRK1
CyOhxwWBGpTqsqQaJOA88v1oO/l5+KRndvBe0kKNl5nNGYXIQ7fyRSUBTPNdyXw3WH52aabKZMiQ
lLAgx5j1vgqVOYERyU0CH4shcyTVS98FK61zzQ+NsIeCVdJoNpMRR9CCR+fwogyI9wiVZPWF4t1E
HyIrKi5TY9i1zFqXyTOhOw0J7mkBNFXzsbsvmLC1B6T5OTr1FOe4IQo9RH6SpdshQka4ghTaXSYQ
vU+4scErVUnj0ASpvYrK2mjuE+DJqNiEjO9934Wx0glyiEBmudeioYWlj1p1jOQkaZ7BsEVnDzmV
i7KL6rBKSQNdlhA4Wh7a0v7GDhk+uk09vHgIgZy945IavGSnxh1Oing1Lr3Yy849WY/B2u4Fz6ZP
A+tuTJDhYTpuSXdIxzjOFtxOTcGoi0BhligKCO7lcTssQzRvO58Lz7gIcFoMhwTrf4fmovVY9Z1D
alSFPfjvVsL/DZPf/1mgkoFJ778/0Rcv1feXt7z+sQaY/8Q/DnMYSEj+BM466neFIuWfhzk5wgBK
hCsNy+AcnU/sv1v+DPkbhzs2Z4WPhtRfF5/e3w9zfkm3DK7oWPSk5TiO+qXDfD6rfzjLcTXj87XY
ZpDF40t0Zy/yD37VLHLrjA0SPaNl3OqE/gILhYfLfNXy2jUYObNaa55A8sa0mwFAXTOFWwamRemb
2qI6BM1Yf3AZY/Iu4qR/77SpW07AbX2CEVVpLBpp9G9YHyw2mcL+miPROVZ2gsvu1wvO/1k1+X+X
7YXL88/W4s3L9BIjzfoZ8PX7H/pjOTrqNxabLRyWENXiD6sRJ6npShabyc2OCm+GiP19MVrWbyZr
mD9kYoM3hfvPytLUf7Ns8jQ44ugZmWSm/cpi5Of8sBapKQnOtgxTp7x1JZCS+dd/XIuBSZQU6WgA
9ypaCGD64nejsCglWKDiprFS62SG2Ln+wrT9yYz+x+vOf3llg7VR+lzv/vC6YUAqVI/wYlPbREDq
heltKlwpKPsT+/DD93H3x4P1t6yFR0wUVv0f//Zz6fzHW8Tli4bHcUxHNz753hG0kFTRoA/oih6f
m2wfgDo1GzHRaMqEdvfnr8a28/99oNh5cRU7gBN42Z/fWF8yPY8a0Jqa6pxNrAwEGwTnMc+AhV70
PROaEJA3er0vf/7C/+Jt2n84ltn1ECR+csGHvSHzKIdWlDsqRzhp6x8tMWnMPyaD0Vid73799fBM
C4kiHWHHvHh//Abp+EFCjFuo6kEy3yUiLVIrn+7dxa6cjhw00q3Sv1g1sxX6nzvn/FVyzRKIKViw
PDji02vWdmNHTm8RNRgj1o0gIKO4NJztn7+zz69i61TPKCAYzXFKkCz48zvTKKBoVzNhsMBvrwGv
Bahj6J/9+at8fgJ4FcVB4ELvs4EXGBw3P35+gVkTfGP3sC+9NEOoQAv/MSoKBZrEnPT9r78YGAbG
jtiPwWR9WpVNYKB/tH2kgJgNtnYwfPUFGmMZiuc/f6F/8dkpMMhQCWEWGvALf35XBXbobO5DbjRX
neOCUVDJFeIvlt6/fBETuzxCNx4y8xMugxWtHKfGtuBJ8xVnE+DhyXP+Ytv4V98PJTGfFrsibI5P
LyIDL7F9fB8bw7G7bTFN11C4+W3ih/bmzz+zedX+sKrJJKXiYAmwDhT/O9ckP64EW4wUoejXb/Q1
xeZfPDKffrjEk8HJooP7oHHAd//ph/dBN41GmjLtVVMNN425QnUFDG00lzxNaurzRszjosmLLCbe
eVc85InmDdc/f4/zy/zwHue/hhCAz23+yxOlf36mNMT302DEm0bv4+kJB0rpEAUr6nwZDrGD8SQL
5LehKwL715b+76/Mtk8tyAcB2OXT0rcmxDawKxHchE6yHUMgqwzUxmXF4rr/9Tc5IyEspYgtNcz5
u/jhUDMDQGmZqwOfDDT1VfPr6pU9rd13njltJ9jq17h02tOvv+j8SOPBklJwwv38ol5EdhemFJJy
Q4M2eqsQxnfQHfaZDYp8NfioLBYlBLj3X3xd9l/bpf8PVIOBivXpG8VvnmcxTKKND1H3C74r/KBB
lj2jHCm3fd3md+Q4mo9//qKfnnxpwTTVaW7YhsSlS8Xy85s1e0g6mUuYcjkazqVvHOzBsg9l9xdP
zaeH/4/XocqyZ+YpKrnPm3PIbJqym/l/63tI/jrzrhDKuiDFyf/i6f/8ZLiWBECiM3/ks2SFzuf6
T4smsYfYb7Eo4Eb9Fv4FWQhg0rxR/fjoudSP7CyGyfdlIkT4tCXTVjJCG4jOtmu4HZBPMWWHLoj1
cNUn0OQITGWaj5QgdcuVyiPcLkS9I01mgzVIKjZ8mi9JrVESStPSvqpipBU1RL77BJmYW0wX1IQy
Vop+DHQIy4fnYFU+W01eqmcAmHP6D5P8pXQAYpN8wCiylV34UGSyQd1Be2AX9Rkdohoi6wFuem0d
8atozgVcYIm1L5TOlmCE/pFITbKTwoI5KHx4+2m2uT97w2ieaGBYr2qEwwDmM7skWtRChKgb9RzG
3K8WCe0/l2H7ZFUzSt8dlgGBMOayKPmbrGzQjLsmoNe38nxTT9apMuwvPMTeqYV7W69qJspEYmdx
dqnsiaSYLutMd1nLzt9bgFGstcREWK9M4pmGnR0WjPO12CX2tKtbASOgHJgKGT4fP3eEwdyRyEV4
sXK18bsMRvEUJDJxyUw1GHa6acwY0kSjdEDnYIxroKtWs7Rbgrc3GhxJlHu9nz35oVena0/Tk0up
bAzd1JUS4W9Jey+JLBIIvMYmWat0eoRrVVmjTEZFQyRybJXIPalzCNkm06++9+KExzUkaRBJZIDV
kWlIjPkntqNhx4DDAf7tNu42kTNbr6e02zPcC/C02I0Wb/rEKd681JrOFvG/YiOxpKH8jYvkWGBX
lXdx5c+Nlazvlr0f581tS3eVBsrQt9aiH6ss25lIo94m0Hv1WmYZdu5RyG+C5C1MNQFpFEufNahW
DVoV4l8bjel16flGCm81SdIjwpqZta06gGq+I7t8YweNvHYxcqmNSY/tw+2iwsGf4GRMi6gfnxFW
5ah2STmJ7qpIH25KM3FntbOi1gPomj5T9CH9zY2QIICUEWMNscAs++XYB6iaTLvmbzjInlkioWEj
Qt3JU9tUNs6099tSg8o/BdY6j+2E/lTOEHuthRYWvwh93qvUQJEs+3KEGTMwJMVKLsD9FAYgdVps
rX7hrxPZC9r6GMs9r5Xasq9Lg7QaYr70RVUi+CACsyDmbFB2fybeB2mHsOX4zfXpLyyErwbiZ0Bq
1LexNzbFFuwGrkptQJ+ni1HVqxT2a76GkJim9Az9xturIGmahTCm2iflMSffDNGDOPBJjGiyqVJv
PFCMYG7z1mCEHFjJV4MGMkrTDKXdATQJS25qXSwKU05bcc38BAtUgp5g3HolzF2EYRMWAq11sUoG
TV26hBNmPi4AH7xXSsySQqQzmgUmc/ThPsShrrfwwiSWuQmtAa1KmcieodxgN9m9a+atgyAJ2cTa
nDoPB17j4GALKvwv+GBU/0RQpZpjWYL2EW9/ZX3trUI9hKGP6yiW8fimuY3F9NDUG3PPrBQNMe6w
vAZIEdaHoVRgbiPwJ8+IhLxm7+u4t5a5sqvHhP0tXnVa3b+FnpVJjCCJTbYfIxPk1uaoaUtVEse0
UG3h9RsnmaZHk8r/Niv1alxbmQhoyroZUXsU/b656fU0J+KUbL9tNY5asLa6Oa2CH2r6G7cIQKt0
g2bAcArjkyestIBhkkzvRZnx20zRWg+FQfNy6eQZS6AAstkgcGqCF9IR8munQp8/jA2C1K08DsVN
TLQAZPlUheMiM+2KoQCGX8RydtBZe99ztY5krTDlrjxN7FG24c129kIV6aEGmoPNbzC8tcZtGrsD
OpIEj4Cd7Zv+96VWp+Ump/+c74kQgyQjIo9eqoF9ql0lQYrAQwSmd2ebdfLaIaU+NqPit5V6hLG+
nGJ8yyHAWskp1VjvrW5rak4+YOUz6nRdACYM7RYJrQNm3+b/o+5Mlhvnwe58K7kB/gUOIMitqMm2
PLTtbtu9YXW7bc4DCBIcrj6P/iSVZJFFFllk9dVXPcmSCLzDOc+pkWUWa1vkSYS3GR/7PF3tCOx3
EXZzD4RnV8cVuiTqX7FrupkBOgaM4RqMyXnUjOinZ+OseBrIT/TUQkpwC4T6HcHccKhLImYSOY3O
vpBxe+/YscAe4v+jV5iTQqXisbkaDtti7k8IQ9Hug2gMDmGmn/2O42ffoZYiCoOokI//HLIkbZ06
rL1panlnKxPfG0oFXtO66Lt6RZJ1ihuDs2Jp7G2KOvBCRF3EwQBCTsZ/Wsd7NLKJDywU/rUOUMyo
g9fNR/5PTmZ7mb3q24vUMRfeGffaS62nDoW2eF9xRuUCpldTnoPeeyY0CnqsNgZmSlne+1eXcr7J
n0FEvAsZgQtnm77ofFjv1srHyVDwaK3ccomSUDdwfgJ9ERhfKqJ+Qo9duG2Gy2AVwejjmO+DqnmS
askALOCDrszQJT1W2mSV0HAHBWPJyVpzW+Lp2k1tdnSIVLpx2QY85o2yl5mIJXMwOQcfbrShZV0g
eeZZ4ekvX7v9vxBa+XKAP9a9DsLq24aV2A4aTBSz6azXkyE/FJtnLD/N1nkbPzvfNVap2nvZinR8
DhqfOhb0wGvhkjPN15uBV8kPAupkFic3bstH6B/br8C4v8maURe/Sy0CkKqAjLu5xTuy2xkDTRvV
jzpK8ZfHw9wgOBjH4B8oegYkgL1S8YrqIQcgGlRh/BOjGbsJ3OSrfA4nVHaVHX+yZoCAk3svYwTR
tzKL93wNGyPqNV31TWh99ayK2f+erAn3LHBRpJqc8qMQCLy4lVpg1lOCcrFwD8MgBlRWoJYTQ57M
mkTVgqtgswPasMpv06TlPygM09n77cOCvHQeAjZ4w15z1srwNHSzeYrQ/e3VOuoHh+LnL6L5bf41
NlcLSNGkQ3ZIp45Y2V6wXN089iBQWL6Ao07IFJ3xPmUCsLddI98sgvV/dbHKL8N2ZK+7isKCPdIv
tr3BjyViHHJ9RPi6lSKcb9Fs4KzX2Ns/emGnm3gOxHeUFeCnW/+Ht/ntyzquZ8qj+uA6rsMyqyGj
nlTzZK3c9zzSw1sgSctgZX/raoFfuZrRgVwFLsPDXLU3pY6vqHijf+hxhn0VTQAD5ixuznA6v+0C
a0uvSDWBcHuHalTbwSj4Dj3rd6LmZ299reKgx0MPL8QP/PlU6BHvsZuvX2UgoycQ+87OFdrjH3bb
57CYzzHMO0g0dcmm1FW3WnZDBFApDL9MvqLDdTqHoMveqac/c1rXlrTebj5QlQqQAc14XEMbH+ZZ
1JAw/OOcSsWpX5D4Mjc1dFRMsQCUoW0jTvDzZJHw+NINJywWtuWoJ59x5IRHsJpSOaBvEt7fIEjR
hiEhTKeweuk7g8kx6+P1VguklnEqMmCEafsBpcx9HeMICVi5UqxWS4iht/VfIT8Uz2QkAGWllUf9
Xowu+3Kq28diMwgyu5EvVRPN1SXgTsMO1k+3PZK10+DjoWIVzap49TlSiGPqTmvpyrPjpHeVQ5Bu
ZO2a8DPnx2WrA9hCxlCvgKWIjWrwkrV4caZmam9J8DWPFIFDIpuGwB8Ey3xwLLjvKK7hoBFPLZ/K
oLG/gt6wZEczDCQxDev8lCKp/oDPA2EGIT2xiTUX+nHbvOyRae4WJxbmuIILYge587qVU4MaD2+4
c+UtubmTUASiXfVXTKeW4SyRazUu53nz8qs9ykm3g2qQte1QR3s/SklBfi6LSX42bgdLiQTPyL/x
CWnU96QXjPCzrLbzBS9/uO1LmG9ULC4GRQCSkPQj3VF/RBVXHktp9zXInfbURBS2O63yLLvmBG9z
gjpla46EWVx5XI1Ei8TBprucn2Eqw3J8nDj1qV2bsBU3cN+nGx2aiq9CNOSvkMS76YcWQf8YGeer
74Xcr6t2D74B5mgmyTLc74gMi7LxJymh0xcc76k56dpTz4iQ4P3DRXkECfgxoTbbD9BKCudq4y1y
l0uasixRWTQoxCohzeYQ9cuJc6jEI1bmWbzLJgqu3Qpm/GOrpgAqnPHb0zKT47FwyYKJHEAyEDXG
Pa7pX1sk5/ur9GLnoo2DIeaqmzZ371uwd5mTBbd5lia69ctDSPFzW+e9uldCZxeI8tNL6ORRewq2
bSLussnPREn4DJlJ/dkVIbHiY10U5qmv1/4CMKg68PDgqGgGiENhD0j3OAgI1Gkc8uuBCR/k4gKa
lsPZOpR2oBIE4UtFliFiL3uAcANmJN7iM7lymGEEurPHsnHeht50J1+t7qd2m/UXwDrQNYFHdyQd
YhjgJK53PucT6WtIf468A7/YNQhyANCrql3LhgPcBXoSApyQM/m7DOgDDWQv2xtKQ3XyB01aWCe7
7ETm32Uoo09vy+Kb0YvvA8DVRELUFk1K2xX2rAq4/ms//iS+3D5EaSSe8sa0B9MR1Vtvy99w0c0j
eormcUCV849v1i8mbQNnpptDXOpVfrFzHGJH8k8RuQHPbEdu1FzgDVg79B+Q+fBzuG1GNFvbfeTZ
fL03xXJy6wgjR44//EeqGC8hKd/EXZlF8ZlAjzBBl9ABi2m8N4qH4nWsCRDZDSHTdKSqY9YfyiFF
GxmbJXuNGkTR1wc7e6iztOIbS2X/m5uRfL12hNLIWUol1VBgKPSFtZshtGzTm2gI9fvca/K68LO1
P526E7yt3ugRowWbJ0uxwpEukyYiVg08YajiC9JKouBDWzk/3XYVxAoC7yOgoWmGPYyg94D/f6m7
EKPZXNs/kCx+MmEKiFwk2Hq9MtxYQBOlBkXmmqtHNioxGJfCgssnIgpZQduRcAi2I+L+AWH16ox6
/kIJDEGo6d+MnGYniZyrg14A7OffVz5/iJrjq8esrXc+AWbmfmiWfvkpSFT5l8s+PTIHbj8yNQRv
IwmIxd4fyYvQQx79VcsKfmoIB/6abRTkMlIKr8fMCs0n3DbiMfU5k7Hqdl8hKNsdemLnPlRO1NyG
NnN+6PraO1hvWj8QPRF5nFFEPKRNnNoTczWySZt5lT+L3DG0FVR3v0WUBfuywZnjGV3d6zRaf83k
EsPt6xUiJqedD50cwd8BkwHfgUnCnoTjAlfeyjZ6HNYSfmpP9Eya+1MKCWojM0C1nmrBUWNH7jHB
7PvWmVKiVXJF8cnbAVHHjJjPncV48QGiTaiBxAhsHv4IJTeQAC/2lbUteexTOP6aooxSH61LeGuM
Ct+CvFJFkk86tJzY0TQczCQkn2e2gBSym9L3ahnG7MgXhOzTuG5wAoWVcHa9N7YYwzv0ixOQaFIA
+qF7StcoXNgKeWAibOeSA9hs62r3pHWJz8JwqAPk6glNcGfGKLu6mJrXMhY1RWgvPNChrZjJ/Z1X
JyO/3sncA3ZP8zwv5TWoxWDLSlRvPVANpCF8O5EgD3czI2Y3aZQOd6Tz5PANQKGSGo+OzlDfUX/t
tQ66EyOFqucqKMFq1SiwvlP2xDMumQbNUsa86b5jGXtBJE0bjGuTUz2yq32KfSLj4Dka9wn1Eewq
QlXR788Q7t2EWm7Biblky3DG/s9OjFkvXaFX0pzkKagmCwcWEGyqUQBhkuHcWwNwEgxs7Lg3s4HI
yyfe7rtULpAmqlzyvlqZPQIeXbdTtwg+4MZZgCl11wg+MtqgHeA3bzHToNxlm4iufUoCQzIK3Art
c6oEawYWj0Rzc9jw7UxUj668YMAZrsEBavqRcVU5DGIIcdoHHLWQMJUisXGtavTBul5VecABj8xq
yLvhta4Npgq8TEyq1FLHfy2hke5uCgoaD0Z/kBd9vy7kPu4AvYhScGl2fcmJRDrX1bdeMK3YVzKC
MUpcZfO78CcIhcViG5uQyyq//T6T70RZXX3AkIIc4nIl6QchKnGZ+L5Y74N4QEAWGF8/qk1h06gA
Kv3lbwy/u9yj1EytyT6kN0bfxifndyeaFlGZ0+ggKaGwrzhhKnT3w2rCANofC0EM0Z7uD12IlwBj
KsM3pJxVXGDTUgBCMOT7+M8dIc+hboH0Feggyz3of+YOlZjWixw1BgCGYEw30h5m04HJln0Er7IQ
thHFC9J3vGbRXiNuZl4tmyXaD1RFPPato2nVjBtrgux0Jpn41cGPHEsYdneoDmjYUbWdZFqKMtkW
3aO165xKPSlZYjB2GG7Vh3Ls2EkR1siTwCguFNdc8vW3UoX8yc8MuDdaUYNpz8/CZCniYbhtJ8uP
FfEauThVXwV3em6q5co6C96FzunqR9pYcjioMg7442DzeMtEmghhOfxVGdKKJCXtdn1Ee2Z1Usfe
9AtDgNPsw3hsg78rpHr/IXLieb2n6vU1hvoCeoA7uQVUSosjaxYx5rqxZ0SeePQToC59Rl/BHvKl
MKe0097dijCVfwIL7E1Tbkvgf1OlOgZ4Jpg1syUh7CdXP2VVmNXFXWzAqXBn4nmYoUlbkxYYbyRr
xPFcVLytIMkkcNLs3HWybjmg+rpbr/b0vHuCRwBWy2PsTjfdV7TsHsSTel+z1Akhg22VuIkmJMm7
1qe237fC7zciVIRvj0FnmuZN+C1Kp86lPz+BBLIqmeIFsAwrQ+MmIXM90KC1ALtQVXqi4uaw5ifH
9gParawL+ClkLgNLqDAdMwrfFDCLpqJ8PaS6zpZ3i4kXXMFYRSWTR1rNfb4oJtSeM5c5+aIoq0jc
TYma2QeBDU+5P/vd2xiUM/UHKJOCr3/ZekClRJd/DLgytzsRuATBoS7tuz/cI5N/51Vd98+6V4/H
ihsZHu3ssHRhJIyAwTcZ7f3SU9WeqtBELeRKfIs4FrOBpPUpaih2uxUXb+sL7QAgYx21Wyr2+IwJ
bKa/qsD0zknh75BXk5Qff5Q1jrZzpV1DfSWDFrAHP1F+C5NweitLxiPQ2lSAjJNrEeKLU47NnbOu
m39rmxTY9k5du63HLW94niOo3VAHMhm8+rKvr292vWDQleK5DwZ41rZYJ+eS1uny5q3DGNzNdhIF
4MGljS9ByeCGQy1Xt47ExXsorFU2Mdj6wqep6rJn5r4IbXc4jRyAm33qESiVRThvum6CnZDlXezt
sAPP83vaOiK7BDAEpqeAmUIFnSZ11sTHGYh3rg0BrMGZBwPq9yJkZIZC4BBkpfou58ll4sxsIxZY
B7kuIGjbMNjjP4dUPJGhpX7oUFU47kxFiT27IdtwMZYjQ1G/jZwD82yyqYlzWxpMJUC+gHg0PS5m
pZdvyu4i4I5Jp/hHMYPq+l20WU8Abu9evePt1gJ9dZYRyzB2ybpORIPr8p8HQRnORLT68YFZJvHi
gmQqcJCWTVjC/jx/iTbKp33krttKIzEPA3hW3aMAjinQdk7nm5c4zUlqDVZFCHJQATxWXee8bNnq
dqeuDQlJHmWmDM6aRiEoxnJU7t1OZMiQpS6LmxBzwD4ljVTfGUT7pIGIzX9qgj4APIkpOnEBMP2L
M0RMdxubM8AEcFmfet/O3L9IfF8CmuE/0su78n7Nt+zbF611sI9lvfOcRlH4TMITWTvraOL4Y/UJ
TntinDq/wFnS4W0fhXq7iwO8rWe70kNeJicPqmM9ii4+4UhAng9ieptL/IVlBF0Fr94L7Bcymo2/
go6x3pD/iq8jIZrpK1OnTKd/zMjowLch36LTMjAgOaaclu1Dmk8ZrTzfNMAj9QaPIm83CfSab/fj
hgj5gToMinRjoqE96b6NqlMh1pAQur7khkcrJD8Kv4DtxvJrgvWQarrPiFaWZxIo/Sely3TXdFyu
OJHqbL2NhiG3R8zM+UumY25mwoapH52xYUqunaDbG8IFhkOrs+qnNmWRAxfZBoqUSSD/XNochJty
yf2p0Lb9A7UMlyTLRVokEglYgQQawH17x5laeQ90xWxFBKPakQfd9Y9yXJpvkcUiB24Yy5qv5db6
x8ETFtIpu1/3ploBMRxRwzd9ApeUldKO397YM8RjXir0P7XJC6wEiv5ytGp5rBxhGSx1usyPqih0
90J2LBEruLZG9h+QRBFgxzPZB9prs/emjUj5ihuW1MhZlWvvurahzVZMIMB7AwqtacsnUycFmNjf
8UI6E4nv4GXxhlC7iGqs88M4sC+hPMv9puahS4v5IXPDlRoYboa4Gyu8fzsZbOGX3IQkTJP/L/ep
GKbxviIbW+1QjWtxELlqbseVnenexxPxNyCG4o5FHgDvxVTirimDnkd+XvSHCDtFA22ZW1MWzvlP
V/BwPsQEZfvsBypS4CmYIoafTh4eXCaHIJgdkLLFWIes8tNOrkmut9g5TE2jssvAD0J17Qf4ACiG
AXOzTujzWzy1fnMiIxUMGACLcDwtNsu9HXNlpv6z6OmgDXfiDDa/w0Y5N2yA2X0wZmfawxyFFaeD
eYI0yJ9dXmtxG5dBNN8GcNOXmw2TMt+ZbuyHQyadKTqYCBrC7XX/jeizZDxKSB3TvkUoe41Da+rt
kI+iZ/UUzJAWbVuI81zP7ZcwYCsJI1AAt2OdY6mIe2y1XL1gk2e8F+YAP3C5pPTPGQXexCdmI3LU
z5LUEkapkiIb5rfD9CNm9Armug3widZ1HDsJh5x4xwxIopis2i27JSN6/LvG2VIduhh8Fclg47X+
YgrTHIreDd37gsuxP6JgBbc3cPc+e+HcgtuYqdzgw+g2PEXKz7EwxRzm3P69Pz/VtucbKWyp3Q9D
5fY6TFxHvkid+BxuEn6DyfLa4cbaZIfVH8jj80CFw94sbZyvbcVPfIb/Daa31d4vipJKwjzJJZGC
pUx/Bp23Vnve62tDCjPL361uQSz86KfBSmSot6ZnfALBuq+LxW1umNJ3DAsjSFxE3fJ9e1Ns36F6
GYZIB0QduBNHUY/AlWrcVy+FUt7VwYMJp9gXoYRwsM2hrP/MY0haodSiuKQFnchlItYrSzYfPQ0W
aq9YQG6t8ncLnxjfJMVkeoNNhBWCpobElht0MnyR5RDDApF2PtReYJ6j6hq3rvq6l4zBoN4m7Bt7
n811OL9WrljnE3QUKW8HJ4Dp76AOjM+TnnmJlDcrKEJ/3uxxooFeb5S7zT2mn6LkRWd08g8W3xVQ
rmp2KPNSAUe9wN4MeclZXEauqwTMS5SFupR1irNaTXCCfve6wrKXNC0TiUMZMNB5RxJgiOi0CtYT
AFBzLFUHBXWbtLqv0jL4zHRWvpKKGC41FEfPCS4y5Jk9uEapB4J9ycqOw7VjohtNJWIZmZLEUlgm
gTddRYc/7WGoAfD01xmzJwW2+qujAG7t2NdwQJal8VrKtLL7g+0ZtW2L4idOcJNMhLZyk+pbr3YY
i28aWeTtluWB+J26uXEvQHiIFmZih2coCfpVm18KAt1MEoovlmUPsKXJfqm8oRLBf5YtI974COAb
qOMrZBp+ODiEHNYi5qGlbibQDqE2N/3SefZ2qWjzDmAX8/kccqdZuOFV4H2lkoMSr7VfQeTDn1be
mJFxHHbXqPz065kFaT9kEqkydNvwbqZY+1fJuSbFUdesGms9SPVjgm8vX5SZSZRZwwFHOmuB6gvy
au6zjqAPu62u/9o4OP4/FpzMYAZgyvqMSmXqTwyzhikJKdHDpJByvh2WwZueZ88uH6z+8voQBT55
68ZazQif7JXva76n88AjVf+8pur9JNFh/q3GQj6N9F6UtXbq/yJmKolH8NUwJ7OUzQ+LHZJxSKBn
9gNq63NsvownCLdgdUbmsbt8h0OZYofshDI3ZOd686GFjqXuS/p1fmNXE4rLZiP4TRnGvAFTRdNc
GHVSOCG3AdvEw0xOKRAW6jO6PqTXQ+SziypgmrKKGPQkkqr2wIS5vOHhZVUYCo8dqrDhHnkkXFK0
YkD94a4xG/WXwnpEeMYmS8hTNJx/2KT1ET1fSZpjJ4P6QHxF9K4X30OiBEMVYNjsExgcOp7fUlNf
oW5rzh1xFhgN6WdlyEVX5HqJL6i2Q3efVW3tnima03cGDYaqoHLc7RAiKPwXEqvIvhTyGq3xkArQ
Q6QHHUNkXeD8iUR+yvHQaxjmLQ6pJJ2lXs/QUbztzuRdRShJhFEOIvtAGnEJnzSDAOM1iMkCNXt3
G4ZwJvZzDz2IEXuzF4ENnmOHxNqkCeL2jk+/jBMHz6M4VOlMFGVl2iGBx6QYAmm4zUlNTHeDdBR+
TNISrq2gmFCFJ1utG1411RwjLHzvzV0ZQFxG7l+kSPEn/vRNvoFZOTkty8yEqL/+MRwFAASF/jDi
r69qd+/ik7tGSVRaJc4Qsc/H6qsvcx4DxSNhIP+MlFkayumpelOkaIHwrw3mPVOy1UzKofTus1w7
nxlvGvgvIQE5BVX97QaoZY6jjhjUzdj22M/KdX3I8zb2HpHgMofmZQFqBC5d7VAEmGLnwSJ7WiwV
4L5tu/n3xDjCS0Cv189jP5PT0qlIZwzWfYx6knUrpGAaniebteHDyO7yF19jdDFzORPL4mQLrELN
apYBAtyK1yAYOtIE2P9GHO0jNAw++PbJJ4eYwVUdXUuaGtHgTofCvqd0/93OifvMXPel5jG307ig
D6v4gnljrY9FGKyfQnryh/Ir/0P/J0G7dFKKn5gZ62O1LX1wyLL2DxNNdVPN07K+QQaUf+YwyL5w
dSJLkd0YXNJJTGJP5qT3LCBO5FhVtcPocOLh2mMplp/wWSt/D+6qoOWEu/8pcQY7T0Psjy6IUdRQ
56BMw++oKcOGKBqg6TUKKURQm8Wl36xecY85l0G94WiIaSCJAYFdDar6dwiBjmF6WpI2lvVAvndl
Z9icN1Vq5p2rx5XlMcAz9bhUKdd4ZniNu1SmYCeaDg3BhcWJAk1dgR3f91U78KwGFhRolvfyPqpk
IFCoYFLeoSqmyBi2sfj2eITtFcrtmz0qGbJI0HVFzs3QeSGfsSkYzzRZYKN9UK/iXNJ+24R8UN0T
GMMOyCLagyJYKg/UcBnPR4js3lPXuOI7ditMpsbCaUAhZrp7GQQYtrMNboZsquonCcsc7yVT/X9c
ZxNqCgcLw24M5nk7YA53Sedxx3J4nTAcdDlcjcwn0rUu9WW7TqC/i6IUxacGL1Jh8M4rQoCCbgGL
1cTFX9ajuJqneeqWG5I+JHTQ2iK+ymOgOdcZzbjHuVzea8RPwDFKAYDRm0JYo5PJ5XZSWEe9T9QF
pA8UzOe2N/7GNTy2gmjefdoppp4sRmydbHOLLKfroga9yjSCHyy2SO6dGmQ0tHG4UwFhHyWzQCt7
4nmaWC1M/k3KSL+RGa3GzisGDVwfhTMaNROkZUYyXc4DwXyP/Rtbm3xKpGB2j0whDd/6MG3kB+YS
HV2ctmYVK3RFJbkgwth5ML8I23HXprrxMmSMrxFrxPslH69gV9PVeVIbDsIzzt+ICsoO3nHMshj/
vq+QJOCslt1D4Hb1SMZG4Y9XbixDj7JPc/IMvBZFlmfXQr/lg5eigZpXxtM9E18maSlhzNR7v3Wt
tu1s40wMv6zoO++RAgcbVslF1nyWWyC722ZweV1Ovcx5cb/WBDPAV666pSdaT3fRtpeZzVhvVjX0
44iWPbo0uiuzMzq9rr04WYRdnzXC2qV7YM5jd++CV1vwqPcRXpo+FI4gaDwSGUZp6j5sjCpvM+7I
SlqOvSNrupKMmHFeC0kR4bQdGouQT+wzD3Q53vb+hpd8Bzaowu8/LO0npYgdjsMiyw+ifbAZTP3G
GmHh+/HaWJQi+5ENFAN7Zxn+iK3N6ieXz0QdZrQ6cIydvGgQxM0zw/8wWLIfAHmG+b0oXDHdr63X
TWfkfjU82nlLEZouBQyB01oJ+Y5D2/82fImbRPsyXaAMefV1J2lHkq4jVJFwWLkOB84qR9fPPU8i
YciIamdQ2T5IMdJmyje+vctwStmxfEG7LdI714zwf7LVtEx+a/q9Gxg+AzIIWYbwdwMUNUk5B+T6
rGQkOX+aJYsCUEV4Y5Ic/XMOBWgT7PydhijpXWFXmT0EvkrJIrfp+IaODd2bX1ZswwOEttk59ZqI
qazDp8vVUTbTXzk1pBJAxCNcFWpLCGBAl629bVl6R1mCsU2Z8+b10qEAtkWrfiBKaZhKbIH/mTL2
LQ+iDALBeKflDWaSgc01hRuACFZAg0RBWiPqguwpkHgdA2XVe174KBTKBi3AUVcDhBhG4L29lWTx
rMcw61R3HJmUgJBxWYuc04AfZ983FTEfkVOV895dVhMzn5tKoFnZssbmEMvVmU5qxC9wh6qwJ6tr
G4HBNyFR0gm+dTaXYzYAycbJP/sfjrtQwND+rMPZWxuR36HNbr19vmrVszgpNsB9uYzIIoaYQGm0
MvDcEaEt/MdJjCEOdWZDAp3XOJj7wJPIIvmoRXm3ePMYoGycrntxbJ7zC09D5b4KrO7sJ+srrotc
codAv74PL66TiuDRDpvGhhpxl91oZ5iIGOFCd64xARih5B2SDctzk7eN376nRIvou47mlPkNEPzq
R++la0Ej5zMC6ryeMF5jNsb0yN8z88cpWRI+VX3amV/EjWTuhYy+Fe8izKy+TtwOkPS/YtiumRsl
kXyhSznWMKX25mBh3TeT2vLDzJ07vU0Zkakt7o/AQZaDGnrcDm5QVeYjZKpIjcfO/po153tE9O02
ahy+/TP0xHewS3lIDdh3KflpXtpP0JKssEWSijoeLZSMxWseAswL9cmuNXogJ59W2FSS6aPdx4Uz
DDdl1TfZ7VorxBxrD+cWReQQRv+6IuqKN+XWwrmZQtqwHxucBtQrOq1y93Gb3WlGIALp9aMbK9e7
B1wQRcSSFkpvV7U4InlK2IwVMGipbVzvugwESXUXdBle7kcb13YDFB+QzQQ9nBXJqQ8ap35gyDZ0
FzaWsngLFSqau6LLzfo4mw7BXktY55WnvIAC3gSQOgPF8qYIW9Y8ITNSzva4LEGRRD286zplb1hQ
xCEEgQayYmpALLgTNEWf9dgjG7QVjTGZaKG9iyeC6FiN8At3k6C/ctSZyjBTCJgkyoD0NC55Fiyn
lMiMqX+Jy4LJ0005la1sz+xBvGb4E4mi44msakSL613UuzgDNmmH6YcVYvIYJcmmVuMvy6jFZ0NE
VGu/fhIUSfN35GgLxXgbLPBYouO8jEzJFgcNd7YHEVPAlLW1l7uoHorV1AfbrCE60L5PY6rYXEvk
AMZEmeb09FgHchlnQ+ggws2b1ey7ZctZQ+YkRcTFAbqLCZ/TNM1B9rPhjHxzgz5MLk+17wmuCstr
i1/8sEjnM4AKcF/ZFQ2yj+qW7L15NtFp7Pzyl67ARO0KmGc/Zn9rvgtMMfDQICJ+ca2B2SHgKnpT
W5v+jtHokoCJqvi1nKL4tAh3G86N51S/3UHLtxZexHtu2tzihyGSrjsOecx1bUcQPQeMRC4mFiBR
yUaSrv1v5tL/F4yI/qt9GYevr/H+T///AespxL70fyZD7DvIq8Xnn/a/PH/109+6+PxfGRHXP/vf
GRFh9B/+1fgOVoZE5siLsK/9d+CT8v5DoI6UElezkiyGcGT9D0ZE/B+xzyYPx7N0ITv5/NL/YESo
/8AyDHaZZSs+W6i7/ze2fE9dHWb/07UlWYYyaGF6jTU08hR4gP/dFoa0kEOYMcyBvUak7sppwMHe
jeGyHVnEla9epcqZ6YiZs9NGV2WPRjEl301Uj6xzRAdNFrhLd2tkTTIRkCp7mtxlxG855cWfbfIy
f7/BTv7XNymonAolRcPjF0w/2zIMKcnmFBeTN2ZoiTpdkEwRLGsXwtQZop9FSxkKf6gFo2JHf1x3
RcswbIc8VjdJq8ChAGQ1UXVPQAORkFxPiLCQAqTM90okFSfTlcq5Alb8B5it8he5XmOfuCw+kbQ0
i5PTCBnVH6jo7VeMdo1HzWmX1wG347UWjkD5AxkK7IPOm4ksLWt6nThxLv5SK6X/0AABxg/y0WPZ
x537YrK6Du9bF0lEUoluup9jG0+35Yi+HS27ia7H6oIPZiL+QR2ZaFH6NJmhV4Cr7Q3HkV1f8wCb
bJw5ua0/7Va0GQOOrsXGO7+dhicriVbez+NW/mELyrAaoJ0H/jEALHwIqa3dxGdh4yWzKFq0zss4
EWMxtuLRSUNgujQoHUFtQdTYh3mdgvlkinl4M42EhMXBjq4WC1Gk47Pu++rVi5eKOrmIm4tfQI6C
Gro0gH2t+DOrqHxUlVR/WYIHwBwlxSpbmwmJHJMQBCfrtJaPyAPHXz2eiCjxe457pD4goPZ56vh/
NwT7K0V2uf0EwTjPu1kx2UdeOUxQ4XXeuaBZt//U8hlWakPPMX2kyWAqWKq4I2bFblaeNqfT/m0Q
oGnfU69z1HUwo9CxSNc8OwRa6iPAlPQeZjFhbwH4zK+oZvv0EEjlPY+W0/xSBtYLz/3kY07cgi26
xjWmVbPHnl1nxzpVqrnrYGzMNy1lgE6st3rzHjuWQRfEACNL6jGjIinp1+llLOKYI2p1cmkm5iQV
bblfpyeHee59wC00IuwxG5+bE0n/tOB+/a/sndlu3ViWbX+lUO8McLMnUPc+kDy9WsuymhdClm32
fc+vv4N2NjpHgg6igHoo4CYyIzMCaW2R3M3aa801ZramJ68gFCia7guNdCaHk28Or4KGD3z2JMMC
JCWHYX+Rt3b1FCukBfCfHP3RtdsQ6Y+p1JbuSkk/7zqtadAQGoNserWh9sJrRU5FrxvzyvZw1ivu
fG4ZVIwJxcmFBUi3KYOaigVLUMLPlsIX0RMYVumhbeoQlY8+4hFB6gtDiszUobcO8oPd47aKsZqS
Iwnjok2eGLH+SlA+ILofq1eoSeQHtZij3MnjCP/rrO6/m3nS3wDAHynb9ktGSyDJ+AWsrSeZnZC8
dAJgd3dDm/1EbV53m9GYp9GdI2jADnxxzM8i9L5soHXmpumIBCshsnolmLNaRI+zdVEGICGdIq5Y
NmYYjV8x6oQyovokVyZo3sLTTCw4TExKUesEVIaRnJbBjnb1GnOTloZ1h2wTZjVFmZCJy2KpLDxF
J9+zlgTKNDdjkybzqNU2AnaNbi22HryMoGOm5mUtoyrAflFv0DqPttG7eR+NI9aQ2YBqI9ARuWWy
/JopfveS11yyVyg8kBtawL6AaqFXB24bmfG9FseYcim5Lu50JmF5ZXBjxvYj0LsH2aDT1QlaWB0u
TLZRdrERIeEe9UxdIsUwRmKhDYDEIj6B4E4dBN8DP9Qu5ZY0u0N8tajPegDVuG4bckVvD+W/tdZT
+FtbnZrEmzcn5c2fs+UtJ+W4t3o5cVShaoCGha5YVNdP+oQNNQAYqrf4U1GCXfkKKQuy2LP3+Sji
uB35zzCarps6Lcmca8pJC7dS0wLVjPWwGkmmtqTFa3RLcstiAE8bX4axXLsGbWLPAxcsDF5zq/O0
di7PtF0vT3N8vuoKjAqdnmjOecs4wTuEFEWoYFEZMciK7Sn59E86Zf77Cntagop/hSAfvNhjBMPy
xJZMLzm4HksH56SfDJXnvi0aDFtXKRpPeoe1UW9WiRj4yjYpEXFRAxjEDjVTYK4tyc6OBDL3g9Xv
X+N/Iib838sN+zw8vHxJf0T9z+ZtUCj+HRWaKnQw0zKBVRDiIecgvPsTFBITGja0GxnODZMWnNO/
YkLzLzgErBv+wmRWOLv+FRNK8l+mDEuGP6kTaZr0Tdl/Jyo8YQtp6O00RiEzZgM4sbWTFRpN4xQZ
TYsJbv8FnHiRBDkrp0oBB6aqa9Z1dBD2xeeT93hXMBdoiEooqhKG2ssDnkxe3x7DvCBd6LVVjlUu
9R2XfFj7Z26CigUN+8ESMT8chm1hISAAQxFLOPyGgiAIQVU6ZGRPtwwaL9UVVsRNjSgDw0TM4J6K
5CFJtyVqnXRfzSua+SOc1DAapA8x2FX3iEYlc2+kV7Th+IXbUq0AgyYcGb0/ClXwffSL40RMvYWs
Dw2Kgn8j9XOsC3GFyQR2BEN/wNa3rx1DIJN3A9JrL8kPTFiKDXlbCSmKglxnHWfe9Dq9LvTMwYvZ
kBEwG4oXzQfTvsiDu1kiPTisaAsrQWD322T2fPfzb/JuHvBNFNNgUzENExoSM+7tyxrqqJJFzzyo
lJmTIkGwMdjBAVz8FxxWYpcodHSn2bj9fNiPvpFmClvYDA5J5WTYNC912jYYVg4LSEIcgzjqNOUZ
nol6vF3+mXHcpHgw1VhuQSfAlr7htKw0ny5Nc9djsWZ6Wo5tEPF64RT9K6WIEut0o37JcuCruHVd
Z8iiy3htMf0nd45dmJ3aTnzFFsQaqQI9JIhkiLFNZS/MQ1RfL7xnIqzdOCBKuzcyhNj9U9Bdjcn3
Pj+zfj58HAsCsMarA5NlnUBh6ik0x8yM8fuxXGFcFynapzRehwFtrbJbwEBP4najG4uR+Ygfk+3o
w00M/NRkJstYLW+oTWbyOqQjeH7Ro19SuOtxyAMh7tbNvRFcwISH3b/DPHOhYcZXtoZ1he6QOyXg
vjW69eJ5aHa7z2fDCbfk98ZgASxiL2QScsQdT0KSZT75d/rTKN8UjopBZTTi+UkDYOz4Xc9qQSz+
+ZDcod8e2n+mhg230ebKqyuacfIuVX2G9q7oZG805dKOXlKizqtQ1y5o6MdosqIZB8ugbWGzHXb4
tGys2fQ+/x2WSf7vuOH3r8D93gC1RmM5z32yURUqcPU6xy64M/GxhxasNvUqowRBtUU+E5F9NJZl
yiorfVnup6BIjdKInDdsIBbNv96IXS+S7LXlFyHfW+7Xnz/ZB+uOU4yjz2aiymj2jz8ofnIFqhMG
Ulr1gugcAxZu6k6m6Bj2pjWO7KYbJ7QfxtaZJf/BxsLIcFo5izlkT9F1XDaqpGp1HjGmqWDQYLtN
vRGcOWM+GIWD3Ua5KuBP6acTVutkJdd4Ri8k00+bORbbvqZOZ+bHSXz7e4LoMjhwzjJVQEc6eY1J
pBa52smzZ0Pip2MA+6WOBu1OcNnpWwgk8XUuJdwFR64lUjuc2aQ/OBvoAjWhRwLKI1w5wUHN9pC2
mtHP3ARnPpX8UrX26MmgjVcWard9QIMwM/jMqB9sBrogOkDTJDPqaWRipw1XNjRUXpGPySYEH+I2
NsWf6AW8I5p9yvRnCE0fjsiuasoKoHX5FCiWCNDSw0jnQFx0iKDF0k2DXx2+6JlwS4lkOsXo4MzH
/WBB6tyMgJgtE8k2ll/qTZSCDovWk34EFC6u9RrFWGBMutfbxa/JUs9M1w/H0kzWg71Q30+5UD6S
UzxZGcsvS1xaI4nbKxVFtFJkAyRxZgl+NBojcT0hxmW3WXbeN0/mt3TSpUwQGsPve5In4EiKyFXo
mnRmrvOf7zTLEjjZQ6Ga8h7hUhFML2H228FUORihzwh2mggepkIrFILsUDszQ94/EmQ9k0s1+7Ws
/ub5vh2lw8UiACvNC0x6baWnz32ffJ/0ytUUNTpzMr3bO8GEoZOwNUsn58jpdPxEUWWr3dCYsmcj
EnAGeB7brsOgdEjkbxQjHbmm4aSh+bTBg/jzl7nQjI/fJmNziYVSuBgwsbMdj40Ii8TYoCwBRvQ6
1/l9EyMvHzXQaFRiyHWSIZnw0AqHbN3DpMPpZLnmUof5/Bd5tyL5PWyZpJxu2jQNvpuwY2DkzYD/
H93tPxRWx6qUtc3kJ5tEoSwV4ZR25q1/+OiEowQCNGBBcz45jOPKmjNa3mQPNoEPvcH3hsq+NZAv
OaT4kJZEym3U4a1j67R2gS3/lUNPaKspOfebLCMdTWnOFV49tz8wg1DjTqIhoPhUMU1qelEyI0zJ
2hZHP2kv0zDxraJ1YQqQndLVbK1RyHwdx0FakRDbY3V3JWl9eCbofHcIcOHkkqjobFSU15WTQ0BG
sRvNIp5hN5H7TMJw2Y2R2U8e+ke66pVwn5Xhr8+//+KRcfIOwFeSP+Lba8BGl3v12wWnYBaF8sGa
PBn7sy771XNBCIJHzG5ZMwhXdUf1136+gmrUGGt7/pYZV1pyJTfPaf+t63aK9BzaV1FFgb10bqNr
fZ8O22CwvQyYRA6KBX3IT9L5I0sYC670zg9h6axKBSHRt3h66sNfGVDA5BJ52eePBlbtg2dbNhJA
eQrBs34y02ZaBOORxmEvrreavJe4fZr6j8m6yYYAY8wnwPxub1z709ciPZCj7aavVnKgf5tOYq/S
r2qMoAPEKtWthtV51D4a3aY1H+nXyrnWFhvILZNNVn2j7/DarVGKLe4HHGRusKqMm4D+inZXNGt9
WPvxLlUvmNl5dysFP5T0EniYWr4U+SW+Xk9jslXllWl4nXGr4mEQeuojPknKumvR192l6ZXSbvXu
wuYOhWjwux4+jtFjTw+g9CsI6STaqfFai3CLcjLgbP5q+jLRHjs78rDN6bmZ9Ju2PqBOE9V9YW8R
UVT51+E1jmmX/oLLexRsaOnwY0+5h2WbwwyYrwjHaeKojHUzr+zSM+0112xdPZTBLVnxJl/nZKLF
cI/xdAW6yrww+w3hi2ThV3xR0EZQmQcL1wyEJE9NtRoN3EDJnSG18fpXcaH70PGuAc+hrKIjqtRp
8t3H9lU8vRriZrG6jNrd3H/Pwu/4yk6AEspLed5qNTnmEsRNTFHDdvAKl43LapfgdQwVpl/546Fq
twIooLYbcbu1zpzw7zdMbk/YyliklmRgwCcXXYvTKYN7SEBa4BFKi/eBkDCmQT57oD0NbSf7+pkz
8aMlSt6V6JeUjgYP9niJkqMv6npcYnz+h5v1VLStVM7O7Ya/s0LH2yGRr0xgpsicTOBnj8epohEx
sGRO3tBfg4WULVK6tyowLbCQrw2ccfm5rL9O3ZdR+6FqPxt6JPtma5UxYtdd2HiAJ+nhN+ij6j1a
VqRy20Yr3d4MYmMqIW6fnmE9xp2yxpu+7x/DWzVx/C/SIYPcRtFjFdIG4dBx1BEGHtqLYG9ewrYI
jXV4aC9bneYHp+CHU0fa6Jf1VXWnmIhcXWNCRuxluNreklIobLcSm4AWhYuy22bqGknnDlUgnBXa
0tuvVnSX23R3/KLsBbq38lDz4mjIoi+5xU8VAJiIIqn+UM6vWFnr/qHB0B6DiOkqanZSs7aDx7q+
KsMtxne26o39HRkBOB5tsmrHTTd7/XCpxh5uyU2Os/las/ZN86TTKX/rzw9Fep9pWJuzynrxbMH8
aLNh3wocF1GgG9KLZm3Bt6ggdlsjR7p302f7Rcim3oK8+3yDfBdrcWeUOWpIUWrG8t/H37stWup4
FS0tgxFXnh71r3q9+F7p2mH2J9/7+6PRFK/iyCBb3DlOZhd4OY3uhwEhNI2IIH0kCAJK6pgNViS5
FZ8Z7f2NjpQvuSgLgbbJisXK6ehcq1HuqoC2Jg+1FeLbrM8Bb5n1OpmTS41CzII9G9eo812/EXd2
relnjp/l7Z2sJsJkYlldgP03fqdF3gTnsVkWlMh43nG2Oc7TKPbo2mzOrNoPviE+A5R3ARgvL/Xk
iFMwOaI3LeByY+rrdAbN0/X0IbQC7IhpzcqZ1/o+RlnGIo+j0WhCzuEkYorhBWVdjz9NTZ/ONpb2
tkyGi4sIxpYYruZ08ZlWWJ7Zc08fEvsFjWQ2GXkS8gg4Tvfc0p8r4BC9Rz/dU4nI05WtS2X+jvef
dOYBT+8EDMUwCiExPh8IOU5madyPeWAMBRlnYXeXnHxlYmESXdn3akiO29/3mAqbajStP18dp8fK
krC3eDTS9kuvwu+g+c1sERKkErS6DXpTNkFaR2LcbBIDAooOc2nwUI2ZZ4Z8t0SQy5ig0rmIEAFz
Kz9ZIvRgotzoTXLeOurpDpsepHueOUxgt6RkNefIQWJF2XRdtRvlWfzNqcvwNrcfymsqgSd3sOMV
GqVQluDtFmBVYBjHkDC7goimnkgDtLP95fMX/H4Oge1XOT/JIxHmnp7b2LoY9AdC+6Ae260ws3as
CrZuLJvZih68+cyZ/e578gNZI6iUyB9TTDp5uNLAyJHwMqfjZKxpqqVvw/TpTKykFpFM2f1KsiI6
M3d/J2zebjnw+wlISAUQmpuk5U7WSaQ3kig6nxK7dTMD8UjslexfWPW9WaFwRTgsl8Rx9PjV+drC
ir4sd3J2wd/00s08PCfJepa2dDTN8nPY38cCcnGxRlfn6LQl0nNQXuDdthpsLqI9QLjO4f9rlzed
uOdnIITlB+gSRzCdGsnyRyWaBoR/MRf3f/Nb8pwm5HTCIfJlFOiOZw4WqxruUEnuTWWN7AJTKjoi
QbeORe/oBm2Onw/3bk8gs8KkWYobtk2+YPnWb9YmJrP0H4YZNnyCy1lHt3lY2YtCW6ELNv01q7QN
NXJ00+fazX9jZMHwhJyQvxZTm7cjw6g0BICTyJvi5Gc4imFl0hjnVriEb2yZ2AYKiCWvlNk+M/C7
1bI8Mmk68tgc2SjJjwfuFNq2VHAD1A7lzSQHoIBQ1dIe3ALnzM4led+VCBDLLe9VaEtGhEzoyWpJ
6VAs9XYeAUk2lI8ar4YLts2acacPxnRVNOM6t/v8ivJV4BnYongWxPLP3/XvhPXx6iEPTJWSHDC/
CyWS42dWS6SniMlGlK7wBNJdRQ9A0N8jPELbLC2sn5U83GdbWQRf4dw2KXXPaKeFzSZPgces56Jb
+3JyAJ88JS9ZcSHRpkXXhUM3nMsCye9C6kW4XMvGDcwbrtvcDvF46ITvlpihtfHar14oiSgwPfLl
ryxC0dO2StoBJc2cfkMu3tLzSxziqCWDXYB7csOWCPFvV234JPry9dlHKB2S4T9+G30srCDzwZoV
+VUkRmT6etYeUq4HdIQIFwKLU3SF7tFtelu0Dbapehie+SSn0cZy3yGGorQvq0RQ1mlGhIaZtpoJ
0EWfQvtFXDFaoLf6bybkFxc3OPyHpfXn0+D9zOcQ1q3Fs+B3wfRkyaUW1r1IMjtvbmfELd0CAoQX
G2gkK2iH/3wwSgu8xqNJp5KAIoWLcIFhOaCOX/OAAHEepAFS4q36Wnxhb5G/6Sp3mlUSgNEDu7Xi
b6XXHEEjRcbaK/AKJxVDM2WCjxj9TY58Px+C3Zh7IvMy/7rSf/DXbnzo7Ot0cuNqY4m1pLRs2LSk
qy+4lZtMIclVoFVpuxKqE6hqcBbKl2J6AnOfQEUPbBLXTDw3w+wbkDDmo7QvGK4BygiBZuXSdRqH
HuYD9CvoMC6RnlaelXtmhzeJ18AqVbdStGlIMITrVNpWOFbGrlo5SyzsA/V3aFO8nmn/pfbrpF/N
Byh16AJCEFzSVgBPjDe2ttGCH7m1HssNGeH5yuai1cOZWlJNyp0ReIWxrWkota9KfV3TShS7LX6h
8q5ERS82ubyd5qtydtuJzOKmCTb8Q21a2/lmpg+o3SX5Wg9cY1jHz018rQZ78UTrDezA8AIwx+Pw
KzsYz8oG8PfPiuxHogNjuKb/aZguAH46XQ+I/N6fXuvqvkxeo+w2kxAKOeKmDFaB2Mu2J+FTILv2
j/ByPrNDvzuUlokDR860ZSJWamPHE0dKxaRl0DtAbE5MA7tEDGqSalEblCWjGu7nLNXgWyuBJ1Nj
3Z2ZuB/OW2oOTN4lh32aOo10bKSVDiKBLuergmbLiRTiMPUbqYktvpZOhaWne5keYMr2oBT/7pWA
xzco0JOJMbWFZXz8+IIHprEKE75GavZZGLaeUXV36VyRq8jHM4O924cIyUm/6JxN8rIdnewJVhSa
rdmoi+NfHWybyb/0x2ANlQHNyZS+BGipnXiqzvmZKMvl7WRzYFwkPIBBqRLbJ5sDjfFVXQ8GzZUg
KjaiVxZVhaJAN4d1wK6dHSIdcIuJLoaq/ngNwwSjgB6KFpXLGfh+BF89DQ/zQHYm75SfGcK8PXGb
gvmo3ofrNpLI+kWtD/kEafPnc+T9WyOEYHIuwb0mI306/kQzNcAeBFoFab861DoOFgnuEQMxI+3P
qISG4mGIz1y6ly9x/MYYU9HJoS81Kts6ObXwwbUau2lhDHYV7j36uDGMbt8DU6O8IrGtZudEUO/O
C0Sx1DIWyb+pcEE9eUqa8mwSGwiVSEe0+1T6nkqlgxOLhBa8+vp33+hSoUHctUxDmiBO5mFUFH1j
RjSeSpxFm0omR2aO1Cug1cRm5+WBbe8Ji/MzR+L7l8rck2kXRtdjkIA8uRPbUWtDaClywqC+chqI
MYhg5E3q41qcCvkxiSGvff6k7yNClQmzZCIpUFMQtE7yGrneCL0KscEWY4+xa0vub+jJNKLj9XcY
AEL3NdJhT+tY77SdUq1xvwndXiR/e5u1OZqJ/RcVqKac3uM6ROZGUqk0uSXQAhfDicyGTKghCfWr
wXQqpvBohN6oz7efv4L3E+t45JO3DuUSVyhrGdn0zNHyV71Nd7jRYEcDFOHzsd4fJsdjnSybkqww
DkGwcJpKep4srvphpyJOpKW0vZrbC03BslroFOc+H1d7t1wZl22VrYByLzrM4y2CtiDdLjGg8gLa
Qt1uagCPYpZz5v720ZskrOeKwUGBVvFkiQazHi++N4BeMpG7kWx4kzo4TR1ErqVDPPn8mT6YuraG
9oeJixybdXpyNMVTo2PlneYQZdPXyEh+FQvIvBf+5cDJgYfaqiCmxuPE3FEPDLYUKHef/wqn7lEk
y5ZfQWcDVDXc44yTjSKoKSFyOAJV7Z/LcEly5yZoKPo3L/wShIBcAzAvJPAvrSZeFscTxyc9n4Yz
Rg+tGC5qEhsuQ9SrrtMBfcfEnFYIbgxqeew0YX7mpb0/K/iFTXzAOC+4dZ7evToVpKdArOqFsXRd
wtQUgVaujRoPGmNak6kaHD2qxZkT6t3E0Kj6kg1CIksiHMn38fQDuZyhDYkTrzWifg2v9Vka6P3Q
zAc1S6z/zmAqgT7EEDzfjGUtvMkiFL6ltX0TJnS91gGnd0KlIRFPXVluGqqpn8+A90+2mHuS9TZI
P9PgtoRvbwZDTSQPdUgZYgzq77hI5duSbscuM71cVMaZj/fRYIsOjFgUuTzFo+PB/KYLWzzGATno
1RZ7NpCtWu8oxKe03Bu/Pn+yd4eRxl5Bbp94jPOWnr3jwSZpRGomKPhUpPTXuD7RlGRjbt8vLe9m
v8vCwTizS4lzY54cRlJGCaWPyIZY0Eyd3kg2EKRbJ8k7+RGA7YrMBcXlSqwTAf5ZhPUWFJy9Twjd
MYt5mGcuZ7CDtYPpWykEVfOMmuTd6uGdUMInT0MZx5BP5WPj1Pnsf1rkcQugOwpbsmul/V4V/sYo
uglOVwjgdSjP7DLLZz2KtZDc4LSnEXAxy+DVHn+JhTClBvSEk22U/F0qzd8FnL0zc+t3cfPfoyw+
xyq9nvR8EPYwkU81ThaKoIDW8shLoP+v6W1GbguLAPbmcNvwj77nrXFrJ4HYTtIUe50tfjRJ9whe
4RCGExLwYS53Shi+sPGWu0EeC6cU6l1TYyrw+cw8PkT//Ka0qxEkLM6dqKCP30dXaPXgwz8hK2lc
qnZ21VY+cIAmiHcld1xbfQqj4CIyJu3M5xfHX4KRFbLnJNMp/6h4Qp9m0sFwaB2VINZEhEXFaACQ
GqctDSrpeipqZYO38QY3vNHzBSiHaQxX0QTycpfrdf0cDPO3z1/ESWHh9+9DOxlN2ixVFI36yYE7
xtJgynUSe5GmG55aqUg/PCkw65WN+d2Ag8Vmbu1H9DD4QCTklz8f/3i5/mN4kkYaPRdEyae6RlB0
ct/HDA8PuwBuOX6FXYTEX76pGhv0TQ+I6PMRjxfgP0fkloaJqAbX5WQplNChJ0oKMf0WSuCWuT1e
RwCtoNh4ejip26o3d6pv6n9m3P9Ec9D/sobxJdX3r24t76V9+Y+fOfyZ6eol+/l//nPzE6+U6OVt
Q9DyB/50iWPQvhwMJHLRKlIIsVgtf/qBMGFH1UABelGgsk8uwfw/esQ19S9yfjp5OEPRodwv4qt/
9Ihr4i/Kx5zanDka0SpOv//3v456ZJqTv3/br8evcrxt8uMp0tCnTiMI+RMK1MfbRFbFttmrWA3M
Vlslm3SC5rkezNL4Rv0GUHEIULFxq6BXjbWh1eO90qfWC7/xuPMtnD6dfjZCiH1hp0mOYpAe3aNT
iekfT1T7Ufc7sN9tm9mJa0WLbVoeJAO6nbnH+koxG2yCoGjlS5O09UzCgI5ozGEmfT3blX+ZW9ye
gf214eyECy4MZJa50KvlYbxoW4EaxBKgfwITs6DroffjbdTL9gWXsekK88viRdPj6ldRkk2IpVB+
mXHypd4UWclTYeOv45gTVFLwUaF8hRve+NSyNu7tPAOcFkKCgFAdh0g2jCmIIscfNLBxQ5qB6xuD
rHnhLiZ+QEwRGpycKHtQWj61IwP5GBy/nRFkjeTrfc8KG5h1oq2TRz005kOOt5+xkxRRbSLB6ajV
tCN3AxQdnOyyZINDinRVU4eAJ1nE8Y8wTqTJoT1k2tdGiXGj3Le4hYQD1AuXtyqEqyvtkLpaLVGX
BkgArYccCqxHTbLwoohTwMkrP8cMaw0apLyEx0QpoJQ65VlrckF7vpHWt8TCgbRSG7l4pKe9IVeX
aFDhKqXFEoOrp+SmgRVC5aUWQspEy2RlJdEi+6AWuv09HZcUW6UmEFWabBAvvSRAfQJlsnwvCTF4
g7JuGVsf3qdMxSDOUOEoedvBgYR25ZhZN98YAGJ1Jx+modxaMQASJzCTXFtLQ65scdMaFFKYmIXC
8Jut+ywfuPpKfkwC3gakmThWK6bIo9QZSZtutGmA0eiBqPZVU4IgTfUFkVLlBYQBBDZc8MBul8qW
BrhqPWp2McJCUa1+Fdohd/wa+iJ9v3Gt3FlDa37JIZDscgb+Qld2aMF8zFWcpVTmWBCAIHHNpunv
x6See9ekhsw3t7vM2M9hHnOXRHL/AtJZBkjDJemAjzPN1JNhQWFSLJ9MKfc36r8YMiIuDnGvvTTn
wkhcjU78yVFKXwjHT2kUx5KlAcEFcAtdhRbVuk6PT71Q3eCu4YmdJSEHqybG57wd7adSUiT0ju3i
xGc1Gtop3556/nc6TGv8LOzv9dzyk6quAyVDFfMS2pXQ3UjE8rbNsMxYDTE6B0c1xgEEMyS1cAWB
b/oFBTZ6gguKWIjGhMViMcbaZRcadqS7Nr411Cvkqv4lAgv9XlxIGv1/egICuC+IqXFHkGBAdPhe
PpgZXtCuqo0xOFRbA9XJDbr+1uRR+ivtB+k5I5GmOkNd+j9bsEYI57NmuNJ7ZY69tET7At2NPlxQ
xvAjYP3UsBv8SIQPVmIrIDzVysBrcAxp58NPsOvcJBJIEu00xgCmmbVYp53PmmV3EjkA4WSZPJjb
xY25h9heKY7WhvhlqAl8VKfUAIVudFuab6xxGiK30sOM5IjVZtiqGmVXo3eRct+D0WbKOzAWQ7xp
I/CgbplC/1gXmAiC1MOzEPeyeDbULXYYUMEKPFZxSQ60Ol3VKLFJmmsLWHsuB6leh3NMtcSv8PxY
4z+oPRY6bkz4r4zRN6st7B+FL3ePnF1gMeFDNP2GVplAWeNe136FjmdEbpz2ibHtylaBwTdxX1jj
9GMO63wSQcnOAz73lV9n7IAIZRE9ekajPY+21g0OD959Cc0kwOCglHowOEU3q5sgnQX+h3XIDJGk
STduYE9oPtSRmVJVTioPe9+hGUhKZk36Q4oNQEgmJYw4A9cELvzWjtWRXbjqYlI9hZklC4Zom6N5
dHQfF9h6JomckBbn+yF3dgIda03YoptoLDQK+vllPCgaOhV/p/PtrSg/WMV0YyvqyoY/UUUCzGLW
XWEg4hms46zs8WKUX0Hl3co4CIEwE/sEEAEevJHn+wMyP3wqYDYBIcgPoEXZBCALqfZ8DSLEQqBa
HppafySL9AO62t2I07GGaK8XyosIbvq2uoTunVKh3qpNCBWXoJsiFgBT1kNOOiG9HqNplVXhY91z
SWr1qtqa9fC1y30BYyIat1i5dfhTfekzib2Nuha2w5cY3CtgwfSVXLHDdK8WOSu37xEM2oyWysEm
rgfY1b61t9X4QQe+sG5TGRRjnHqKn60ljFiGRAXyliDtV6d9NJfJHhcXaW9l3dcg4Zasa9gTFgM8
7mSrFBlLdap3STAhNMitbR1k69TqvzSi2/WGvbdFyeYTBxTmvs89/Nh8MKcdf/4BW8eHJl7AIbl2
lybRvjfDAwSxiwR0OXrOmZ4Gedr0FUQQzBmydRlguJKOr7oU56sMT3Ab8K7Adkavm285gXmesVLr
diVpyjqktJWM8yEu5X2ai8OAfSM0Z4F0V7umUYFZw5Yj49AY+A0qUMuqHmuklRnahcKwV5WcbrtY
2cqT9a1sALQbc1ijzLOSb7OsuTLGOY0CZjdS8SK2sks2I5RXI+5T4RijDp2HxA1z8c0ssHloxRLJ
pO0rdtBf6iqz3I7V6Haz7JkY/FVF9RUPokf2U5eWwHAn5cptP8jgDNuCTSDCklyrNBMJhTzdVWZx
qKr0RUnDB7yCrVeoquIrIP91ByvLWSABYOJE50jWeNkMMnZ3duhClh5v+5CfWbKAVkVXDXD7JEU7
ZF39amlSjN1wLy4HIaiZj49amebMauMnw3mxlVyF8HkWc2wdsbzuE6Nl4jIWwKpDn6It8YYH9u0H
uDAvL4fVnM7+Xinr8o62LWITZXYxFd5LyY0WDyFZhS8xMJqGXu/IATg6keXrtaeu7ueLOQm8BAts
atsdWYvpVkFzDiQQxa5SO7D+gcKgXcnycoO0tQYluDM09QomGlr2dlenuc2bj77PEXXMxXLK59wY
A5xF9V07GTcm/plEGNFijQJlR71T9ByMPmQTwKerUMNUNCxnsvclbdZTYoWOXC3YmMJXkM1m27aT
HRBclzjcHpLEuFFE9gV/SsBEyUpnS0VzfaNw0Oh2DRlWNDDHk63NtVK2MZuZvNBKHDV9DhNlDab+
nijjEUcPxw5f89K60NLbaLqSOjr38uKum9S9gbDA0fsXokDJjbBQwboJj7p5uOmCb2kauaao137d
rjv7h4TxOc7DK2CY/mVa6wdsRta4MODBNfkONbVBoJPPNbGiXEF1ZAGNcsiQ1JuV2cnrbiuCZgV/
EcOdZShM2559u7jBKVsWG1+dybGTkcbEhwrzkFzrPYe0beDu5rMzK/NrUk2YBiX0z6KSBF9UE43I
NOvgD7cuhhLjsrkjRgZvbxvZ1aA3h3ysc9IlbCdN9Eh/fg0nlsC2GBKbZozqhdi639rFy6hIJd6O
8mSjPG6zECA3H2gXzLL5Q03bazHgAsu9oMWkO5RkBCljY8n5uki6mvSCkSXPtpxgxhobqRWv6wLj
mwjSQYg23qBHrMVlAXV/zFnQlF10pfVDA0kjihDfYa+rvdZ6nL0ILZv6FaU1v1zhEGPUDliBbHR9
nd5ER8tzBJfYJIitbvTyAn8xOBJbhDyoAPzmUFrYcS4GcOqeG0z3k3eb9DvFwCjeW8hxNJaXlnEb
BwBxUio9wJzluvxSg2sk9LQgmjvjGOTfoGICAoKhI6Jrg5LoDTZdIUKLtNfuSgXLGLTnUGkwHcqQ
qMfTWP5gacn4fdRpLa+zfnHk6vKOYvxo8WD0a7awx2EN+bfDoDSNCwNnuqY62LerTNS27o1tNg5Y
io6y5U0j5vMOzpv8ghn13XQvl4bGsWgpS2Rpp4qxx2ZOehjmgtKiVE/VIZkMWL3NZP4QCBjpsC8B
5jqjFM/ff9+u/3+e4T+X2/cneYbwJT/OMvB//5NlEH8JdMIq4oelWYIGTOWfWQZJ/UvRLbo0kPOS
HqW7ikTgP1F0/LFFriDzr9+0Ev7UP9MMfy31Keqd1KdIXS3K45O0wmdpBmreR2kGaj6qkPkPiiMm
tW3qJykpHaNZ+LMvYUmo4IQ09XFkFBDiYoEZzn1dKdJFxsUfBCw7Fp7SjdxjZknYww49FSV5dBVz
wLbiUoVeVVaflESK422NzVS1B5oYS24MW5aesalKMKbwo0K98bNK7/eNNNsEcFncjQgk2ijOD008
jsnFFEzcW/IqSfqD39N25pVG13pRWCxHt13y0zCtQb+TGqy+vRrojTvyT9qvkmmK2zA00GCwwfxU
DILYC2lqO2znqjFEKzS21UMSq5wkVCrM9oC/UZls57hs9JcUPyb5ChqrwhXX7sHcGQEhvjcKtYP4
roj+l1XLEKsAavbyroijRt12Pi/GMwvSfWie/h9757HeOJZu2Vepr+fIhj/A5A7oSZESKRMyE3wy
IXjgAOfAPn0vZmXWzczbVX2rRz3oWUaEUoII95u996Jm3PkR45Q6TMBqCQwDWyl68qxJK8DhC12h
VbuMzVjMno2MZabMXYoqLu7940g6reKFE3k/CaQ1bjyv8u2FUTiTv3SAqpAibgJuD9T10TIrSx5Q
12eYmyQu5Z2XU6+t+y5p3mY/Ld+v0GZ0hEHjb2PwJyRdxlN5H87DTCwVGasG+AA3f6LCzn66MUlk
SJ5lSjpqUF6EkB3OHuotSmXTS9rjiIQOPkE1RT+7JmoYOCjfeDIinUCDKQJGUSFlE9eNXQhvmyBG
9XjtRu0Wc11ubYhJYqHpa1d/uJkboRMjIvDBxHeHki21I+IwYGny2IZqUa5nmKsRucLsdxZwklEP
MQvBCE7z9aFLB5HazHnRSzs08tdprss3KQyiWhpHI8Zs0slZMryFnFkR20b0XwycEWcPksjKsIY9
xG/8Fk7luR2Wzsq4s/F7G8sxTRMi8LiyboY8TjGdmEma7HPCbSkw+45DzWAAtQug0IZNU173FH0a
qsJyziuA8DEA0vM8h9mHw9tL7WPXEj97sn5mkG1sWvxoql5ax+/U2iCVuqQTxL+2HpNmuJHA6z9K
UWfOWldpfSGjNgNMMHnpz45A5lsnaOOCYClopksbaxAK455g4BVKo/LL0CIhq3ESvHvTokTy5ziD
wHHn5uMCzrhKllFOG3pD5r71XHiiuK1dB4u7ttyxWrZx1eGZirr8QbbK66FI+LWk54pu/N5TH85Q
52Tm5G70Ymbx4AOcInub/HZmVctBt863aSpS6wIITBSOs5syhmNUCgbdJ6t6S8nXfqVhn3N0gGrH
hZrgvSz7XGuMlZGKJR69Lv6GjIPOKKYgRzRHGggHYqrmGEVwn7YxPV6yHwgFgeHDzopTEocgBsPc
Drnd2r59mKHLaThSyg42IEVJPGy0j9/KzfEpMXiAT59VLAJbNydGv9UygNTVutgvIRxTG5FnfrDc
ofqO4pQoQyOv7C82ZhlYnkQM31iAh++kMZVAfmjUwwrBzzXarwqslyB3xQuA3qsMN7cCAvva3iO6
VhRvTDrrs1+3I4nOg5V9p6TDpZtotsP3ydc44URZJeRnsjo9+XEU/3SUK8f7iGpCLiBqky5tOF4J
aNmc53UXjyzhDU7L3s67fN+WrSQ0eGDi8UYLYFwkY8XpR0zO5Es70WGu5h6CYlkRSrck1gUIRgwO
0WHUEibptghH0HdVKf32XrONnl6LPsqbQ+CYYs9TA2ypR3fiA524+hgZjkAwiuyguHVEZwoq3Cj4
zolhpLPoNKAbqWfnZFGB9NsgT8MPyx6CahP7CTO3sB3aO0uG5HG3MBY3USLZbnN8zoLLMeGZRgi+
ICizRkECTF6fgzmK0Zd4syLs29OTXuagJHBLeHkwkiEFE3sFk8F/pMciGYr2PiYAKBoQOY5Re18Z
AFoXc9t48xqzNuO8uYAdSrL4CE0nJUQOVfTMhDPzFC1WGpgCmWhFdDHEE5vaPQNW+ZgFIg+XASAx
AgKVBWraixgscd7rY+cHYFNaXTZfvAzwcaSWR7iUV2dAnrwYe9kSXIs3b4irnbo1fg/SEbUUYK9p
3hMfqlgdcUdDniRLxFKZeLEDGG8fbCYMfQInMCT7mOtz2CtZz9xudUloNNASnzFB1bg/GiJHISox
Z8GS7E79s7BHxH4J+e3EfFsWEZKFKbNPf0gJm1xENrfbsY9GZf0Y8zKzlyMOE28Bv8yZL7KForoC
1Ok2AKx6/TxTwQ5boqzJW1j4ocdKTBgD0lpyHvojAE8ey/jnkjdmxmigC0val1gP0/cY5GW7dJOS
3B5WEU35FmN73TF3TrvbipFA/jJyWM5jgacp56pADbGqvLEjyDEOnJ+NHL0FLgZ/Syp2dvEh2WJn
HbwOHHXuHsvnSjvIe0VlESYuSEBZOFwS6bHlmSuvViHCZmjRyTlkHj1+Rww0sVP+ygS2QRUWi44y
K9wHKrtW31WUPANPLD4UXAqzSIw3BrvVudWtkLsGqjJ29EYaRwMOOHmjTV+9SH7SXCPYiZE7rCzU
DcN3Zs/Ta+hcpdUxU9Pt0Lj+MUbOzf6yClO2vG4b/eaP+v9V9/+4ylH+edW9fC8/6q8/r/eu/8dv
hbcpfvFR5l9lYyTz+dfF39/XeyS6/oKT7FqWIxgkE4ni+ve62/3lmuWIe+cqiWL/x8r49who8xck
QEhXPLJwKNfFv7Xes/+8iifg7+phuUZA8xzF1/Zf4hRICZuzsdc7huLxnq0DcqmE5k+Us3fTyH44
V0D39iIfih1YFu9GZHVwYVwZPIxRhsmhG4pzY8T2GgOm+oQ9gXZeTIzXtSKKAL5Ltm7C1rv0xHOs
4rF/nOkrNh0ol/0fPvTz3yUWf9xU2n9eo//6q6CMuu5L6WeIRrr++x80RF3PJiVtwNs1YZ9+OS3x
D0BK670zdJjAikGvixQQYM3y8Mbht2Y0Hvlrk9r94jlzuh0n07plHlrfBqWzc3nY7aSt5GuSaWud
Rsa8bZ00xdBfQU916vZ1UObwGYxeugXBU+8JMRwvZlen/4ecjV/Tvv5TUvL3XwzpPKeJS8hBPfGX
X6ytG8od0e5aQS5gBG/z3ZzyESCvVe9QTtT7yDbbrRmRap0OjFkyJD8HGVv+wedpu+2yuJOrf/1p
/9cPm7Uz1wvZZB7BN38VwBUmk9ExsdROXH9CG4bZKo7kNT9vsDez3xksT6pk+2//UITS6MvpD1lZ
mn9ZRWu767QwpN6VnOjXlOkPXcFsWWiYdOOf86nqoAoQnLP493+uf01kYh9Ak/zXRLgog54FCUzv
mrq48mPm+jAY9VM2tlwdcLPekKVf/vWPRH1C2/0HvVLguhjLaIXprdGPkexyvXX/cD37snCrcCad
RFQjhqlctUDAY/MwpYn+6nTmfAoe4q9DVMMqqcxom/S2fGxbNzma4ej6q1Kb08KxBrfbDp3yn4yA
dg1KETUoHqGw3UrJKV5ByEiDpx7CxdKL0xECuQmOSatPYoTGm4omFoAfykZv9ttdM4qo2CgUgPh1
kDIPPV7btpi2Kalqj5ELrMTJ9PBGvVPDnI7Fe5GTeiBZqualGzO6VHb8Q4uKcbhb9t7RZuT5aGpC
aXPqYOi6EMYUy3Ip1wqo8yEp5+ufnZjNq1MHrG7jLGXv0aOVr3me3SCTKN6565hDS9I6cCD0eq+p
84xdMfXDm2HnylsFptuivCtFc19ZZfVO68Tgkw9wZH9W+TSPhIqld2GvyXXsRn0XdjAXDMls3+dC
vrkaAzYqw1U0xeAYo3K01+BjxGHivX1jJnM3wXlxPBwD2re/atGAgq6KdqcS8G5rSScPOaJ9zs32
xW3QWcD5IgWY/aMsL00wJc8RWIjHwlbBTd06kB0zp4AJq7hznYQ4HewQyYWmeiC6vZ6EAqpOgi+j
+uXQ5H1FXEP1U9mFPLlJU2ynQaDn6Tj/bNRs1pOVvmOSG9GDBtfwKF1nGkqkV0fLMbe8Q5xk0Vcj
M/cxMkpQL6VHDOlILphIrjbcws+PmXAJiNFxkS26xMofwbpi+g4V0dZ2FLBzE5XzZunUPg6uvcpJ
RQKIE4v13Brn3jf1ThvdfErHeFv1wjtXntYkdfTTwYaXuIhrdTDG5GPK/SNgva/QNxKiK4o7x+HB
y1IzXzMHsWB69fW9CXluQxn+qeqZXA/E8KvOHh4cL2mwuSBZZHfYM3qf8uqRLiR+yPins+WoZje2
QX9C5UCfINPEXoazRuol2YKJ0q0JnkkiQp4auOebNo+mi5vZ7m3EZOiMg0rBCur0o58YIlgLTgbd
UlkTYh5L7sEZdQBnI5yifdz57KBgQy9RFdgrZB2svzyyKnfeOBsPYjadjzELjZ2BF+YcK2O4axmx
nYDhEK4JP3bRxXLaAoWrIY0bVnauSITc2EDX7/yBUY6XVF9RbyQrO0+idc4T4m5ypfFWYWHB+IW6
ICBvfMcgzFSrcZp+CjVhNuvytxTZDFPqs470HoIoKE7hPjdmc4eU/oc94ooaw77Dx+cnj2XRNoes
ajR5E9PS5Yd+kmoV7uCMmozWIODECwn07WdfxM1d1wkCxD36pxNtDb2eJVq5czqiQ6KKAJ8gCxaV
Sg9Txe4Io8KmkNU5s4SztwKDgAuyBMcHn7ZxPTaKu0f1V7zu7G1sOyteyHFPUVJwb5K+4kOEARpg
VeGiLSEKLG3IrKveGZxi1dpjpZkSXm0f7PuhP1TJrqrz8T6JaHJtMCq0PKJdCrMrVhCVo2OWBqwU
WjfEaxT5zpEE8/l5tDJ/qVxgcmNrnnsvKP1dr0g9GugvD3pIboj+JuPLatgPGelV0jLj7OutTF9U
ipzeDKL4jmYUZE48HsbKe6rseDw7s3G0jdbdXPlFd4PZjAdXVB+6fwHsw1rQchmUp/AwArdOv+Pc
eFSl42ypDeAMZzSQgpCyJTgNtYobeScH9u5zU3uPDpjktdsRQ2xX820AmXZpgY/c2L1Vbi3eWp9T
XZd3KKiYkBBcxsQjYlwEBryYELCbXpU9cuFCMqf427ETICZoshp9mwdzvArbuDUYITrmIXVch20u
VRh2ebgLOe6lVi/M0M/uR37FJxPM0xG0db4DQRkimlCEHSXihueavzC7NFnULEaJWprYAOYtsv7W
KZM1p7J+biLTv0RX3SWzhplQB1swSjHCFv0AzhIv97p9Qvq23UUkT47yMNSTOlo98b3oqdxbENfT
FonQodbzczl1j3CdnJ0zVQdNlApJPSW0uoktLTtN4vKcmEzfK1h1nanUXPoVIiRXGO1a6Xp45V1i
YNSbjH3Y8+5Exz2dDLRZa6e1zzKUJ5goP0CdXEptCL0O2jK5xdAUb0vL9nYJ8KsuC637TJnNEkYd
8taG99ay4O1ZKaHjRWdwlkY5ULJ4Rq+IZYqszyJnsQ8DXt0HplHeU7A+tXoEKsjMaYu82LtgoM83
lkD61us2WFeshVZ4JOS+tmV4zPqm3CZk1qEwgaiKoIwEfH45FIgppF6boUy1H4ycrdBrmOF3BFW3
kU7znQ6Bt/IZdVQLy/XYV+mbeBq/uyi95KVx6hqgk64o6H+jIFh6jtF9QDNALQOLfDsFmJmgUpHl
1X0MMjL2fmj0604dwH8MS3CDH3bdw2Xqm2HvGKl/SPzGu+Fxy9Cxs7p10+G6/Y5K3z8zTu4fS96m
q0yH8WKw4ugYB2RSzKzXUJsNOTmjzsUcDP8lw5iHwcynP0k8cxlLnd0WOUSthoyt3uCv8hFLljMh
EZym2NgyJqt2KZgkzCHhGQX6C+rNrZ/M70HRZzeNyzu8d4utKnC1h+iXL2nRMXJG7rNkZIZzM6zZ
oWYiGd50N9hrGTH9mR3xlObtIylFrMHbd2GTB+nM85cc2odqDgghi5HiIbU8NU2t1j0W5AjoxqoJ
arQgBAis+rIFFmZBXrRzUqPa1Ap3cyx2IdOyhdvnyBg9q9wlUos9DPnk3STJBlf9qJZRGBTE7vk/
HCt/5cNlk5/5PwoTteS1RmoDFCt5SdwXnHZs+2rQJ0aG7yjvyFAtgW7HqXmf+96TXTK7j6xC3fke
iRjA3Z81IkbGNcmdshAQEu3XMgqR331sbXDtuMtWJwcjkjemmS1j8vMMnyKrCHiL2nvl4/U1vUMW
pC+mWV1al9RyObPiEWKAZjIh6nCGEFWlXlhGEvAZxN5y9utVKqePya83iU/skTCpOQf9HPTTiUza
g8udvu2qRByjIvZ3donnFFgZi32dH8PcgYDt1+FbpsIH7JXNy1gA76vFa2vI54wJ2y5pVXixQ/QD
fmwg+rN+WH4CxdJAFNKn7lNtjnD4yERhnZyARwKau3Rz0101qsTTTmTpPuwQq4BL89d1EI8/IohI
TOjjpeVBALei6zjR4sIWgmEUurdBhl9dQqId2wkmS/YHOwPzxnDC/DYKKnsbinFvBvF8ylqrYBsu
xwlK4hgfWrQ0O3/K72ra8Zt+Gt2Lp6071v3ZNpnSh5CKfjFr4d5LTv6+S41ma+t5D2jknEYfIk+H
FXfAJq/zaBVDlVklZhSvgoA2wAsqLrE5nS5GK3uGn3myMjXuyDEWy4GOOTSNQ9U5em+zR+fFeipG
NS0Nyzl0QYpvWn66he08xhEF0YAA6pz3V0asqs/JWC95sSxRqqbvxJ3ExGlzFzZT+NDRcKyrvk13
tZelb35gcf+27UqSGVotq9aKtg2DuzC5aZMfmp4h9pJtYYxaLVXQhOve72/npAvIg2kpC+WmGpCT
V2drmE+MTFJCXbz20GVJsawTTejbOPrHmrVWnfvbAZrQg230IRemheCrDdeMnln+uMiGtWEkydYs
SRP2EivekPE9vCMxdTkqTayBL4xbhF+okSZr74/TGt0QRc1QhQ9UFMNa5SQiMlm8r8LW6Djnef1a
2arcyhLL+ZXxmC1YDsz7zPYZs8bWQ4405updzBbNaP1g+rAchbmxId+gJDE/u8E5iDEtXoCk3KTh
4O9Sh9tdUcNUZtF9tWG3F9NWVE9WkOziCJjmtHIbNIq8eV0yMqdbGY+wR0vPX7ZOS5j+5O6bnBLO
2GZ1gUEuk2cH8U0f+vLQzixa1NPY1lvAzNnS6J+mEErobB96z+cdKZJHI9PBRoKt9xoYnIQAwhNl
TD4OM9RiJ2EhFTcEPeTFYGyKGpvrwh4QGMdkny0Rf9b0CU1515dusZyS/lZl99HAYw+kVZ+MrP5A
UYdIHYvP2oRy1Xv0SM7DEDY/Zoc9UXDIiio7DXF6l+h7m3ykbnyXLr8ImZojMb8xgdTWgypGqrXp
RlqE/tXJtIDiSRADeT+x+YNnZ7sc0PNlPqfD2+mw3NPMstx7agQRQIkfU/oG5yh96vP2Gg/o7v2u
vQdedXDLdm+E/dYCjgbUC1fX89yKes+q7z12k1vfPdTExK0D+eaPprULnFeZed6ib/Ot755Hs97Z
XJ1fqlPquS8r/zaKo71LeslSz/kKEah8wOf4wOMPzU+VkJQpojjI14QqQ3wm+JRmQ7NdijtRAvex
cx4MITOruSdEI8klNEGx6DKcmyJUND5oPTwhxqeCBIzZrWvsudnKHIeQ+KqA3aphN/PCxnBEu2Q4
Ry+MxMXg0bZAvJJAY2pgvGmrloAE4uQrcKtilU2WsU8iDWq9IkRt9tkJ9fVIxIzvkjM5xvYKJzAk
GpvadyxHvQSox25DmBfi/Ya7yjWDu7hBO5km4J8HZHlRzKlw5mrYZsKJVrp7UrNCCA4eaYFkHQYm
3cbrYMYpt/MUXB3rVv8CkITsDbZDD+X40rC3ejXrZHhsfCqFqLOYQbmtvkinl9TFCUE2GVppQ+mC
nDBELEuRu84eQot5M1QG0SNddOckA0WiRcbRPdIBclJrdbRpDS/c+u0KNBiIZROl3OQlej/URnxq
ZllsHMHmwS7nhzIcsv00p/OlDOjYF4nn2e/k3V91zj2KK1qvgYiU1rA/UwYQHmvb06DTLXBLVs9J
GLNd9q4QCjwPw76MmurBNDv/YBsTnF4/n3hlIBVTpGLtuH3ipYjUqRyneNU6VnsWM+mSVu6g3rEd
nhiBmQGTc8MbO7LzHW6/PRop6+h6rBM6MctLanCQrtEjBdSmTy6eSMf+XZPlsYVRRHfjZx4NMlgW
mLBIgXPVvIGtdYFkwIqInCk+Ol7sr1NPdj8nwgw+bdmPy2HqC2o+DcxqmViVe2yCOJ8XVl9hzjWm
4WzGVvY0unbqL21rohSwayt4SWsLNzW9Sn5G8NsuaF3ks13P5uNUWoTMZoDIbh3bKM+p7ZfvYVXN
KxPY1WJ2DPec5mZxiGuKPa8UIrrNK8dAMDkDOkYCOCgI3caDrPLhRiiijvK2HsNdNMne3NSNF+Ur
tooUHvVEz9SV9r6LomBVlOmHaLVYcT32t5ljPwunFe8lfT5hrrn70zRLiTYUlcUto1wUBZ3RV4BB
G6u/zkAH3nuFx/PGdMv3gsESWN9hI3pMDdLJa3tp8nG82aUBwqu+JjmlM21CKYeHth5eYHriCvGq
ZeIQ4roIurZbzlaOhLmW43MaVPEJiDJEss5+xD7obOqkLZ4jh2QH5pJrPv4fsRNf2RFE80UugaFR
392U5pztCkn3Tr3u7VHERMW+ZGm5ES4qdI9F/Q695sUflcm2tLQuc6Z+dOS63FLRTpfWCjMkkkZ+
39P/bVDtFrdz5oTbJkzECQPDDQR6d9Gzwt5f2/GVN83uHRfptE78lP1XYszxOUzy8BY2OnYYQbZb
4nofnEWWpwK4qeMm1rJpi77HISPyW6O1na1Fcu2t+FVdYvN8XFhD0tgrIOrLpp/yU6K12jlpx76M
/KV7wyjcZ94DzQPOkGjJK4Mh9aScON72gw1T3jcJ2VjURpZ8TaGpAih07nCUYZjf0bsTtBkE7s9x
MIcHlL3qgIpCI9YxBFtPdrxu2gQ7A5Ly0TSC6H4YInG08tzZgJ7waJSj8rHmKQvmj2kf8sj8VM6z
VS7MkXqtCgRDSd42RbNVKpv2mTuPX7PrwYPuGfUu4mwo39KISr+viOYx5iT/kfexfvp1oo88Wj81
BDHthyRsn3WcoKR1iYCvydO79UazS1ZwsesVMwHvxnBNAxfH1L9GY57eYBICMOQXJx2U8rWbtXXr
yx7ZCIyVaFnMpfcc1EW7cgfDOEejUcKa6+UrWsfgREMtsxVqQA00upjaNSe6RjtU6vkTNQPz+MiG
paTmMUC7EnjnZkTJjcS3WjeWZPajI+vUpHF1kwSWz7wpc98UyvRTn6DoNpWDhDDE8fCJDDPaWKW2
nojNkK/5FAeXyAimXc5m94hBWSWLKNL9bTgL5glzWzKane0IsK6ea/0UotPdFl5K8JTOTDbHlVtS
0XdJ+BM/kg0hIy6oPBN5eyVgfk5xVC8GON0z95i4B5zL2sTw5XkiK3ULI/FjTFvknUbteDhRJ+cW
lH27iZ06hnWMumw9e4n4tvJiXJNDOFSrJjPrc1la+UlOlMLUCvnH2HInp4r8cKksez8o3/6wGjPe
G4MFg961583oVdatV/ESnsJRvhro1W/NbHTZ7ujudtLQ12MUR08aS8xR1d5dJnTx5BSlPpamngQk
a5O0tc4rgkuR2Ok+arpq6+F2QhjR6HqPbrdcu1FVblI5gEMoJskgmFb/qYMH1KJ0niO2Kp0bnwbH
LZdtabgP+Gisfqs7NS/iqucsB3Yxb73U6XahKhB2Z4P41BPPhQUhIPJVYjuqz6nOtLcw0FBhRQHb
HokQWFauK/kaTzJYj60TvIvQspvFSMuwhdkeBjy7e3/jsh25rbpKP7kjE/JVrCwH1KK29l0y1UtE
6x46bWva+ciBn3ivU8474YBmMM7M06+rmH9rr/1Yc7eWfyUX46r8rOXUpnGi/+OUIrNX9bf+l1+F
FfTqCVV//aLr0fzje6Gc/O3orlbSP/1h/aut9NL9bKf7n6or9O+iy+tX/nf/8Tdz6uMkMad+1nyM
1+8GVLb6o0UV5adPcsA/X3zfKd3W/d9uuupdJWn7t//5j/9M/7ZXxXv19b/5dr9txXG94l4NQs4P
rkTPYfn121bc9X5h8U1YJts2IZxryvPvplf3F49xMFma/LuwbZ9gh9/VqFeoHupRYmnZR8IHsP8d
NSrzyj/t3gSLeifEcOtQiQp8tH9NK2vqwLcZu7dPXp/d59pwT40FF9z3so9ad5JrL01WZdfID67x
cJNXWCS63PVPvi3le26CASUdBFpVUHi3yOvnZWUQc1w5o49PBIy538w/XIclUksqA+twzeYS7+Oq
LGMML6OT7mY2HyzVI/dmCof6aE0jKqkqD8mCq3kIKPcyqdnfDFb+jt5n2pcUFstq5ruVfQad1JfJ
qtboZwT8210pTBIf1aBW+ONgHPR0TIbMJT10BM6sTm5qXQcrCyW/mObi+hB+axT5pOGcpsw0vXYv
guLDmpxLUJVHfGpf5Zx+pALN1PUvwsj8weaJ6Y8qN0E9v6rCwzyQNw9dWBwNkx0eO/d0C1raZCpX
vyXBFK/7Wvd0YFf2DF669ez6OesPzWQsyL9xPB5gGkcHoY15l3r5RzJ14VIl9UMs+hOPjIZqVZPy
Ce0U5wJQ405lH8Jt+8WvD/Ag4fhla2aPjbSKfVqmyV2g56sbp56nmwgd19afekowtz5XDv6S2M5c
hiUiQGnESWrdyDqOiB47TA1bQlXPsnkzQR1hW6ngSVQST1eAvWHgU7j+FR7Zt2Fi3jfFN2TdybWN
tX6BfJbslAb7oNMbn5BriQO1TIiwlj4lE20QY2OxLqkT0Qz6OLzSL8M3Ie62xVtDmutGFNN4IIMs
5dyPpreYtEWxypZy3VNML1XU8ARNTfKQOT3su1okTaQ/yxacLqun78g1Dvl0PcaueKO8IQgxtgpS
EutzM3M+2N12m6JS8k1mIU5Ri+KomR3r6FQlrgwCHG6n66UzOuqE8MJgSdt3xzHquqPwY7dhXVtR
uSo60nveq/KD3X1zSefuRQ7e1k67YDWHzg4t7oe0sIN4Y022qB5v5Vi9qQhRk5uVSyerHhRHmzXq
pTLLs6UYkM/DmGwUHeCa9upDdPnXlHXMHdwiIa3BATnnqPFQ1YW7cSsmOGGC6q1MjEOC8SicuBTs
hN9XV/mXzY6E+NAL3RhvxLLON3WqkIbmJAuTSZje1mapmO1BxcMq4v3oEIIfs0h0IK+RWS6zqTjb
LeOC0WCKHVcP7cR9xvrr25usC6Z3ggO7It1iLvwmoJqxYoKK1LVJ/JK+WW1TgyzHqGQ4i7qcWJ1y
OGVpgkYaExIuz3pXZHy0Iyptyn10FzvG5vUqMmix/NnTG+TYPvvX+TR4XDOjx/kEU+5sCgYEfBba
OsoxJcjBVuRFKqVQpCIpk56K13V4VUTHjsfYAxaGmfMNPNi0DJ8zRpwz1sAqaV70yAOhmwiqlGak
tk1Nx49L7dNJ0dBHRvpNJtDWk2iYLeLbSjdli9033lnwWCRdw9n7VQkzUM3VNoz5ALqgUCs75ic2
hM6tTGP+wSfpryHbnIrMdLEF5tiM3IkZmIf7yFTJV58Op7HMv4MRXkuRXWENbqmWbhPhpk45NCIx
yuWQaVgtsT1CaIGg7tjtSx7EH61tvgdmX6wMp0m3lY9wokFNvLG4uReU1Tz4XFquAAcRUVo9T9qq
t9d1SkprFtTmiqaiOXRmRvafU8k7+O8swsaoeenqhJlOIKsjKT7th6z9Dt0mbmPaqdOv142nmR9z
s1FmBdxSYTvbCHfbaWcipmSeOqU7ylfU/mkKDsLt/i+KlP9eBfJPv+r/wRKENAo0if+yCHlMy7o1
jj+V/vnHauMf/+dv9YYtfrlGqVukzQRXPR0aqt/qDdv9BcuLRxIiyUCI8DCm/FZvGMEvjg00IER/
iy3FRITzj4LDCH9x+VpSPR2MMeSXEdvxeyn2m1jtX/lf/h5x9p8iL7I1XII2+I42FQwH+dc0Hhev
XNk7Ut50Yz89BxUDq0XKBfxdFJ3P7cnrbcX0DJ9ibAPxmWIYWKPBmzOTvBRTyTxZYtJcR7z/9nPd
Js9mxE4KgZ4KN1UdmC/jECVfg6vVI1L16Ls3JsY4wk+ytSUrrJ6SEQbZs4STnnXWRofUH3ivmK3d
7onCmFFN1BxTGarkXAsB2aYS/ifQvfK2Y/ywLF0XhbstCoYnjDsw0C8gmbdo64pxSdP72Q4dj1Kv
S4xHiCb1uzdwFGAmJV8tkR8vG6dmpMk9zt9MLKcZW0zOfDcAmf1KyRT6+euxqEjkEQtjLwnIt6aM
IZpjvkwe/zWOfXpBemM8Nmo0931Y5FfdQee46yjubAT3V3eJl6fziYDU+jgzGMVn3PbJl8kGkrU0
oQPIa7z4xZGUIqywgxW2ChPDXqOYk1Zzc8r6TBlLF131JhubpTETWUvCaWrfz3mLylbp8lGXtnwl
czZ6tUaL7i/ojCu+3kdXfrYjOZ8Cd4gOYWaBDMZMAjvBgzEDnJ1H0HXYi8wpXPiyHg9oncp20VdV
82zZqHUMZUePehSlXuFmIDC4jck5t/qOrZ7Z5PcenkyHvNTe/RH1ZXIechvJ2tw6jHqFO6pnWQbe
G5ZosVOSM52MvXq0mKE+I7ePd2JW4Z45Q7Vmo+jsYQdRfv0v9s5jOXIsy7a/Uj+AMmgx6QEcwiW1
nriRjCA0HFp9/VtgVmYyvMLpr2rUg7aelFlnEHDg4opz9l67HpAUtPpdgWvvRdN79Uc0xrQvx0ip
gUlqnijPpVdFHC6GPpy8+UR9aeRsjLR2EujXmtmVSmX2h5mM2koSe/mZmLPkahja/XPfJjQp9ZFN
X2CwXKiSOG6CPe0FSeq8KdTCiyGKzd2Ud4enIWjEp5JC130UZPqViOPRrmAikvClJg9QTdEm7UXB
NY2+W7QiRvADrm+UOBlgM8E0fZWaxaqM0ceMAmZEa6igceT5ZYTvCiNLl7sAu5TXsDOJ36HETRm8
Zg2oa76HHKwFxqkEB7u0p3KiW/R0xFQYd1qBpT9L2uBlMoXe76sRTRQICk9WJlJ2pirZtUqQ7BS2
cNephC96xH1mSxOFX5WaL+5+RBSl3mqbIGJhq7Pa3H06o8Q4J+oOHdui6438Vt8fCm+UW/KuWqO6
CmVNcLMIsHuuVk/WvKpFkzXuFDpNH6mVDxd6M4a7PYkzP/Z6xG6XRiC7D6AdURIluxSBFPY5RX1I
xwiZziToqUe0Z0AjN0VOwDa6agn2E6vDMgzq4aKU+EylfTeEi6RvKdoawWBiEW4MwsOw4bANSdQf
Fv0f14RGsjZodDr5IEGeh+wGFWbc6VNDg7nvKVhTfKvzVRfccL5GfpF7s9mKPRgMcLocbNrSDJ8c
YvU0dbqCP0vraGPqPwzpMgmQQDX06dtlpBPUFW3i6VUARIOBD+Z3Gd/Eis+Zvo6plO7vtQgGi8w2
blvWy3wwbI4iC2u/IEcir17z4b5UcnfIVvLhMh7exjRcxr0bR5uumGwIbU7XX3fyxoouQL4MTEuF
nRbbPI5cUxheB92rAlwWFvQNPqEmumwJomi8YOwwQrfdxaE4OGGChHgRA+BPMi9MidbZGEZ9E7wV
xlJql83hRumdfE5StFZgaFTxKsk1jPpOlHl7692UlzGTc5vCbsHNUOxXEb8saCn4ve5LjB9UUEPL
8Cp5YyIlrN6wl0vK4O/ZEhfdKpj70bTKsVRKJFW2fqu2P4a4vmuwL7H8cWQc7LjX1l2pbJJUf9Wx
2MvJTaR9DMOBVMWWLK8IytONCQsiPLQvFSnyKx1rCNSTRIZP0fcizMaweVRmYzR230UKjL+wlDWR
I1thri/KpIHltFkhpAh3odihi1IwaGFsZHto54nqWKbg0k1FL1bdKZHm1qV+jWxOQN9bv8sGTsEJ
hU80PvZNg7ldf8hkU+S/Hp4srdu26eTULHlyDMTZjNSdQRcdGsKIz1BWPqa+fxJz+V0Bvp1oN7lu
PieaRTFJuStI6FUi86GMUFZXdl3umEGI2uP0nLft5bjHgZnv5qdo9I2tNSSk9MNS7stNOWEXakjO
EuAMNOxhpbxbJ+llR48oo91j7rNlDZ+2BLamQVo2WLVCOLyWsJJyBtsyLX8WCKu6/G2vtN4QKttA
0NYFSgsTa3U6SKzoa01aMUim1k+6jHSDtyKKnLTZv++FZFvkRNc1hx+hNrpjqrtT/xZx2h6inSHn
yyG7nQJvyqn6vpGlTgXjhtLmYYQyYz7TYvQlCKIkOih2OEEr2A/VuNWmPl/3kcwvM2RqvDRQyPDb
m1iwymppgBThmeMPzKkuXJRWdl3Rj9wTONYcFC+S4108WW+yni/K9jkTI8BVaHF7CVFTTLHFDXLj
Nm0JAtm/xdmaaj3U5IjG/2i+KcadWDlyVvgmkXy918XvVVVsI/rFyh1tXxOuTP6U1TsUDO6I9bfO
gsuyXZv7LaNwaaGLeYujalGZvln4Tf4RGhIF/sKp+jXGsjZNsO16qRKvdJNVNzB/aI1GvFtiG8FK
ih8y7QkdX6+tsFSx08k2ZAVGyrYRgIYoCK6c+SwFgkKtF4J2EF+sWByfM53OK71pLd8WCGzTxtWm
x4jm1YHGabkIx6uKog2CUd1yCKbwjUBz1eEyQAswu++b1qEqb+fSk7B3h5/C/qM9rKb9R9k86pAg
xbey3bTlXaQ+cALvpmXYVYswJMGFji3H1eYuF5+U+1G64gAEvXGl8Mfa9M7ELpytxRpcrx0XtHxu
xvSuEUnNEZyC16aSBAIatPH76aeV0CNwsgM9LjfVfu5jdJBIwAZpKaPo43+yPi1EPMpCuY2VkuIV
27QQh7Vm4+i1M+47RtDksLqpMqoSsV0oiCEGzm7Ws4KA3XDZbMI4umiGdcdUNcleN611KO/IKLFh
uI3c2wVm0Gw3MeVW5lZsP/r2oeMLEmo/O6yr7jkrl1K6hBPEdoYoBXxgfdUviFBaCCmntMzJq7nO
ZfiCMMs6qGq0ZCatRZ0kGtSYpeGb3CxqQZa1O626SgJzYZYN0SBoW4G+ZXF+kcwukWob9QOcE0y5
qLFsWCYGtpVDbouFK6Xh9WR+dAYKJiJYSewr4LrwIzjkx6tWigl+uSBFj2GWB7Abk8uU/Vg/yXbf
549ieUsemU0OMiyUw4IwlANJ2VbnCjlxQDyYkRFKFPvQXqYwjvbCtZ685NO1RXsAex9VAVvtP9Li
HiWxPOk0MZaivpPD1zJ+QdzotudQufTVfqmEfp5LOIOBCCVFDUDlfDz66kLQpLAIFIm80QFyVGxD
D0qdGUiYIrgqGVsUlcfCzuUmR8KMwIU1S+xeyqiyFpqI7gbLPdQjlPHLQ07LvpAt0zcwwj8h/emp
iTQdi1QqPybMJUUvcoYWdPmWv4w5c4Rwdqmn0uGSdke1bPJaXYf04xxExVCdq3j0qw4TEjKdblNw
2HYo6b6YDa1TeV1kfIPTvFkLo0XVNyTR6BeGlOGPHG7JumcuZsoegU1jx6dtQ4vv/sCzPxg4MFuj
KNaBNGzzMEFT2O1h0tGKHepuqWQkcoAIE8hRTeUPOGuNn+k5sDy5nfqLsEA2J04rg/5wMH/lOyFr
d/rB1ceXUbyXix9yogy2ZO6a7AYj/GasVKRAMm8ygSZIG91lPtQITpXDO9zJdldcpmm+k6vAVfKO
Gc8P6n7RNhX0gzxeWawhurUPvS6/b3gTqEontxmZEq+npv4xRReKKlyN6muGYIFP7ZoOGe3dNl8J
4fgo9b1XwymbB1Pb6X6XQF4WGUhls5lM41aqFTudFBvUEqHgdwcilrtp/wKrYKMMN1L5oU8PErI9
43C/Nz3RYAMK5PSM/UaaDU5/n41JLjUl8KiGItEM4mQgHtGhJ1GDWaKV3SY2+kcLislCK9JtVbUv
7DenXUJD3CdFI3J7PKXsnQzVYa8hekEBTe7/mkGfLaUzzSCLXsvpTpDfvv74mR7a4pcazPxv/ii/
wFb4pyhK2B9Be8xGw/kV/1F/mf9fJmUXqOYivGSaLn83fCSaRGRvKqJKzrQ2/7O/6i+S9k+ylrBN
kvUlmtKcyv0flF+4sS8DDI4qKCKFUEFSMbgQVPBfJzm9wPM1Kkz4Qyaxe2Ybd1CbyOmHGq0CWVpf
ns2/ij9fnYpHGdZ/XI7jK9wURrShHTu7KjwHhyxBSVztVXQZlmbS9let/iWgv76e+hpDDNgFiWpJ
YIQ/YGIXfJYIfFZiwvHJ1qUIXUZktPJzJafpEmOPcBMnM1zTqhRvkjSyutqm/1HGcb6g+KuCPMpT
3Regda5gvlXzJkT0UvDgrORltJ7GIF+nqYyKRMsKKinkpgFKAHAxZCIpsnWylq0EcWYp+H3YHS5U
Yy9cjEiYcqfB/faeTWPxqS5JrvswnPlWVhdfn3lu83f+9zzwx3PTydGTgDSbvK15nvjiiBP2eywf
E89NGoThbd/FE4Jhodbea7FSFnJp5oAKhs44MK0L6O86NfBkFZG0LeQNLCuqs2KC9w2DtzGI8ATB
QuSOVR+C+5i6yAK+IoecJiWpC6X5RIKUVqJ9juIOSWw3dZIrHXR43dCaY69tLX1NV2dckcBFBmaT
68tBbLSMmlpsbmArFst+VITtoctaD9v4/JfIyf0pTtVdx4LRcPxkhUKZX/0xSdEiDn4efjPAjiDk
nw+KwAMDcI+MzktSjqyw01SlNFosKobDhAi+SyWkvgGwJSEwzc4epbjYamUtsPvXcTW0GmXCwG1C
crPkSJI3uTQMt00vaujSoPp1NbUxMREfhCTD21APqfv9mz3KoPi8YbgSKl+ejHlfUo6cnWlgoJWV
Ub7nOe40bhrqymA9RfjzKFvRSYTyF9kKbS0nj6bGyyZYG2lSdX+U0U8+uV93O/+6D3NmMWO5FJkO
fh1hTapNUaIR0zTBKnU1Ya/QpauNc+9n/jNHA5m/r/MK+LYNytK/XiaOyxLUasw5NAgogmjV4BC7
KTlpwMmibpRhSQ6J7nK/JqrIYL9OagAJ2gGAq5TuD+ee/r9Pf9SxLbIXQD0p9LyPbkfL9rkhHygw
p+pYbmVkwSuULSBRQ62HUxz22bWo7DXZzbOmeAUusB7J+tq0SZVfGnLjK5055V7MXw+Bl+QEh7QV
+Mnvx8ivjuP51SjUyGWY5bpqkKVwNKbhJRlyBWramXpddqDH7yYJU4/ei2jRL2nryn88lv9I93HZ
/aT1Xv38x+61qP/htfmP14Yd7bF646t4438uEZvfNtXPnw3/6Pi//F/YZJEN7cub+Dd4+W2UN/9w
27rhl7f11x7L5z/8c4GX/znDCkTjX6qNeQn9c4FXWPsZYAaOsDlferZt/8k5MP45Z1+x52fssRrO
8cV/cg4MGiyayK6B/4KpzJL+kwX+M5nn6xdHvgGnEpAJ8+pO52YWfHxZOrKIA2icSxJn372xGI09
NNLXgHryMrdaaqIA8FCnKVX0mPYZnF9BBwoZOPQeRSeOh4yCj/ok9WAD95PxFqRB5ldpjeVA5AB/
EBzsdrfyXhF9Je6vDz19lBgQ2edz/88G5HeD69dh+P83dP83Dsh5vTq92bx7jfrXX5RK8vwP/mz0
yYw2unUGOXRzR4+57F+NPraMFquLpSr89+wp+Tf/Goay/k/KBHQa5Xkj+gtNXxZn0D5aICgcxF1D
UvpPhuHROgevXUVUhbjjaIbFK2UKIn6AbbGVLoeteZUt5atEtvVNc38uEXSeCP8e6n9f4+iUBLBC
HChAS1v9ur0IH+zeE56/POff7St+3YD9+adF62h5NtgYCUh2EYRsjZv9tns8bDnkvgUf6sW5K8wf
4r/f/b+ls/S9ZqCRrMVtFXbJVWOMe9cI4sqN26pyG0NrAPNa1bDGVrIcwVOiWo72y74WBy+VMVbZ
can6WUttX+iBRGOgog2gsXSX+yRy5FoxUVxk2nIscSZjFJccs0O4D8gE55Iqs6xgJnHbfubRU9bD
bxv2jsFS5OoF0oO2qkunDXEHSQBNH00pxZfcmMG7JDaHj95K4FkVmrrMyzbDqDkEi04E922BvLRH
LNQhLPWi8nUjA9GciwCeb6gaYz3Bm6ChRYO63WJTNvEsJuQPrqBy45kZsvRKTMX3xtToF6HSiW/l
qNQ8s7XM26BSVL+jkm83Zd/8EA/g3PaxmvlZjNucfOjDUxmbyqamhOrLQIhdYFW4zepUoMiRHfw6
kV+ToRd8gKmR0zW1hAxXz+/GalRdIYj6TWpRfU26A5zgmX8VjLXFJUAkNFlmvhsJShxNTcVFhqdz
0YfAWBPRQOmiaCVAw30PGQBNpqXsg0UWB5J9UCpsIXtJWVFGfM6kqNvFsoCBVcpK/8xI+nWP9fdY
ZUn5OtPHQtvtqwGTg0HbQd1F2I4pms4KqRojg7HR9es+WoFcCgAPf3/N+Zj4u7E77yq/LC7WPtfC
A3jEbaaAkQ3gcCwalptF1Ra0XORS9vd09WlD4kn/7644zwFfrtiqB6NtRz5IfuBSd4gbU3ygC+cq
L/KpD37eMX75+8ZoBOU4f/D4DYD56Dv0/sNVxs8R2jVWqfgmpKVgz85+G9FfgCTcDqN1DhCou/n+
Jx6liv79Io+WbFBKJTA5a9qauLOtoL7riT6gP+2EZYyIEgthZl3kB5hWIpFoiWE8a6oUu2EFnqWa
1MUE/V0zMA8/hjRuSry1KVL/xWQcnnuh2DCjnHn98yz4u9c/j8SvD6shTUTN62mblrWTddc9zi0V
lD1H9Hqj/Wjl5ZknMq8Wv7vQ0Sqim4Gih3Iw4fD2Kw6R7M1T1Oet/WT0NrgjsAV2YrqIOY01DaSI
zGQa1veGcIW8tMpui3Npk6cG/NFSUzf1QZjIr9qqPgqJls6lstWLN0s6uFa/+v7Xziv2737tcfCM
xOlJktJk3OLLdJLNZecJW0xajnaR7LqV5gFxXGDccw6L3hVd0Mu26A2Li9KxfOu69G4zO1+N7i3U
nIt16sp2uzm30krzXPKbFzEzvb6+cVMEnBzX3Jpk+qLoWhbcyF2G3Z8WzeGDXtCkQ7lfExRtR5Jd
vn3/RE7sIpAm/3pZSE95RzjktCUJkopEicB2IPg6w/BUXxzucwrmG908l1F7VH796wM0jyaBuqWn
CX+GD9APliSx2IOdLCzmGWUdeOee5amp5jittQu0NDQtrqL7e799wDG0rReHBbycW+s+X3Zr3KaL
vYuMwRVW8R9b6pPnfenXo+/fv+14ykZMLuJ3m7Yi5epJe43iSzqalYn8wWvCix4Ot6HdYYBU6CK0
YuJQI6FyospnRvd8wvntEDqa3XSDY+a+O0xbki4Bs6QPFEkvOJx7pgb6Ayt9jPXH2lSHlzqwnEOJ
BCxRPZCpfhnquhMDYcWAHWj9irS01xQrBV06VMQJ3ivQf5VjWkS3DNO2GFGl0HwH2k4R1gurzlNA
epf1ymxXQoyJ5MbM72QDam1KO5uQlMNaKB5q8aZFYpAr15H2GCNJCKYHrOu2aF7L3OFB6t2EgPu9
HNxI46XSx/j+AYFE7wQmoUhe7aen1qREI2+k9HAVHwK8P/EmFPZeDylDKaF1mI6poN0MrwK1WQ01
dtDc8KRoFdS7z2IaANihv2G70w+7XqdBthdX2iHiRakjKQm3+iA9Nlb7MnSs5HUPearRLpQ+fCf6
YFcW05mqzRGQ66+xYhx9dpYZpU07Me2afrTRZBvx6kZaJps2WmA6XzYu5Ih3cTvc64/Nrr+Vt/WZ
Cf/UPGMcfYFRO1J5DLlyIFyRn9AAElYB1az2qas/HIhuox89ZeuBJzWWO1F5GeTr7+eaT+72b6a4
uUbwdYqTjMYiqqaatkS6kPZjLSZRda2URQ0GlQ9F6WqKtRXOBMgUD+Q9ABAlKsekSoXKipwQqAu1
dTMBEKtqkg5GIksmdzDuNGrTLd4uUSq9OEHgDaOqbv1SdNMMmlDFgOz2zqB2flHSra84X/edawZz
eEC8Y85dxzShADlQCYtcnIFTsJX266BCvJA8VwPcmcs9gFPlNoQrg3x9VOE9h+22ldmwYlVLkjPL
vnLiyKIdvR29k4cuzAKZUiohNXb/BCemyrzRbz9k/OiSy/h1B0RJt2a3sJ5fuUVSsu5lO0UbQi7a
A+7ziwK6c7UAPz5sVQNjP3jju+9f4ZwF97spRjt6hdnUhjQfBCwMrR9649guMrervRiKjrGJvUJd
lIKt35KSNXvTUeU/MsUXi/5n0C7kZb86KMilrg/6pdAu9Iv83NR3alSbR/slEdGUSRbUtJ3xTNhk
/UFyIIo5fT7Hgu2k7LlJlowwcqTWJv57Q+uZb1IkNmfIiqfm3qN91L6nNQwhYNrWOiSlwcn7rSKd
6/IclZz+mi7Mo80RmapWUaOBwyRTii9DHE7EIEWU16mM0j8H/m0g5fcOEtyqKh7ktREq0jqVEotf
25Ndp5JjQi28t016+p6019Fq7lsEBqrFSAn61gYBmy3qDgvDZOmt25MucyMr5sCn15Exk3R92J8Z
5ScWyuMw6ikjTawJeFZs9MZuCRoTpZBhJ8P796P01EpsHO2lBjNtUS8y0Yzr/sLyDgvNFRbCgna/
K7kfwg9kD+v83LI/L++/m9WOlv0xKiS1r9NxGwY+qqcXSoWuCGY+9+GANz3cDlANjYOjXK02h/gS
j8X3P/PUYzxa7qOwlwrkluO2zH26VCl0kINwWSGu+/7vf/bAfvfLjj4qCy5eGuTmuM1cPEqu+fxe
r3pnRQ/rwcvW8/eOkoX5yFzm9hUJZAvZeZcWjY/W4S15Y7fz4/sbOcqN/Gv4G0cfl94VDbluxrhN
pN3srD14UEqRbkYv2UN93UWe7hsburq2aQPlhxzhRXfxThB9sHYUW9HISR/Zcxcsa9kO1+3mzG2d
evNHX2UXVIHQqfG4jXEqWfFLYj4QjJNNnT99JAkS9IAk7fIdY2+PxWU9If4JfRlnCuRm4oLrwdFq
Yvrc0dhFMnrty+/vSzpx0j5mi5YBcWptzHubCAteCK+t17mZIz/q7Ha/v8QR6/evN6IffWF05acJ
Uy2Dflu7zba/qXelz4Yt38ROvrR2+lN5FS9zF++PLfvZg+YoduBJV2cuP2+TfjMyZ5bx150EhVcx
x8DGB54+WqHfyIN9SEiPAryJOlNGuYG+M4VySSvcdMLiPV3G+4eJ3GRoYys4UnV5rUbPNNKdSrfr
N5MMoHHbntljHQmd/n46R6u4RqpXNpjaCN4fVpqway4brbnAH1jVBKfdo7g9KPDeYH91XtOtIYVV
Lnz5sPBFtDWEXIaemXhD/oCDC15pDbQwRzSTkwrS7WptTQwgTNCrOr8IYSKoh+TMXHbqiz9GN5Ng
aQnKfOOVR/vQhd5qw7CxDQfTh8Mc5iDZWcDod4B+LoIVntOV7vjJKlpMi2LNmcpuFqn/X77ko4m1
k2ptTGnOkx0CtkkffMN8zqaVYFzPJoUeKoZyQeASrCRgqBkWxoq9BTl26IfTkEypAb00GraW1WXM
l1qe2iEKLU3nJEZygHLdg10Q53759/d7FJX+91s/mo8TwTgYfTV/duw9FhyVMBtg65veygtCucki
UxxKsfmFaNwHsJlm5eaZFOxPUcnvvoejmTor0lLEFyFtSc5rl3LFW5rWcuYgMLRCx1zBaydNcLF/
qB+TC3UZ+6xGECOQ1omXaMDGZQa+4UnaBI073I6ufptdZx/7C124KuJHhXh388wIO7VRO/YkZUon
QfrjTk0fTLCDPcQD47tQ1tzzZeLk69DVnO9fyKlqn340P6tUtOO85VqI7FfqWnPSu2Jrrslu5f+y
u9zGKmEb6+AqWQV3eJc3lnOuLX+ifncc/90JRYq7hEvra21LBcWB4bDEInRmt3mqbHMcbRSV+7Dr
Sv6+JdnN3XBrLLtH4adO0WhHZIt5roVyYld7zD+P6GMZkcJlqA4RLpIZWL0fQCfvhmU7ufLKILtv
w16Urf5ZmeiJVVU7+uylnrySCKf8Nux80XLU4RrNuXaL5wsEBfXIy2g7lBtDRL0aLJK378eKdOpg
c/TxZrPHR5m92f16nPlesocT3gmCp751lTmqWHlvu6tIy1cHfZO2Jnk8V+2qwISdeYczG4pPLc1v
PuNjKnuoENgz6Pz0AwLM0s/LNfYsidRV3yqcglgNTrvuKHzIVxC4wE51ThQ4KJI1n+y9ChuZZ3Uf
ooxDy9FVN7Ku8Q+X2RrXkIJnRbLRNzcg3YCf4t96PvPkTuw2tKPNWSPs016evzLlcn8PO+1VWo7P
AFzyi9j9/hKnPqaj71juxZYeK1cwryXnjqiLy72NdfbMlHSqWqjOl/1aa69AIlbztxqvsMsP28Mm
9QevWylOvSPth+KdTdGOeWI1XkkuzsPszKBTTnxe6tEual8ZYOwSroxZOriIHhSvvCmcep374xKD
wWry4DtdSRsEVQ/CDoapH90Pi+7BWu/t8ILR7/ResKN8tzrcnnscn4rB3wzCuaf99XE0OaavKeWm
rFsBsh6llQt9QZGWCfqJ/JQV0+XluZ3Sqa2qerRTkiHLiId5Hqs5i1cOIVk3xYOSOZIb76Jz68CJ
b1udH/+XF0xehaBnAxfpHMIC15aHP9tPPSCPjulPju7odngzrpoNLM5tswh3jS9utKvRf0nd4v77
MXzylx5Na3JQ6V0Fl26reKAS3Z+G37mWL6zOrXanth+f/JEvv7KXYU/Xc2mm8Up7/l21T5rVHX4x
W3SIOGYXJ3g/wjPf5KkJUz3acgTpQO7l/ObC/VthwgHZUYqAQ+DIDRjftRI66boRbqFs8glFdriD
uW6deaOnDvif/Z0vvxVMGHzOeb8TPBxe+5tp1X8MW2Op34rvhzvBr73pob1Nf37/6k5VX9Sj+Yco
39GsVK6Gzd/X13c3QFFoXNxgNGNbLHmXoGEvg4Vpy07m1O5D4OwX5pnnfOKkc6xijC3ZxETFtcH8
udmCmcA9t7orJwoIxxLlZqxjU5+HZENwqa36k2dyhBft0q1WmZvdkMK0CLzaRdywxKpko5zgk7nS
7epVdg7ens2jths2tMg4fjnimZf7+dN+MwEdK01VBTVm/MfnKrq5N2wx7djdGhbXtlhFy8yOXUi9
ABfd+kGyKYh+HLbYpbxsO7iNv+QkvYIW6cveyCrRL8mY8ozVmaEwj+7f3dvRfDWhD03U+SMD1LXE
Hui2/rQs3MQX6RfuHWtXXURX6lO1SHehD1x9EXnfX/mzAvy7K2u/TmJFGoVmXFEZFi3YMdS7AdpA
BAOLSNypnUccgXYFNNPWk1n9L61qJxyuet3G97p/kPtbksBpqAP8yx/wksrXg7SgElGUrlF6UNnw
pHv4QtX4uSTkHpUv7EztaqJDZS2HekneYAmZY+6L/2z3MJ8TdC0PmgKw6CpoEIVcBjeH0sU4VU32
97/4SHn813nq83T95SNXkJBqncazbheal16WvuTRIHLb+8B9pNrkD77qiZ60rjfnvvRT59/PsvyX
S85qCiMRuaRGo/dgh/6DxHtu3c4hTY1FMPSQC9g/JbrBxJW7pl34pds49wTn+NKiXoX27Zkff2LN
+rzDL3dCkEcMEo47kS6nbe/qvrooLkHqO4MNAtshLG1lXJdXxS4+I1c+NafOxoivq2QigOXbz1cs
ArApxmUsrCf7SiEDpkaCAx3qVWLkEV68wImtotI5872f2nAoR9OrqBS4v+f3DC7PzS6S9WGx0q5d
BLnu7bkP91RJ5rO0+OV5hm006VLBRWRfoIG0m9B/v6ftpgndiTcs8SFdCRfdCoOhNTkV6vVld9Mt
oNXhTJUfpFWSPisHZyY4XO3pKXh5znb6wuyvMKoS8vHfvfbPvsuX2zS6II2kAXfz9C48TUT/YQC2
qx90Vl475AiXcOtm5vwKfPFKfSsf/8vLHu35JEssmmp+95WT3Ywfk1MwqYXzVI/N2IHL48QU8vDX
nxts86z1m9nsc6n98jvjrKFyZSCnmli1f0JjbsvrhD5gal9rrcO3RdncbgBGwpW6O/MjT13zaAYl
MbaO09k5Pl5bl/TXstqDDdQsBiLMKRbZykvFjJgYN6O+i6IzxdhTF1V//ap6QcFvUGuoqoYXSXuw
yMNN4/HccJm/zd89xqNTayPEiVF1PEZNsjPdlnfBTeElO/VWfKqYLB6+f3In5iJ5Xgy/vKxh6Cso
ZDof6JgaHMiJeShD8alo5mRcM/AP8N7sYojPXO7Ufuuzaf7lensDuBn8RWlbPhitHV20F/sHICmX
Cftap70jAGk7raMVFvyPeikvi7Xs0Xpxmns462eO4qdmw8/D4pd7UKJ4moSWwdJ/aM5+x8FQeYqv
CIKdfCDCxYeyLm6qi/Bav/n+GZ+64Ocq+OWC1qClOkZHtrQX1ru1vyOChQvpGH0tW/spP8q3UYut
dKH/IBTNkc6c3k/VyD63918uG+ZGSlQXI+iyuz3cNPMzru/Ty97JVtOHtQ5uc79jYG0OLqxlnZNp
eVncH5bf/+gTH8fnUebLxQG3qu0+VdFViuGi727C8qGttTMfx6lz/eeT/vLXSwDvzYC5ChWQvG5W
kYvB3Z4L2MTLL8LX11dxSRiMO+8RizNr2eeR4Dcf5GfZ88s101wH0THwi3iW2zDequhE9zaAhYdg
I19lL6VqU2xc9Jfi4/7RWDfmIi8eopUG63fZ5TaKm4mmbMRNRrvhQ3lIQTCtzbdCc/pHveE9kAtz
ZoifevhHM9MhnoJhNLhVBChuchedWUtOFGs+kwe/PAEBD5vV1vxZXXvaF5DkXobmJngW92SbLqTR
/37knGoJfgrMvlwmMPJM6D9nvvfoRr6QVoonQyVYxehH3fxOkW2Cc3fmJYEg97qDIWqun4UXCEs5
JOwOnkCfMD5Tfj919P6s0n65mYnAa7WsGWmji3SW8RUuxEXqaf7e1p2fyqK+DN3IK898NafEQ58l
hi+XE8aoNkFI8tnYkRtx8Ji80NMR5+vOFem1i85lE+Po687hUeyCM2P71BZq9tx8XQbSsVYFY+TN
tuv5oCHbMsyfaJFchIRZb6ybbtP60kZ+lu+EXXQlOOp19V5vwpfimgMZFQDd0+A6PTXrbFddDu5+
owZnPvV5m/Kbr06cF64vD0StgU7kUcMy2DylJmdkZD8ycrtYFOnwhGeu8tld/N1ljnZJLZmjoIAl
aZvqSOTCpFvAZtrVQkRa2vten2wDqJQ4rDSU641QujFKZpNki+nwXHW3jSy4MOBtc95FtksxYrAi
IG6SNwP4T0jeuplCFmguosZp4vuCLg7QlWthDlxMzMUUvqmil2nBYmaL7Ie8dcpR8yStX8amZ6nP
XeL2ubnai/JrSjMx7TABLOPgwTJsMhRQvNwN40sV31XSeq+LD3kv+WGi49LsCtuS1wkRKXH6mJSX
CQwJReR8r1eOQPQKgdzRmVrrUf7oX2c68ej8XOihKLV9zbHmXVXtonCEtwCG2m2zlls/exf3i6l3
D2emolPfpXi04yOFTBJVYWJbC2y7csh7cZFr2CM9v7R2h/xKJ2h7l+q2QM26XLVQqBFUpegFYvnM
uX3+Yb8bM0ezrEjKMsw2bqEFlzkkrAkePsQlJN8zFzh1TBaP9oBEVWVpTXY3JYnOGd1kGbMDbJbd
m+Cqq/f4Zj6Vpr68Ee6Q/3w/+57q4ony0QeXkd6ZBy27Wp/AmothI23i22AdOtJa9xofr8i4yc9N
9Sc2ueLRwTQN034qDNwXvTzeaUQhKsFwRx6G14+aQ2oABYj4ogxVXzKLxTQq7kCyu6T8GM3JVhpl
+f84O7PmRnluC/8iqpiHW0Yb4zGOM9xQSXcaEKOYxa8/y6lz0c1nwjlf1XvZrwlC2pL2Xns91QD0
GS5ubf0OEjvMAJEuR/vKz0PxbVry6APPbq8wgadyx2BsC4f9Zi+9aRvpqT8S6OBsKX9Xy0CDQM4K
Y3gPmaHidE+Q5ApuzlnTMyygEijSBjNfmfD3SfUffwscrWcRmhYtSTtQSgKdfdT6tYN5289v+XBT
xw/PAmyilyUZwwoncmaFgg8QEbjit17ZNgaM0Eonr52fH3T/wUdvoP07sXKCBFs74g0aaKTjGMZJ
cKwm2q5lmZfF+2b88/NzHgcivNF9vf61ZUwtB5vJEpMKVY5j+UH94Tk6a072ob9Ot/49Xfki33ek
Ry80C0FQYDc0h5kfVkpzqINsG1uZDe9iy8A2rUJPgStFbwJhuKuesw2yCy9r+/XjRYpXnIWeHqXE
HFY7CAwnSbZ6iIyRTY3etQssvHx4ln3osNiS1/XvS99uFojAqBqBJcLzBos74orowHRoE7sZUlbM
rbzEftOsyBqdtbrO0vNmQQgECDYAtYKKCpJ1hnltTRqsdSs9Ltdg8GZBR9Y58A54/Dj69m12iNB2
QTajI+Jg9fMMvM/oRxNjFjfishfQyoUJmGXv0vBbOdPtwIMPt5J3eHxI1Ix5q0sil+0Q3UN075b+
uKmPuQ/wqk1cZLl2/Q42lvZw1DdobgKAyhx2hK5sDt95uwdvNu9kUfpmAEkaERFf5TVze95URHhS
eLD2EpTNVG0AZ7rXVUE6gTfRpcicpjKjtwjE3s5hOwkWfTYF/HHDMpvXLPgVHqXTz4P++JaNUZnF
F20gtAoHjDqF2NtVLZyXficwBLug7WsHfJ/d73svt+t25Ss/PoLggbM4Q+uq1imad4PyNgXpuwRr
E1SUtf3khU/QaRtb1MbUQ+slb/nageA+gx6N/yzkMBzUU7il4x2d8Jxu7l87gcAGDQ//ZVCDT/E/
wZOm4piCD4+5u0XGbji329yXXqAJsdMAnbWbasPs2lJ88BxwueY97bqWx11al/osyGiJNgz0fp5S
JMcor6UHT6+7q+VuJH68i1dudPcXeTSEs9DCpwwEMIqsSAqfWgZ7SSDTf56BjzMEmBCzwEImTmxJ
gltUCerZGygO6UUSrPoYSm85vMc6E4idrnfCyVLg/lg/RfLFEM444mvP/XAVN+GuyA7dEe2JHYCh
Z6H1JtmJ/jRfMVzf4DgQutDb+wS5jo0yog/g6ee/e3HgZ/FKjsKIsXu0pQ5SRGbkEVfcQvDp6Zf/
7glzWXhOYFUN1857NuhXmNuyVJn5AMBFafcMfpgdVBi39Z7ehfg714hndMhSHVa+QYkGUKd/1Y64
A13abeGm2+kc38Kn9gA1YfVRrqzLhe1q3vLDlD5lwEPdkwTUFwpTcUDfG79WE4gPj8nwgJpFGgDX
JoFhV0GvPqbUS4z6bLXnbQQ18/fKF1oas1lkIWEiFzKHyN7D9AJLnThNn5swgSpw4ayQYjMC8Umn
uHv72J1d+VSzFPXFTb2yLJeeP4s7fJ/KPBUiFHEUE56FT70PGsGaX8/S3qDNQosQ8SyuKMcH03E8
hh89WHxWdlKfh0vkD4MpeCM4kiV8fi318+cBXThWa7MwE6oRkIHwAg/6zgKfDxSR3i+3LVC7pzWR
+v3TPIhkc+k8gatAzFUYMtx3P7Md6Ew//+n3WfXod2fhQGdKnYc1fjccJrPtASQHxpSaxv+a4/0/
uyk1uLz9u8dUvAEY9qjDvCFB/rS46ucIaY/AOPdWGIBe5hVOfuSu4ZrUcSHkzxXtDcgPCUD0fJAp
pd2MZypRewAcQz0kMTwHQBvZjAKaJQ8l/MyuRXf+eRwXpvR3rumve4ggTn2i3McRsqBnLJg9Xb04
PxaJYghnEYHTFaCXQwxhdGA3cipvEup6EqxSP9Lj2v136YAzl4xntSEQaKuhA9rKDhrDd9rruIW1
G2zTKPKusMSNd/SI/VOH6Ve1MvsWYqk6CwRw8Zg6HrzHoN2iYFE+C1626T61tZ9f+iizSACgIVie
A843moHcFK+AhW3Kn5228tcvXT7V2bpvgGUfwd28VyJZbQodnNitCYYYO1Anp0vo0sztBLtrVzL9
jyvsmAizM0epTBRoVGw9GrcXPpX9gM51WBVv43OYo5SN9GEATd/K0xYizlx1zdpC6/kG+9D9+gct
1srBaeGbzBXVOpDktcCFiM4q+HvsxsGYX7kpimUYK6Lqb6XDg5g2F1WXeV8bQ6phe/ErCD0UNDkl
PsyQT9oO4hNfORd2dWwgwirNyuLR7qC6iR1DmQVp903fNU5nats14dfjKigMG+8D8VdkQHlGHwxy
T7dDgFW4vC96gGFswyt4HgFqGRbIl27rgw+8GTZAfdk4/9kyJEfK28+haSHEz3tRkxAeksKAG2TN
Tiq6LRKU6JjDYU38/PsLi3jeS1oNpEkoVyIFY0oBd4CBigk45OXnH3/sNIDhm4WIruxbbCD49Sl7
T4K43Y2hp7339BaC2Yj0ODQucCBcq0ctJVuUecjgVK42uBFXIjR6gBd9JqQya2E7xcAl2QmOl6lu
82iisbJbvFbiXAokyiyQcK3Kp8293EiHzw+pdgeYYKsu3QKbIMJZYNPVL+E7rvc/j+ljfTrGdBZH
VLEFEqXA44i+nYytIv4RAZ8sHFBaSiCgSpjL4y42lJGZUpi4yL44wYJ4W4GCMph15nOQDuZ2CjNs
qIkVmFhzgl8OsSVNMH8HAxXsazQxdhQzmwvQn0XaN1n6yJFihiSfVq8/v8bj5jW8xuzs0nJaKJUa
vhUJJmgfRzBOL5oLGyK73g3uaFZXFEWRoFNP45/obfxIjg2Md27N6efnP87YA2owO9qM0aiRCLZQ
wejyt+7WHSJfOqBUaStOGRAfieNfKgRlxYW3szXBzcJinkvN1QYpUO2eDroL2pRd6Wtueq52CUqU
rcW98bv23Hqh8/MbPlYV4A1nsUvUqKFXPfYAwb31Lq4k+/ZKPXJJ9srnGITbMog35RZyQ9R+vMgi
h/9Dh9H9Kz6I4nNJudEM0iQnOJCg02gDio3ZbacCTC9zgjs6AxPPFij77y4kc2W5EBaiIWQ4NIIX
DK/o/inM3kbjJr78PI4Le9636e9fW0BFu1BrGkyUEMjnHObccPW4oHcM/qk/P2Bpk5mLxuG+BIe0
WsGHsuXnaSs+w8w298KT9HI/ZCMRBoU6g3ocPWNYFz65fyzvvcANqFv5ExbO3XMdOaeotCdtKQei
TOB3Dvp02fQrO/pSsmWuE89DhchAJ6MgAvwgqbbFlRddXO3krWTYgGz2+nNITyq9ga47oSuscoAj
YbAkfinpTZ/gVZK/6mQ7an4XUpQmFeBhQGzywU1JcSlUgh5u9fJ29AbDjLiNiBqilu8qUFvQeEf7
lVm2sFF+v91f06BUiwTXOBwXp2MbPUstcBsA5LgS/FHIyldYuivMdeZqxQ2SkCRCwN/iq7Rpkcsb
cbs3sz2ON9bPs23prjAXnJeN2mlN1+Ku0GlnILR+CfGziHK9sskNa2R/ZAOogiF2UJd5a5L80ikw
n+JOjYj2XKU8Vsba6eD7EPUgSMw15l0BwlN7z2Dy6U5haKXi3b680u5C2VENRZOLR0t7kY8iOrwS
AhMyrwbhugTV2gMIHTBIS5wau8juRjXwQGaQkPIbcszlr4pkLqz6CMFvQjA9uobu5CVvxhCtcS+d
YRLZSwRIHVvbwGtlViQ7qvjFoxdTSIgpZ3uiIf03wJpY9otkX9PR7kBPnKAeQLOm3ga8/P7z91hI
P3z3Bfw1rwBVNJSqQuWYt+on1f/q/cLvPeL9/OsLC1uaJYuYzGC2FdaIw8ovvn0Lo5VFvbCTfctT
/vqr4SQY0TzCp5vyI+oJZbwxSnARVi2qFvaPuQZ8UomoFHCPDwayVUI7f+59yRccXDxGnE9/Hpul
g9tc3t2NGeG0HrnO3oV3h5ma1VbY5FtYwbpIOhqnbGXJLVzG5qJutZQ7ARB1DJaEJpXsTatBaOm2
P7/FUnFzrtw2yqjhMYswgXCLPQp3Cgm6VDBmm3oLVdIOVQAHM77eFDfolv32VnvpdVV1tRAW55Ju
Ua/bWC5jZHDNLLdwipNvYHkFCfrR7/UVuM17kxM7kBUbb9rKnWgpSTgXaJfwe0fswKzOtr0beo3X
B+Sa7HJHtxVPd2Epo/9igfZfzhNxdpBiDJyKqMASHfzxqPvpHpIi+cRdMlOw+BfjxC4/f8qFxfp9
PvhrUcWAcpNcx6SXQfSSIJkiyvXnX14K+t/Cib9+emxhPg6jeBwxum6fSg0SwjH0L+FRk+AmpoyO
1GgWgGojrzp0QiU8lIC1QmcJqG1q2QaVLDly/2flr7nfxx4E/u87wV9/TQjPVWUiuBYCdug0l26f
779aDKZo65t+H68ct5em5uw2mMa0KhsRn60W0oAXYQY9lk5Pp10OSm8t59uiGVcW4dJFd67OHmQe
wDIVz4JTj48mFR+6HzPgvBItWsrKQx6rXMAyn938xPIONb0r7Iqt6DTe/SGRk+5BXbShOPTQLVTv
0A7uRU+ZR561E7eNgW7AlcJY+QuW6k9zQTYUQNBr3F8T0hP0pVELzBkT3ajWWkw2Hs+M79vaXzOD
6aTnawFJsrR2KUB4/KZJ7cYV0ObT+l28sisu5eLmgut6gmOuNmIkuU1jht+fDD01PtrZ4KHB7PS4
pptaep9Z6Ji4KTMkEcG5bRzITyoYgyXb5FSf19RG9x96sJS+Q+RfA6aEYR6lGh6g+o2J0/F53K8J
w5d+enZ2aPu0U0iJn5a0Z6Ak+9CVUnSUH6t4Je2+sEC/v85ffzuVtE7jRjyACV53CeENYiBLQdHB
Zqnhyt67dM//3vz/esg4FYTD/QqDnzsw1uvKjxgIPqR6fakwU3YQcMFoYJsTmVEB/wT6RzSAokbf
PuyN3J/j3VKuY66TBm5YmgYBf0OKgrIMFO9RywLIHjX43aXmwN90u+RuZTLYZPS69lVnGxWOAvle
d4GaBNVurPZcABOl3z//QUvhaq6VZiEwq9WAP2h66m1uVx5EJzl7gqcoJvopVhIQi0N/P9z9NfR1
rHIJP+DK1LIXpdzWbMeXsJiGn+CkvlOdmTIon3GJ+51NUIaNRb/UN4zbaeOV/yiAyknXtJKP2xA0
Yy6b5gpNi8Ck5gPAiU9dVLvJWwI8HAq4m15xEwnIdmmfSGdGTBWHCnKDS10OLE+Lq8Q+59GBuQuL
eGVOLiysuVK6q8rYCCn+GI4VAH6h3UmEzbmGvk5YccYr2qOFEzo/izy4rea9FiPEAUQ6TajaKRca
I9ezshUsnGnnGuJuSmH3XeEdig7dSAI1ObjjxspaIXDhhDAXDRe054B1w0aDxmevCiaz30mH3kKX
swO1DtIfPy+EhfDM309if81QzkA2NdfxmN7tPuAsbd7bE/hgrS63dDafy4KRT+1l4X65Az0RdqhP
zMqOqa/a2mv+0b+IrxqcI2FTFO0FKzMsoTZTG9yY1RrX0hwQ/329RKiyouvvrwd1SzpuYctuxLld
kZUq00IA/w9RMJG4IU7ur4eOfHrAccACX7NdWSZLh1Z+Fj+aKeLUlsMxH9gpgACGW+HqTzBFd/TB
7OzJby3typDCVM7Z5uf58NhQAXCS+0T5a0J0UzyV5f2+LA62jsCwETYlZ2boPgW9CKUmcVMTW42Q
ME1PwBLXB7by5AWpoD5X94pFyydAkCIf/Qv9dlltC9CkoejtRJ58zFzOIje4YuBNjX16BQoU//XO
2jHlcScP3nsWLYwkMlgK5wpU3aL3El9zcmUrRIB8ijahzd5Sj+27PTSyNpp3igt3nmoTLth7slPd
cgMALDXjr5VvcD/O/ueRRp+rgqPYkGNRQuQarMIu3H43nRtXsiqv8ddMXxa/8+xsUwtyqscKJIj5
wXgFfTFNrD7AUryFNgDHOxqELmCuQK+bCkRcK8vlccwE4u7fySUWU8OTcZICPRH/cC20h+DBo/es
+PXzyD1e7rpxD6Z/TV6GjH9cqhg44xijGbMJ1hSbCwcY3ZgFknSAnymRcWErAvEDSXCsjJf2l+Qi
X1YF/Ynuk2dMUQcA4lMZiPUmS6zMV97EgK0M3cKJ5U4N+ufdNAqX4G9dcw2Pgw+4BQNbge6DhjNB
lbHGL/Czo7WE/EJ+QTdmgYc1E41rBZWTHlpgk/RWheaB3/xJA6IWSD0z+gWn7OZl8EEfXs3L3mfB
g2k/1wqPGseH7D4l29f8RtHGgePoL9WW7HDbOvwudVfbau+v8ehJ93D+1zzpK0mY6AjhRnfhYJJi
at6InbXYU4S5lbv30svM4kmns16YkhYlZT3vNroIcFKT0npl2164h+pzQa9OgRYlAuZj9AGPKM7p
LdgxR9azsCY+WQrH+ixAgPbC4q6jfKA9RRdUkcl1+CPfoEgCpiBJ0HqNXkLhxPxiP9hZZjK72K8y
c+6r6tH3mcWJVCb/K+uacAnwazAGj7lnOAWMCFJXI05t05VltRAx5kLeRhhJNskd9FZIhk98YzL1
oHfCHato/hyTHp+wgGD6d65pRKsjJt4VAKEL0+6as1kMn9YciiSusGrYG5KV2+TipJiFCAaY0NRq
CH/a8DQmdlh/dJpsaTDA76I37pUbX5M1j87HBx+k5P59Kzk0lEyOoMMtEltCp2m1bfPfQEOPmjs2
mf3z0C18nLkUV84FXeFDKgWhEAsfKkiWVjYSeAHVQ9yZVW70K99oKd7NZbh9LIaRUHVTEFsEGO4o
JSCcvGah3UESmduwsLYlGFKW1CyLrTzZff9W1LEtra22pe14LsvVdL3JNNJPQR/6Q7nrGG8W8HUp
HB6NgjCvBS55gpe8n4zbPNyyXwj7XfSVZ0GV8yvT57sc+WDVzaW7YavlBnz5YbtaX9EnaAoVsYfp
jdecWArI6EwhHNj06dBVh7R9ZzTEoUG2hPI1T9yQllaf0edhLCwZDGmJFlbFtAvJNhIcho0xcuqO
OrlErRzI6SKDCWmGK5mnwjRXyHdiVTk5+RhQiSpEWATyjphcG+0369yf59LiJ57Fs4SXEjqmGGFu
F/rin+IKdYUPYJ6bHeqNcC6vRWo+keeVpy2sem0WwRJjKISiB/ujs6IND1PPwUHd143u5llwr4s/
kOuFVTXcmc2VxfLYNUjT58LhUgh1AQAq2P2i+1u8Ng0ySUVxFCPYFGbPjYpWk+gEVqFJp2tBFC9W
0Z1epE6WFIGqTUdKr7AlAagASwDGuqrqRBLUCjHw8aMFr/yO2ZVcmr0AsCwHeGnsyN2BterKGvyW
0D2afrNAqWtpO2nSAAYQsLYDhMgIzO6kbFKiIRNx1dHB0zRYl0jRdCLzxPh3yh2qsv4Nk2szyn5N
6UdXCh6LvvTspRCQ0NoOMmfW8qYlLxw5dnC5hvex8RSmXoqsfgInC4UMuxyrXIVHdQMBWJjZVHhR
UcjhleIol15VcSbHn6X4Cy4nVhXDWC7mzLx4Hets33NeZjgNQBkMPwdHHEMq9mi2sLTaUdHCO5Qr
JdKFQh2MMP4Nt1yi0bRVYOrLIxcg2NxF2BQ2ErY3uo2hu+NWipoLUV2bRXWiMrWjiswCHYJ6GYbK
ZgQMRlSiNZtdjf7t58WxIOACBf3ft0kwobJBgb9zbw97cFMMN/1Te9CgKhvRw97bmKgPToJudR4J
tFfQiUG0UjRTtMqhMsUgRfLSvXB39FGz6WOra5DMhI9Gf2jhGKKvTMiliDHXYneCIINxgAWFgJwW
n7AU38nHyeHvVkTpq2a1oPUq6JWxBGKvXTQW2tb0uRJbCdWWj0bCIyVcQe/fnOUJxQW0LKrH5KXS
7ag6TsJ1qH51jcufaWgx3Rz1V1kYzaYtX0S0WKKD7VcXTraEqhWfuP2wZ8yKMztH0k/Zk1hdubEv
XUnmym4ioh+ak3BEFBqfRpNrEIwJ3AlhsyA4TfRmoGsfgu/6jadrKZGFGTrXeU9VW40pj0fCj++S
udFW3TSntevp0i1vLugmrGjS4t6m0KPBwsPtWzwoFUZ423/KV6TJYeYOB8kd2ylX41z86S91Zk0n
ARbaXrlbq3ItZI0BLv53eTDA3MusuS/2s+qTN7CGPLIXtoKd+v0uO+Z7ZD44eL/lv2X8KT+vSWCH
F05b/yEH12XIOloRZvo5ucq8cebZa8Wln0XfnUtJbTWoQmLBFFKoiiZ4FAjdqyRcEiXy66Sx66bY
lxRcWUTB4szCk564ZX3uyyeiABVYpBZF2QHoRFMC9Skax1NYwSc/Z7/jsPPbiB1qJd/oJarzpAL9
h8B4WYSRdNrgAFTjsmmEVk6BoUzq3RS2yMIMDmC1zgCHzyx2pBCtvnx74QSDmbWhwn6kdFFAtOko
2/DBN3VxW+RB1tH9YDxRNHtK/BaaNqct9Bite0chdNpRtzjxA1ue3YaD2+nlR5dseaW3BLyuor8R
IkOSA3YCb4bdZ16CZpJlb8yorEL7EzXGRh8bK51EamO7SVu3Gl/43OVa5NRLvSZWFsEWIQXuW2Sn
WM5yUxKqQ5THMNNkA3ROyVC5U5s6bTf6OCzp9Ra4LF9W1Pcwynbgdr70JLNBq39W4tGrZPktNjJr
bPLPeByO7RhvBcPrKvietgW/aVvDRMOD2JCgSmoYKclYhUwkBRyU5KTozKYEG1iSVKeYwCWAxZX4
lqZeLvok+l02nS3DAYjXZTMmOqIvoPI9WnXlHh0pXcW3Zzqo740uHYzaIF6tdWruaLlKfvW5SD+7
kuawZaEgHRTGiBGEmxagTtxY2BEAklsuApkip41mYhSZ2dca/mUvqg6Te1ORELzQ6O+AYAw1dv0a
q3X0qpTFC8nf26ztAyVVPGFU7LJP9Q3Y3u9Cw7JNKSnNaxzDk9qQiz9TSb1paOAv6ZD2KYyPQ/dc
q8c4biwOSIjKZS3sJPsNPPFxoteK+BTXVhoajhR5qWCR0GdFDtRBDsSibnSo0GzrGMDWc0oZWs1+
h7IpJicJ7cTxjkTbnGzayh/rY4OjcJyGltRVdgi7p9GEZ148mDwY8KGJqRsjDqt2znkjfKrbJJC7
gGdWJ59hLJ7JG1xEYQCnc5d+DOIGkhbVU2oLCWzNAclXssL0xk97sCLyASrJmrdrwQw5tst4ug9h
GpKjjgIrtJM+xRcDwEaGhpSyOgzpU4V5q70yHogxCr7lk6J3QVl/5fRrxJqTa8AxxI9qxCSR+kvT
xp6eyi8o16FDTMOVhBvtRCaQ+/ExbD47C7d0K8YaF6prIZ+m8FoOYrnVCv4Is5FjVgv7WqwdCsrX
lrXRSyfobqQinzhdUuGQo7FtHN6ntNzhNdiA2iQH457mFtLJ6o12x/gI+mvDH6TQ2LaF+CQx+QKm
rXTVw6HZ5EDhcrHNSWO2UwiSEli8VV4APFTAyApTQ0YBq4bXEzGrkrfk7EWisT0ycoVJ6cDwzWOg
aanmlvTQTxO1dI3fapKT97kzpgCG1G4+Ti89RYM6UG+9weEsao7RoXvLmIpBzY/9AIYuBz+puEeq
PIG8HIgTLkIhq3U4TBUlS1xcz9A0CiDMcB0F4tbaZJeKZJVag4/E061A7UJ0+HuvF1xfyqDgigj+
pXtOs3tkVXhYRjugH9n335FBhRyDQoHbvWh4JFEMl/JNuZFiKNoNtXqjlXyqRBYGefQ0DMeOfrWk
NkEebpmX0quOr64myBa1NvoOsDpytbS0jrcaaadym0QvQrvoDhMsXPWEBlycbXMk+yM+za06Ma4h
4MJ2j91QujPE2wboLy71McCDR7M9Mk9G5HStWQcaItuRR+paO/UtPEzRuRRnZ743uewdynzdeAI5
hO8/VSNUTA5yjffM8Hi2AUFDaU2iWm1mCZ/4P+m0Ja1VAayhm8JgCZAyoiAgmT0c+dXkMIDDUwb8
ZEb5pRROCTyvCqfFBSairi7s2vDMTX/iHC16xS8hh30H2BcazGrTLnru63jDkWyrxtlzSygMadNS
9Jrcj1HooE3u6X2suRK68BQDBOBR9RrsV50kwuw+tZquHq0UDrywKFWwpSmIgncrx10kXRHJEwYs
EINl0buCUkKk7Azcr+RigAWFVlmKson5qbWKssITorbd00JLPoWnOnFHxQkz9Pqplngvz0JvmXuS
pnloBoOB9qhZgpqYmDxO1MgWV0KBkqAPKToNimhPWmtyOlCK2r4BaEePEESnbf4nm+DtgraPSwUm
QwoQ2rZVU6stwagjxfAmN91xbEF5A1kBqQ/mFFkAlFwqwq4MJLve6QS/khwudqiEmjFcbVo8Vzes
eEhatFhg1D6S9NDAjjbFtWhAD+a+mLZSiruk/CXxcBqQbVYeCP+cT5xZIhPQ+prqCA1KLPUzrKM8
pQki2Y5i9AXS7qyUh6p3Glh2yUgEAIyaA+/UPk3nHgIf0l7QilmENch5hQO4iK45XQK6gPzMGOJR
MboqWs8bsbNaNgJYbXf8u05+ayBUtLjGuMlXpyNIoJO2RJyC4AWiWYDthG1pSJYouoLgGPW1jp6V
0pfuocJU+31Z7FCNivKDypwaZtvIUMtmqVlVhTj3xo1P+XQtcWmRO7sPtyJ62jqvaDcGyJ/I8b1O
0Q71RxmLY4o/QJFyddEIDJXuccoDt3dAJl8TWqejOeIQYZeKKdsIX7SK+KOMW2hWJW1AgO0p6hrl
KJTnLJlOjjGNPoH5iBPxDbYYlh5VHXkjIXaIqn7o73HtJMWESUssSRU3UZPtYEXl9/fBR0ZXH1K3
AyGUTqDilW6PQF/hWyBz046jD98OS6CdXbBDhip9T7VT3VpG62dxa4sj9VjXFxataaAgD6CCpC1L
9EjbQOSeQinbNeIH0MoFC9Gd3/YnKeFOaDmxKAxC4TJ57TTklDhf5YA/pbCYHAfBlEeL6GQ/jFRC
eCpUMDrLeteJWmkZE8PJStiI0WunIWXUyRoOVXyDwx4OZbGouSwf88+px4ZPNMkmuQvxMsyQjdKT
I9VlcgcXpsbuJsnskP1H0pLfaxXWb7rFJqDJaCIvJ19muisWuFaKqhfT4TgOr6gXm1RuLB7egXU+
2CIYjKyUrVgJjEyBLrtgO2OiwBPDUgQbW6I+VUPjorES/EjQZJELMLgc+GQ+fi1CzePCDx4pA2Tb
zMnwDe0MyqlnRCLAp/fJjEagsJBN/VzXnpKHfmXof5gUSXZPuFNebMOK/xAIOEwJPrXSU0+sBowY
MvPPLcpOk6c/QUiuKLppaDsIvilOIVP9ztjoGTVsnvpbbryL/K2dbjLDsc6psvMEdKLQugzgDvi7
h9sYnpU4CliiSi6DKH316O+yeIBQ4PvWQZWWH2lS7cveEE2p4LZqhRnL1Rutd8XS43PyS9aoExst
LHTvZcVyAjwecNa6UJ0hU4mJ7vkRvKRoR4t8CAa1ARSvaONtzEa/h+G2iWbeS18Ke7Vl8Ubi+7cS
e/gGvZeGV9YfwkScghhf4wjGakmsXr0RFcd3SPaRZ09OQLsDyinknynBxaTPAb8b4PjSU7vJIN9i
nY/T7JaG3K4QyCauQg+Y0Rvs+3ayzHlswBGnL5I/kgFL5QisOQVQe01/55mGQxqmnQo+OaIlVBJl
ccDmvJOgLm7qYCLvifHGKwgVBy01YjPFgi96QD2BKEidCkmmRmkcjiKU9CNsdlDu3jXTCLwzWrHM
xOjiYGz1TR1Kx0qrAwVFt6jKd9NooIUNl4E6dLOI2KVQYPgqfiO3JQrlEwvGKHeTKbEU9sLL6ns1
4pomFLtcwIJCxpUoX6R5i3FCavMKxHh0AjhUUZypa45i0lq85MbiZ4Nary4VT5xwqWCeUg/PYKIG
uZydxjZCp4GOXwLw59DhCWLD4PaeMRzapJemLt+YZGzKJr0V8XATkZ8ZxRPtgrGIv8C9APsS5DMw
snoWYl9E/Sbn0ExnhtU1AhlTwAx8asESwVpInbQ6IMKWpSM2uxRFaMFlhpdnTwauAzhr3NeuXPmt
IW6EAuwy7P50wCwBQfyqdXRLE4RdqtiMgzJU+Bj4q8rsjqBzSBa+xKx7VYbfmIQ27mOIH1aY504d
EztMRzukv1QNuHHpq+ydSaMBw0GuGZJAkHiTa79UnTMFUKmLZ0k/54mda3AkR6q7hA3FiFyqVLxJ
CjkZoQA2EZduGdpJqMoQ41BCHUpbVF+nOPOZXj7TBOqBJt+IvJXzMLRGE02m2JrhazgnSr9IZCO2
tum7rGGQrARtGAQj122qxJGTa4ju2uI1lmwdBh48F+j8Jv9EgbFWrAiW4cXbIL0q+hanhGn00gaZ
DMFPBnBQm9jXDFeh2KlxTdkpY3eaBn0fwTAD/UZ8U9gcyr1tiyMtDFN71erhZtWm8EzFmaj9PU5g
O4HSJb2GzCOANdRoF0/yyBHJQaYfKtqX9J4AjIirXe/y6j5F5hYmmOCNtalLNV8tD4ieNXaYngQS
ejX5swhjyfF/SDqrJceRLAw/kSIEKbq1yFCGsgv7RuEiMbOefj/PXs3GbPd0ly1lnvMj70/du5ZM
aStdhcJybetfRKROSzO2utPhIMP78hojTGge+cOF6pvr24ylr8udHtCJlhFlV/NCNadQ8/XwaNkU
FDlsOjUTXy+5g3nqtYKz6JD3pN2u9sliChZZ4ynkQQEID23mKtlAcxFHNlN2V0S7iI1LszMvYltQ
M15rGU7tupSAvr1bL9GRoLug69ko5n4v9bFvK2RmJg8gIaEkqvGi/jekVTTJF78ZK864apO0wRgF
rZ6TBPnaCjJ2gkLxzDzkh2gPaR65VaoxGyeuIc/nqTJ3egTfLrQfOSKMqmi3XO0XaRK+lPshCYvz
R4h/oy3z3SJ7mrGvij+To2cuWTs8Bbg0THcqysqNhW0bJmc3NP9MsRsR11fLvasvAtdHuYFf6mn6
4QTIN0zf2ejly6b8pelh01TGW9Ht1PjUSx+0ewfSRG+ZRUgAYXJ8+lbv0uNq2UclZzIKDzZX7Vhh
UkvrCpys0pOfRzQk27JpDs9xNU2feiPPnyJsOqBKaxB7Sap8bZqDtOw98InGiePMN2iHDns2XxXL
d1r9WbxrUdkSyD6Jfd7O+ylKAtWmOsJYL6ui4pjK/H4Zd6XS/qyGkRwZgV9sOSq3SE0cEpteeq2+
NsX0F0UsbnCYmzCMzaCPy2tt4Z8KLfsqL7axmY2Y7WUJabGVnit1cTrqqPm5XHkZvqx8jIMoVP4k
S/GqIfxZpmvWnNbOqf9pzTcc4YD1g51ncLXcyb8NAsbSsfWW4THAmf2hepdUenBIoyOizgoeZIvF
RiaOdYLBzzMl2rJcZdospafMfl/dq4S//UYoL6Lb5LUTi4c9YccbKyovyfeW4utd5IStTzkaEMNS
fJBPySBYIvl1e/mggNjVDWXwO/oGbPtSVNil/4wv5SzetE9p8Sn3VgJlcBXDrTs/T25Dehz0zoE5
1i89l7UeuYAVOFnJxY7jIKtOLf8258ebQds2XX4c0l1J9ObolGnQkHhpn7U0MCjPRlRcml5DJTNb
cLSXGHSqV4NQqfA6Nqo3FJsx+04MP0R1ruzEUUOJWK2kLX6ZabbJQyjPtwbXWrdNtUNR1LvUCCiB
x+o69V/x4KrJLkx/pfgeri9R/z1m665W/JY0qtpl9SuBCaOWkOANjbRd49n1uTJXjlPkbBEYWLZn
kFvryk+tuz2mp1wnU9jgl/F66BQd1PTlitKZUx6NbJfdtDpiA702qcddsqSuWhKBlcZH1MRB08VP
wnoyznr9hIvcIkgH2Uzt2t/S2LBle5H5VoBMlOdu3CkrjfAZVD2xYY3BHn5o0z1jgoRtX6bnAFOl
/VrYu1r/iBUMiPl0NcS3SUBvCsBESf3EYVZ+iJZuR8nwRPNUlG4s/3Qqcb/ll41+rvirx4sO+6/h
La88gj4VHYDjqBaf4Ex9fA7rXaPfyuzY6k8V7nkk4AXuecRNsuRx6S3tTlF3DARr9VOGXk5veV64
JqBd7xGHulHBqtK5f9gQSYSPR8ON/7iSQqoGZ/FadoJj1h8kgBY6iIcj40iNy+ybGc9t6q1CJNt7
UW2sLy6V7q361Rs/al5yYyfw5NNzT61Oj7ODSONes8dzWFTPNJhutJoPk6J6+WqHAQWWsfXKz2JW
z+VNxG/RfCZrWFpfW43JJk6cNClPdc8ez1JtxAVSpiEwZH649Ri+l9KKZZrGJH0nyIrLapCbQ27n
gVmmvPFEBNquEl+kvSBDuiQ5/KloqjeDWzJnCFNjltn8Ta8u0bKpiuew55E/GqwzpeAbQBIoC+Kf
6d1cnMi6LNnNXlfGviPM+tiekattTPNpqS6l9tqEJ52BtoIFy30tdEd1W+SHBJ/1oAEeZj64VVru
umvFOUg4c6fyyLLX3OrSN41/w7ovJDDeoPnXZdsJ469516jIkbk0sQ3O//i5zDiYZOrZle9SbAE3
N3m11xOfEBYqSGzTH355yyTb68UWBnRiAlkviflal79Dfjea7hm8HRWC1j3VvSMyvrsP/q5l+jlr
7aZpoQzNK2JRm6+vs+VtDBZRV89z8bkkp5WEkOijK6NNoT2nYVCyj0cb034VswvsZp/SFhxMC7Ry
hzrLMTmpRhYxQKCc/hPzXWkOBrKjLD6MjLKcI4bTdjzvTyn3/mCwziucKavkAg0xUrTljgmIZTnh
faR8iGchnHFUb0hmB/WyMbLZfshdF91F9T3lH13rCDxFhNDY57IqHSJ6DbAS5dBV4CjGGRHDWFJq
FJjphd2pVLk2jXxjam8WY0XoVKsjo4jtnhuyJAsuj79Mv2jVpcgdIwoi7Ue3c1c3XrLIydNd3AaD
2EJycA2PpjNR51C/khuc5sSWScelvHV0adenIb3E3bteAuAeOmnyRjwDaf5vtnea/MdE10iRYzCl
qMwx8SFbsbBlrjSjwXGahlaMTckzz/QiM49s4tbaTaG49VUEf8LPR1ALtaz6pvuZqi1vSh27aRtY
6bZtGV5eukbadNFvaByMcL8igo1dMw/GnyZlVCPBCZu+7sVvMz28s6t2Z3zDzIIdC576YoO4P2nU
IFusKIBLMu9ywhUYGKAkUrprotzN27fMoA29gPA4pANDo7mTuvtqmY6R7AvyDrvKkc1ticSZpg2V
6zQwT9nsCfVt/dWSd5VKdYnl9z3EJs+5bJSOXPDt0x/lRqVrcmIVR6Qkkv7TAbe+LMIC294UjzIb
ztGcYtzelzBM0uIEIzD/zMLrD6SRLwoSIODFF24gMyTBTt2qxnc2f7SXiosl3ibktjCmhb9G/j6h
BAbKyjlqhaP1oYtGZzQYz4EdwT82U7dbUEvq5mekHTtBYk7mTzEf0vyqTgeehLwBI3Q07HiNa3cn
uUfaCdjrquI9AXwwL+Pskv6ksUcqbxJ8twBJlhrDHWcgMcQY5sZsfqvwNBErbe/EpwGeEzM2bxfr
XNGrNWwMi9yBt0mqXHSPm3X5eeCBn8h+TflJnp9nJEWs/nUVLJ1Xp748OZXkhp3X9Ttiq+XknzXu
srR05wkmTB6etTHcrKYVRBE5891zOfOGsX7qNBug0jun9TUavbbeNtO+fW0oASVh/o/dM0QKKd4j
1IqWF94GBOWf5t+QubHiVDIJ9VvV3uDysabtuO/hDwZP5Y7+1dK98lsIkvsJE4xC4Q3RP6v/mJVn
8aIRQ6COz92HtgQVfyPNW5cVqPJaRsqWGYTGMoctPkz+rZrsaEi2CE/QS3PHlQwuw7bA5xBkD8iO
o/cc6Xcl4aT0+uIAWG+rv3Hk5t1XkgcgrTRkW/OrIh261s3mbSgHLHzGn8hMp/1MxU893AF5qYze
pP9URupbVlo8ZPVD06BVQQHynp/Cudm1xhEee5MvT4JbVxpAYf1aAx+cqZi9DyQAWM/yX1VdWSVy
YyuiatPMB73imp7ZW3dm9t0oP5p+feD/BEFxsqnF5T9g6fHIiU36lMRbomNsR6+28AOouGSAoXj9
MtKdTBOz/JrzlU/85hWDdHYDb97AtZrhTb7Bm3R0Mxtz0Myven5LeabimjBxomqnq9j19anWAnNx
w9kHLUEQRhkAIdwF6kZ2Gd4u8o2CVt41is/zZs7/Bq6F6KnXPTN0higI69KlEraabmtM5MHBbm5A
xdP3EDVO9SHEja9d7tycpHIjGFsfqHrC8vC1Goc0pNaAimHCChuGGqnhW1vedOiZ5K2TftfWUXlw
zAXe4/AoIhAPHZtjR4Wj1Z6tVO5Q/JD2YEZeelnbd02AryjchETvf5AVJ2Vbpuh68Ub0UhLXf9AK
JAB0N7df1Nfa+iHXgzTb5opjM7tSkWORLtYHlsUZ7eesvpxC1KZLxTYbAl5No/BBuCX6+YCTcl+2
3+L70rOpF3BTqjPGW908Kcj81GPfbG31e+JfrrvR3NXZppTew/q1vpdquA/TV5iTx9JjD4j0W2K+
uo/uKID021lztPy5NQ7KyGWuYFt+tcP3OUYUUjl8CcxqCoP2qrsplBgnccfkbMCQjxt5fAQgJW5W
oe3mn/bKRFW/iLk4zAZLm/Annq0MG+pGejEwOxS/QlM+KwXvbQ6WN0Nk4K5qVY2b47CUbm/UR/P/
1zuNDRUNUMs0OTEtTVV1F/Qf4Fwxns1G/ZAAIDaSPjw47KpwuhbWnmvIAnnWiwyUiLaaqHtptWbf
LfFOLSvHGOptW4d/clr/s0frS1KToIFa3mRG4ohua2SZX0zCMy1PNUYulk0Z+YJt9oKQCQHpxlLc
Kv5R4y8VNYJ6CK2AFZyywVbbKfXhAcPFrmz8QdkXP7TQbxON0G08e9W5uQ1N5A3L3zBqLgqUjosL
zHkr+C/Lmqes2hDMfRM7xLf5o+61ir9afgnVog/J32zsVaiT2Ro+S+GxjDedI6zpmDVkMPfjYel5
iQswMRV7DSC1mpyqq919RrrspxOxbk3mR2b2DATgZ8Ojvku9juNjsQeonanIrdvHnCwT788VNLez
FzUcr/V6BFML1/FTsW6Jlj5X4S7lV+u6dBXSjWzRNuOaIOj+EsdH7s1p8VebGetJ/4um3wmldQQC
sGHAJ4LCdBVxmJAuaqRlRSRqORy1j6EXZrh/oA8LwHd/maJtOe4XkFjIKqgELXq2S/gLeJ6drhxW
A8hd9eqMU3DdVwsw0W5dYeOO3MLJ4FiGL+ZbSd52uwkNr8KgGdJiEoxyt6uWU/VjornKzPECuAxK
MY4XadhL17V/os4CD+VofupWxKfr5mpQmFu7jtA2/BpEpVRn9TZruyIju29Hyd0mo7aRU28cfBZu
0b4I+4rahThp5ASSelN59JmT+Y4m4c7RIWXKkBkQyGuxiFKDMIoIkqKDb+QXAl53X7n5OUxbU90t
JBVR1zX/jGgCCwi888hZLgamtcLLoInDmbxxLd5247lI32zjuEynDJYVoFffix69HeBu8ygBnBs/
HxLQ/g+icWBPbgx5jCgK+Yyv43JulFv/Z//kibEZEs8Iv+sZACtJbrMxfCrcDAu/eYjfq/qeowSz
p8NIk59wpsSHFNV6V8Le1Y+O9dSMCqPEZ8b0yBiZ++B32ryxtzZNVeE5z4K8vNnjUzt6Un6W4ZaH
7EADu6VZ78tHA+r5K7Nrg3sG9U8V/uqWk9ks/WiVM9nhc5f10zq7Op/37JCcaziLYHB1yrdkoi1J
Kbw4+aybo/xl8WuGzJuLn7B6G0h0FdmFFRASEvZIiONapW4vuD9xDHbKPqq6g2jhAEkkgmIs5N06
skmAHAP1+bzLPbPT0cjfshU6HTnLgDgg73zBx5u/E30zi+XQMMephmv3T6tyzhtnngh9Dgja8MUh
NB8Vp8Jbms9Zhud3hPa7POQUKGpsj+1DQ7bSMGw89ptMZbBARZI7FYgfIwNKHxujb/rZvSisJrXT
a9t59bSrfRnbt+Y9tR2eB0BQwAolgtyS/vLyH6lkdeHbnyWDpvLRArNE6VYubXcpNxEK2cLVzE0d
y656SUrocPcxu30uix+GW5xAsvXV0Ld6Bj3HYg1TdLa5DiqFD30KRL+vBzYam+4P9dAMX1hyn0wy
v8XqS9CY61c4opYoX6ZP6ZEE0z9JqDTamhbb3k84NOTdzKpUrQT9HSMNVezjnoFVUGsvHI5rdMqW
zyb5iGLPlv/JUHSJeDcyO9CfZtmbDbjHQw4Cb0P/UNwhJ8arrchfQyEdooabJiTo8c0C25fqDyPl
mHVjGt0JQR/vRObHmcuuUaIytJ4WnYgrgy8Hob74ncN9kUqBDH8dhzt54gNKb8PY+HaRBY0JhwNx
t55rtHQRBChC7PGpDjknItfg1a6r7zQ+JSDTUeS0iEiidmu1hbPQzsbCELdfuvSiFRPioAlNPnZP
3pDIZHhH+ljGfrqWzBDg2ga3VGN4ZjZ5i44eJ48AHrTs3OfTplbM4wCjT76z5Gjq8xDdqJiE645s
BFIb5u3RbFnvs2tckwgw5nqLBgrERK23mUG5jcUWXuR+zK4I8wxi0r9b9d1SAp5LlnEgRWk6ttU9
t3kmEgAXplMrrk6KpTql9Sx17uOjHp9Ffy74A6P8zn/NTJExWs+5+Alr0rLfUxl5vsICrr5I1OzG
uj+vPTFHLLvMySGqcI6KYqv8qYD2duyDjDTLihwyVIVbGu9SzYdyqDkK13tlf3VR9PgtB57/FFWM
EbEmHIXJ3J04qrhOc4zyq/jkyrYU4ETT2IxItAsz+9cZQKj5TKbNOzgINh0EZBADH3L3VMZ/HTz8
wrY7/q2ic/8TqpxX/TRArUfsaA1nomxZHxUjUdJ+jHm21yw0WXG6V/mLR5Z5oBbzUMzKbSCTYNqX
4iXMLgItYxS+yd3UuautnId+DL1WfUyb1Wecp0FxkOZPWwG/RujmDPwow1tiX1V19Od8363wVOFz
GYEoac99tK9UmMOrIm11y1vt0DXG37byYtgVw9xR7sq0q5e7RHpN1JFJ+9uovgQQU9LvdAHdsklb
GidLkPeMRNji2k/9KS3Uay7Aqqkvi4u9Toxi8S1a5BL9IsM6FzCd633quEhj+0aMNe/c3H4Zc/Iq
2XDt9ar7pTLCP6F81Npq1wy84f2gc66Z30MPUsINrEyStR0y6x7Gy56evpdo2M/qq4msuMJCkDTv
uhQ9d4DaLQtGYkrjMYHdB06zZKdMIHYzhhZf1+TYr1X9ahpRctMEAqEmYqYv12on7OhWmZT3CISj
1bcaZZ6qazupQc1YrO+r/ICAOHIi2Ub3f8pjmFyEUCJ8KAPZG4Xdvhc2VXqSNe7FNOIFIFdtI0p1
O9hx6DSpmTmD3IxB3IuvqDUjHyYU1cISH60QAYnQRrpDFab78hxKfp9vhWLjb3PxHUza9CZxv4f6
ZRlfWD/b9GBbeCeaxC1RJJVfuiFckyKEdaO3rFMZYfoWThinjf4S6apRUsQSilXG1qZnKpog4RSE
DZmCx2zuNWoCm+qaW9KhUaTJsSTN08nlUHlRbdfqb4OeuEq5XbS7bsF/qUHe8zSo93ZmxS9QU9Ql
XAmcpfUg6EghrjTHJMhorZtTG9fvhqFQuT3CRKkeYnaxTxX9PBK8CUywMMVaQFiUHjMGbxMDrkD7
FDEZlXE87tqueBqnQcBqhbBdBAzHVtA0Ml8mhjnHtIrQCaVObNpGKF4c8XmbNjTJoKaLC8Fz7Mr2
Uqi2Y3GKSHN90rp/dmrtC4JGmnGoaHDS3dlGh6pr9Y8uPZlVsUuiAW/ckIDvF4EcnvXRT2lBsbFl
afTAL9JZswi0JSmgPKUag7PDFGkqW0ooNG6LOTriU0qYOpfidTH2Uuur9r7Sg2i+jdZB0GaKPYC3
ra/7Zx7ryO8p7IDOEitYfSqBR2powBSkWYqXzhq4v2K+0hDMNV8S0pSs/7q53YOvsI1WvVO0LzWt
GRHbzRl6WzIPIr4autcRNdG5dgLOBNGbcLMMbBb5umUDsDFIYWm1LG/A0aB5yB/8igDbYTFdLeLH
rXdRY+2GJfYHFAiDymLZvMWT1wzDtsm1XSN6AffGyJSiOUT0zPn71lwr4NTB+jY5txl++/Ge9zaB
Ndpn3f4AnIVteeqj5KRU21ydnlb7V1iA3QUbSqvuF73zF4PPoZZ2VvylCUpbJBf7GWlR+1zpascu
5btsB1Q+um2N/MVuw3tbNhTopCEiEtR4syJcqTLuiamsTD4UA3bDe6/IWzWNb0uYOWFj0XYnHD1M
UEJUEjrcsVuCrjWJ+5yrwf4Z21r2BnmxXEmJEk/Rw1+lQo/KS60NHYWSdY9sOJXpWyh0reL/gD6I
a27ytZCRdHY0gpmRfUCCrbkwgLwd3VD4WZpuh8Y+xPMMk0f5DSqmCUK+miOwsVqfnbirfKC2qhJI
zkbgG2ss00M6N+BS8aXB1NYAjwxZeZQg47RR2a4oEeeh+pwU20+s7Iw895Ql6XP4MChq4E4D4/2K
b6VAdWMYhuzJQzn4Rv1QiJ1m/SCL1LquSDurybD98iHaRefuTDEx+WG8M8bNahVbG6m/zkAl2E5S
vEkVKgXt1vPKN9BLYdEysvWyZ4z3cf0nmq3K3qkhJ2tR2sSMJ3j0JDcyrp16mk2bWad2abYOVX2j
9vwV/7qa6L/QeMpQILQMyqXJlG7cM6lhg5EMdy7eyzp7VazFOC/Q3GAJOav5Q72tZJqbj2ezvhjx
m9SCUu/lsnq8cGVC7mRhfNUGD5r2gabFHzLsaDIK4lhr/mqk/JkzWh9JFAVaAlnRgMJlsrCdpbd2
1AbRvPTXkQnTzcw49g0JRzuex/InC7/iEbiTV9hafhEZTEzYRYofvwelWGTFaw1/HfwOd4R8GUVg
hs+hctLCPr5kODc1VIg3fV5/knqc9mn3ZuVBnxu/epFQszIGOnIxuvx8lPKVdjYmegPGHGLF7Wsn
618SQ3UM8mHNyclR42Zav+0fyjvyrtGGzDaaX8tL+hyI4VI1xyVG8IR61VILWP7CNeJ2a8QosT3i
7cyFJgeers1EuNRjqC3hJ2SYPWlr5xLmyQ8uX2QnSLhaVCAyW3f9LyHZr1A4XoXXltNpnXZJeFCt
c6enTsQRk41vY3uFdIJangqIVN8uQd4QndrYch1J0f1R5lqDoYnH7N8oxeeMaVy0h1n6N0y2z6H9
nIjGl6ZXoQmiVye8CZpbZpL+rDPrFTlyhrHjpM2fI8PSt327kgHC+O9V4QBvqjzz3x/V2EHExIDM
S1tl/VPCJlYU6zFSSOoGp9AAgfoxhVZdzlZuPFRMSlDI27y6rwuJH7Nw2lV1FOWzD6u9Pef8HLhg
s7tpop3iN3YPOBAeUvkrBgSwarcxweR7vBqVlicuYPi6GFhOQTrydW/TX62ublHHECQEeRdWNKEr
YO1Npd/CMlCQom5EaJ+kQRz5NfkwFQB2lmzHerHY73aNNV5mecHdMnZJTagqhHaZQ1yLnvWzIRDF
6BYwB80fx7+4Ma0ryoBmM8blcBliEH2O/RleK4qVxZVlfB42QFX6JA9p44y1eDORoWDwqAz9Upda
kOBz2be4kjGuSOXWKqhzlBi8h8XihV0RUc5qGLuPRKePuib3d1nfs3WUEG9slV4uuQBBR9qkD9To
ONPkVJvC2jRqei4lL0cgMlQEzGka66IpwSzIFq7HvN2qo4SkdQYDZBB7HqToFo25u8ya9dTPy32W
wA01XW5dS0U9XJn2tVGoTrPnK4hr1r63j025U6O/yiZlPlEuGoOoqKfMqWzzonawyvlZDV9Qqede
lv5rKByZ34eWS7NubqH1rBFgjZ5wkGkSsN7m7Dtk+Wqb93j6VDjcYuulN95nHVRXeZUBDdOHIug9
FZDFGn+Oy2Nzsie8A2HcNE/mAskU6rmyNZNYvYe4VQuI02iFk6vC0LUZruTR1x7L3QBxHq6NDZJq
7qY2E/d+bbxJbTA0hy9zMm610HSLbFZeZOsnHCSHa0FvkuQNiRS9DAaCjFarTRTBk/TVyhEOlPTe
dcVvtMagZO/12u2aNHyTgBfk4SWZgWRjA8FNp+fZNjZnldcHVW8luwWP34ZzyNJNBSNA9CSMbS5/
LzElg5aGrlj7LhLrCHgxrJYMncxsgi0H6RvnuF5xYJpBWf5ppQHB2BNJNCvDQZ5jhbDg72p6NwZ8
QmDyQtjcd1nQLcXWAMWLhntFSvoQv+DEQu6OCnHk4+Z4mF6HCWmokEu2ldTVQVTUFXbIFMm2Z4wG
QQebmh4/Tdr6ZfMMLZuzydvWZ2fK16i0/xV1wQANfmkshYS24BHugOgxKIr2rTcY7wDcUmM8Ekic
Sj668aifAxNDFApmASFiuW3LttOmD5k6FRmbWILegNAuNFQvuoH8u0718APglwOs+TXU+mvkm0XH
ocRIRwnbyy4EGQOTSFdpOFnU0jgd+4W7NO/kOqJm0SKnmEA5SUsesHUpA+cky1xR6c8F/1Sy1evH
fjfIiEBW60DL6QZb8awgamktJ++TIAkXeoyBZ6T3JeIba5RjbT4BQR7bEeDbMi5KVG2RTxfR1H7M
9MiWQ4V/CLUaCc9mz/8uYT9Ylpc1ECYqvpYXSyfasP6bQoC8arY/hqyFeo7ZuiUczoUhwGVE7WNO
mMk4PSFrb3Zdblvb1W6AX2PxVKagfcxCshtVdnPUBpRmltIiNpb3ocownHZumupsdRFPYSePzKU4
UTodbXpswxaK8NmYDAAkUz9JpnUzs8ZRwlO1tE8GE71mxX5nARZbDsfYIbOZVyDAou69yRCnTPO2
EtqZUkCou1d4yAWPRTBNv2pjHorU9oTFNwz/xZ/3ArrbFtM2Gptdwl9L6dDwj6+VMvl6+o+Df7tU
xSGxzW3YBSzH8XDUX0M0O3VNtzeqla5SnBBsdzVHBxn2Pg4/w5bTkQcFcU2crE91pPs97LaYZ6BY
67UmIq6aaKUxLgZSb+zWUM+y06y/AqVWHw67pvxn08VE/MNjcprQxpU/9vAuidtg/qADi5N7JEOk
oGMb3ES6T+R0C8PmRwXRaKmOyBZ3qkdMZCnqcTg3IP5MXLT0M5wujKdVD4ZV8xYjupBMX+6lm1q1
WzvW/Jb4eGd5cDHaHO3Y0gPNQgG/VNtRep+aLDBIsrWTgzq/1ZiR1JFeNyE7VtI9aA5DyVsnHyXA
yMdLP3GwpwS2DN+2PsVboYa7TDf/xfTbjk0ezKagVhzDW4nxpkCQp2YGKjOECYZySJiDBObNsIuO
3XibpiSoF6x/Rr3XsBBgCvQIVHz44AfBJyWNkJ3IrkyxYUcesc9XoGWsSZE+7zPUHjooXRHfWuNL
Sm6y4eIvQr72uahfav1twssrDamuw2dVrnhA0+l7mSu89XX5qVTppU4Ise20/qLM5mu8yuQXFKtT
28tByg+1TcRcR7udtVNAxVK2ysfnEMX8NU0siC3fE4YWOYp/ECVxHx/Ajnm3OD0rMwuiCvl5BpV5
HOpLHN5YZuIKUvhQRA/bpN8Mqdfr6bcOcDrdFumVeT9pwsuoQ13NBADI0YTYOuzZN4Dk2f/3fYYO
XJ+mZxlJ6orS1l7Gbc9yYllJvlGt8qQ2i7vqxX6JdfVKXxaaWK3HM5n0s2cNKHAVJeLszpWg1pdv
1TK/SvVu5pfVGpy8lRC4qB2SrMKOTpY+31GwV5ntjSEi8nCWQZWrx3RUhcWr0oLmswK7UdoPPBfl
gwl/pDsw2cz1wq5L7IZWQmUt7MR1ZG5ly1daShYT1KXlib4cv1dbx+RtJhtfWNohKyCXeyvcz5l2
E2nsZ7rmRvaMESOo00CRUJYibR+Eq7ZBmZ4kK7xihuiT72kyn6PlQ49+sPpC5bOFGrrkqvFV0Z9T
Sbt04OytWZ+kWXYMYfmVIRtXc85QQsWm5rPEEeBUTD5WxH/JhOtqIqGtsFJxN8OMtNmxoQw0n/4/
rks5olIlYz2xGgnirMEKPAx8T/rsrzGaIwyTc/luWXeUf6v2XUMWaEgeRneWmGE4UOo3y1hf2Jl2
BrdOqcCN2JF8GjFBSf3XvGYnMz8sDUxHVLlJmWOtMBENLdtsXoLYik4SWoNmTo96Wu/VSMcjM+v+
UKuqi//Hy/UG1EneN//j7MyWG0eybPsrbfmOagCOwXGtsx44kxIlUWMoXmCSQsI8z/j6uxiVfSsC
LYq30yxfMiQRxOAO93P2XtulahDk/mMZqUsDRRsOW2LjUQxn1apOuiuvcuce7ZVsHNDlj+FCSHsR
Zx0auqrQXvLRsXxKKyBelafKLueNw4y6IcGBwvVWR9zWkQZg4VZbxB5F2mvRPTPxNtqTHLaGy02b
Y7NksX87+uBbUK3fssDOvTueD8M5oOeW1dZhy+zK+zy16Mbcjdaqzy5rVhJaQdHAqNeddO8YX6kK
Tk95zxDJiz6al0bDKIlzhIlOjlQqzJWFJmQ9D7yKC6ylyS6uOlh0FHnDcFGyc/eCRUG/pui6nZ1b
t4Rv5YvKzA5VdTf4ayEWRiAucirEmnioi4wltMdGYJnFrpgVBZa0bKXSdRWyn8dH+hK7FZFeh32D
cfwJS9vWUdO1p0X6etTGt9667Vib5eONo/xI+ifa4WzRj45QQnEA85pynLtZuKJdGw8muk25K1A+
yGqj+tprW+WIjJNdTyFGT3ey/eGJEfl58GbrMbVwhXefAxfssc6CfQ8EnEA6+eqPbNZcMV4YdPBH
1hJNf43fhSrKsBx4kQ/XCgO7VU2sCNosaPpvWIZq50cgPjRrM1bVTWJe08mkTTzgN1aKK79MFwJH
fmiW+3i8KY14TebrsqR3JJJDmT7b4eNQ8h7Eay4v4g4te4lcXFyVsKmiUlKkPPYrVpmNdSpYxEcV
Iv1Zk0UrKrRqtPel8iFA5sb4hq0SG8xRpNQEOd58ucRB5MOlq+oNOUPzJPCXtHgHEhN1HLcrxM+6
Jede2y6y8cqwUn6ZjpxLQyTg3aoUlBYRomJJTOPNkF8m+qXO+kZd1+MOZiyF/dkIB8nuMbSOj8fG
l7fM8i0O3YCqpLmlYGQY67q9Lpp5QpnLuzO8ZZGyyEadbbwXx2wsCiMyelBQd6CTQKnkXyImn0Xi
VbJ/ppuAvkppabyWOHSVq8ZHikL8bYQYz2FTrgvuEd2B4JqOpmLyekVZUbjJPKjSVTd0l3lFc2Mf
NBfV8DwYi9Ay53p0UYeHqt9bCEb14DpXFR5NP3rOE2NrS8nVe3Pym1JJd5ZNl7d0UGVijVReWXZs
2ZZT7sOoTR1pWcX+YqzlLnMcYgExbrHFzWr62r35qBofZpKi67J2gTc+hMWLozUJvhWsDkWnLXCn
Lga9Rv4QrZUQgay88I5n1LyyTefOo5eiOo31rzHcZVrnD2rbXAa0YxobcHR5obQeNjFl6ZfevRce
n4rgYDrBruBK6662ousyF2WzrcVeqoMJEZUlbOhVpP1FG7WurjAbs7i7l172DaMGAgAaAiti2Jah
vnUjQMmtiahkGNPF0L6apqBc1FAe8PI1XCzqqSU7/66BVG7PdWfYauowLIrOAMmZXmZhDJnFZxWW
tjXVFav1+pUra7LWCra9Rd+sRxLCRFTi7qTy1PTVQ1BmjPbKU0m4M2GsGLWu33iKZj0cuX3qwmJ/
v/Bas9k6GoUDz6GWYDjoNmWPTBQLFJYUZXgqxmuknZH2LSqz+VhBKkAPX9B7frZ5tffeXUETyMQ4
4ZQrNyxfjPqmtDBLDPjBuj55TyvMzkPlskZtUPZrxaNN5HCZNCy/uvrNF/plWWg7eWRB5MlNDrvI
ymSwydpDSeGYntqoRTOPIpikcWxrvBaxzPSmuSqsH4QbwTkK+63bvXtYlB2fDZzvHpyWZVIqh/w6
LRGp4a9v2XmSP2vi7eu0a/e4e8xphQj1OdbMb6CPlKzZJnH4LDz8uGky3NpkCdxRNd2w9KwNal7t
TRcjfNJwNSwrxlrZ3EpwPcj2A/9tqLd6oCxVfSntZkt3ZZ0Desrj5M6Hl8W6aUSqBluQJTrJDKj7
BuO7F10nycJDno0qNBhQNww3AVTzGets+AFIf33FvknGcS46dx5WS7+q3vQ6XzOWFm3lXzTsnESk
zE26j3ZM67pw1zqVIb+/MwYWZtadpOq6qNxhnNtJzBIbOpaStB/J8YELVsSWrYV1iWCncO86g1BG
Wazz4/KCqluRf8fy23QrGeBmI5/KokbOuWI9KPQVIiKZ0aWGZ5TZ1yoavpD9hRYBc7bwH7tl37OU
wPKGf9EP4sWYprzHx+rK7pSjJ/JAdScL74tihfEWL/5NQDN0YPf2gF4UfoDKWfeejm+MIsPKS+5l
s3SHWw0mi7JlWGJpzZ1VqXzvaoQ14aox5335Hd23R76velu5O7+7H7Rt624iT1n0wY0bXsZoT51F
r9/FxWrofqTJ0klfArry1vfApDn1WNNFDZ595oruUY2XNiFU3V6nwKmk4GlS9rNjxf4+uekTKuZS
O4o8g0vPZmFzHTFpOO3BMhdpf6W3j6lxJ1vrWvHM7znvzlhesQZeqO0VrclKbR4Kf9c4T4LFck4d
PG7dbFk5lnstm26uV9y0AI9Ho2MCY7NC5J/RNfa1UwA7rFDZZ7FtXIijqbYoJMhP2uLzEsZ5olWs
RKsrQhsX/RgyRY0JNcZEXNclaiyRDZtGkXSismrn2hnTQjPo6xYB1rzAdqUlT4X6FofDusBLMuSk
9JbjCACnDfgl82IQ7lYLy22ZF5tYwS0VK2sNE4CECJNc+sc8mH7pjz98OZdueK1mtUOJ2drlmsrO
Q0M9TVVz69D0ryjr5d2zHxFkn+osYCx6G9paOPZdm7GKRw58UZosiAbseEXyHe7cpa+yic7wBIf+
obVTpt9hLWHk9Mm6tq6Ffq2LraQkRAdStS9jturVsJemNjOLotwZtu8uQt/8Rm8C4Aht7tIHIUVj
0eeOt5rx5ulyE+LxikY62hEKfLocfisY4mJm6XiyAGSp4WsiUb36tGYG3VhTvs0NFrVy3JUi2iei
ugsMJL9K/KB4wYWLNsNUvCuzCsRM5pjQ6nDjSH+jjxgiIKz12bAAtdHSAEwPsH9monzMQ/wM3TJT
Lt0GZPSQmPP8aD+K6BIfGh7VlslVHJ3KVsREVxQW6m5LCM6zvqW6TWs+m7nsFn29xywQVMmsKdRv
SuE+KyFtYTpTlgXtwDd/WLysy3ipIcx3qm0frKyA5Yo/fHhheJE6KNgxKrCCMjOKdMNR2ZmuG6dZ
2sjYfC1dutbB94J9jTbHVKlSHNfnMQ7c1HJ2WgnU6V63wcjZaIEiCrt01upiEeKJJ8PcxF1YKY+e
Xi4cOgN17CPYOHh8I2TdoVksxpHebjr8KBxkIAotGaAv7YAhSiaXNlXDEoFpEyApQhU4E/QDkzhd
VkZx62bptRX7N8Q/b/tE3uTNPuyAKjXNO0KaUNlI5dqLzAXIjW+a61+4iaXOIx9zAqt82pDOjBrW
PnLROIU9guKvcVTakXX1CQxwmhUceemY2E6H3Wamzl/HJwzPsyMy8dDN8AyeQSaewFFPM4LzKGxN
VTdR8BkrX7nP69vafTxzAkcy3ycnYE4Yd4Xhq0MsdO1CVbv8KBDVy/2g+yFSRJPukDbkxXMTdVhj
zdJkRe/Tc31vPElbyRh91AdnvscJqtc0TTiq9bRsHdQ5Y391xOfG+NlpAa7GBfoufEr6sojn5KXT
83SVfUi9QT1zaPvUJZggkMtaWKNl82boDcC6sLssz1Ux5PVLanmope8i4jnp3WCvTZr4ohXbTtta
zUtfAzqoeMCUYl07eBVxgwT1tyLWl6Hi/OAtVvkbxi+FuZSrac0Kag9GddDNYa4PrNQcTqq49Yen
lGm4ehGFtgnQf6gOJvPQs1787oF3KOYnLJlzicPMzXuiJ5pNaCq72KiQ10N+HxtWtBjnebAFXvxk
Znn3JJLYJYSzgpH9orbYKtNN0ZQbLap3qa+gRTIIaWVV+CNmf6AXO51/62Ocd4Iu7te3VByv32eP
1vFW/0avjuIsSdWRIEb/8nqR7NybbB3MXheP1SaqZ+oaaYk6e1LmWOvQys523eyuWcgZxem5t/7w
5m94kPYqWujl199It049ZRO4qi8VvVJsT1x6eruBUaWi8VCKbyDmv5W2PssdQXnSW1K6OzbBULWi
Gg3CDoeSYF0OvpHuRVyzOts1tKtalp6bAuD9a1g9BazNE4im5k3h3zhavLFRejce1PWBLlMHwFQ1
9Stkrjfdm5o/xOZF/2EOxwPYALvGTZLehuJRgZKYL1GzeNeqD7XqKA+40juJwempRZ+XWjv8rkaz
RO54IHF6ad9RlR79h8FcqeAxInChe4UFTbOwWQLSgeaR2nnPtYYiHDkQ5sTlaOC5XqUdJe81gMLb
o52SOu1HZ6N1wXo4J9lF3Ys3EHT5Tde8COZl3l08HEl0EdPwGfNreq59js9f2SHILGU/64CYtTMX
FlRK/YOqUvdoP9G+NcWl4DXGerFpN7QuMLxV3daCG9REV0dKVyLue2C6yMj0H1XOIGAP7CInIHds
RC/RvZoGemS/WQXJeIVFkTeM7+szVbV40L2buPTwBBmPsW7cBOHey9DEONcJ8kOABCElompZD9tK
N9Bx3kn9qnHfCbOp+2vRF0uzeB3TCyxFdKofSzxYFsEeOQMUkBKuGI1Kln4XMaS04q40ggbytrzT
8/ambNJXPbIXDnsejVd+krLHg1MHG2K4iExnzk4iKJc9pAA2m6zgZjJ81V0S0ft85dNjJes69zaJ
+1KpVykLabbtuSFh14K+0qGZIGvaRDGzjrjiHTZSnRdIb1O+VdStUZciyxtDOCY5i0RBSJp4GjAD
4NgKq4dy2DXphY7CoETrjIauCLF9ByHzp9l8SKBtrord0ejmRFJbI9UAgvLwMNj9TWPsk+QABUbz
to4FIidYslTsSHSv8KFFOOO850oPvknff4zSTarOnfwhqg95qi+01rtVWPclbYvlmSiwVM79BmdJ
Jfx1n0UzxM85Esgmye6+Hs/2iRejOUHx8oi00hlyJJ3QWLCpQG5U2pegYp2LWrFFyGrR8fNZsI2x
dlCM60TD9Q05kj5455czRC69wHkYUfOI3X1X2B+Kgb45qY9mjJecEpfKtpJ1fAtu3T8gPAaQcOEj
aMZbETUIGK1yjo6zsFnNMDyirVZVtGv2nbKr470id22ycywNecV9TMctRhwTV4d82AxhddNSEIod
SvV5U69jCrcz0/cPZuC8Za45z+SPyr1wkfuoyPuT+o6a8DKv+0PUd6/CbTdGP8wF/vk+Bhese1fG
+L1Pt6Le2+N4bn1z4t2oThifqdW5ZmNoyX44hPSlQDK+J/lKZz13FFjMKYJTQ/j6bp64merkZtqu
nzepwqGy0Ne2Mi0xx8MT6o9Nxb93hAmdeEhzmfsd/g3zGE46vlV09Oszb7sTIG11giROlbILWQ9F
+1BfoFBU0Qxi9jkWkhcFDqhzAHbj03eqPY29MeJ8SKU9RvsMR42iX4t4+/W1+fzNCPz595c1C3+j
tIImogucUOWsxMw2nNXI9t5M9cevj3HiDpvHk/plQdBAS41JWtIv3YiRFSi8cZnkUdxkQPi+PoT8
/AJJc/rAqg6q7FjpL2m/4AICsFcCXkNyCgbW9MKZRAmaePEKFck+RRuRR5dK8OZCHVfcEZlWv0ja
qxEFsPIeFdSXg2jrVTR1SmUl050fMSVrVH1ztOUV1bykXZiJsxCIYoOjir9I1y6tPfZX8POiSt76
8Zum3flhu6AeNucFXGr7CgyYqCiCRsFzk15lSLPhZDgx7xfte0n+ZdOvHOUx99+0SD2UIy29MFm0
Pto7DcqyE1KKVxoy6h4L49CSpF0nVwgp+pyAg/57HoAkJ+ugoS0yODuFu0jxkpCe9K0fH/SSdoyf
XJU95hR2eHRAQ5pRQZzbZ8axdmLOMCfDTK3ZaJtWReugXvsK4Dq8tt8Uw3swPAwqOzeBI4vJvf17
I8+cjrw07QYkE+pF7eXWnV1G1TX9J2wCSZY50NXTFDRIbC8QVUVg0aRt3nz9rJ0CbxuTvZOqjKrI
00FcKFVJ725001U0WHdKwxonRQuW2swB1M9Ntaby9Z4U6rJVKlScHZvlhtpmRsnMUQN55uE/kU8v
jckg7vykaj2/EBd+Vyl4L+PaFTDkU+U5yFQYTgG9vh+djj7baG0aO5auom4wAV8adQzSwzb6tzKK
j3KZON9acNahYqZVelF3GOGKSC8Pvc0qR8/c6r5zrBDNa6fRNT8OOsz/ARK8eITo0sjKPTNpi+N9
/GQbYUy2Z42mh6EKb3RvNRYMPps6S7bKQClijpo3rk3TjdaMmn9XULSaMtsPAeSe4doTwbEHg1aj
Ct7TJrnL42FtIENOELz5JExKcgI9tKRl2Wy6khYN7tOuzCnIA2y0g2XiWeci6U+dw2Qr1BuOq+qR
kwF86mhNoaOZqy/uC5TpkNI/6BMpcPzJjSkoFi2QQubos9/Nu/wQtC/dg8J+gx7ea3fFsALSsx4v
FCRKnD56ck6IqBHgOK9WCWpjY4cv1CiByuoz56n+iOJLROU8h+8xgewUU3hvPJVEdxhL5Y31qYLK
AnbkOzIipVpGuwpwAI5mMujWKMfrFDDarPiOkblUZ8kNbEppLKPqAJxk9D10gReU0NMz+QE/yfqf
3evJ/kwftCIbgTldAmlfiU20oy1xiZJy5pMerczuJdFfxtzakaE691cOIsiZQvZYvrKIYbLYO0YL
d8bqdUNd7fhXi2SO6XEBHmVuUJl5EUtMbet4jrvwGhvDVbxmQX0J7Rhx7Jpm4DZeN5vmwl/KFVaq
v/sET957lvTc0so4K1KU51ju1/paPWBFhfdM2ne3AJu0tLZc5lk/MxawSufvzw/eIlpR7bzA5V2c
A+Gf2JEbk5djMDZRz6yvE9hG13GBe2R+vETWjMXcHGP/LFj5D2cmx+Oy7bNbefz3X172JdNDFB2P
5e6Vu3RLLMHN8AZge54u/2ZdzJi8aJwaIUipD/al6yASL6IrqaPGS3uWXV+fxOeLImlMXi212hay
jzr7UlOO1seGpJsizOCjKysnLs5GvpyYHcTkPZIKpwS3PlIooduZd83CGB7YSyA7sFedRWpBdSHH
19g5t0g6sVYVk9dEk3Vt4caI3tsGhDxkSqXYJRRegcoBT+kWuU7iSHrmQTix6PtZHfrlORB0Vo04
pmPGi2M9qi8Cn7d17tKdWO2JybzqGVY+RIYgLMezD22BJQ844tf3/lT5SkzmIttOZGb5DRXJMoNY
FJV01CPfseo5/gkw1701mkvVxi6bo6651no6vYEJZAp4v79MTJ81J3muQK4FzICmqKmOZI4360e1
QR+sAwUZEEOSVQMaXVWCC6vS1W0sffWigRix6GvsKy1ObmBTqXw2dBiNJO26iMyC0bEvZaLB93Rd
EFix6vxogMzO47xHuh8bGdwCUHRfX4kTRW57mjkpNIaZDINo33khfDYrbYdrTUkbGqq89TWfV8hI
LOUGiG24pL3RLZ0xFRtF61+jWiobzWu7M/kPJ0akmEyldGLLEa0jmRMVOB4438xnc4gGM9088w46
cbZSTCfJ0rQw+XAIX0TBukStN0u5mcvWRvxmara67Hq72utt7l4Hftns4gSXG5DXEHtVPi5CJtkz
64ZTY2cyh/pDQuvbtnqeoYKKQbCTiKqGoDizUj91MSfzp2IJK1R7b7hUij2JCnq/kg70mDO36tSX
n0yeVesaWS8IBwjikqo1PNhq3+rq8uuH8sR31ydzploHSVygi720JBQZQ3W+VyBS9ap7jdvw3IN/
YmLWJxMldlN/1EeVgwyUYJoQ1XiStbswMVhd+hfSGa9HMdgzqOcL3UCQ8vW5nZjV9MmKt4AuUxSu
3uN+e2iS5yw8kzR9/NqfvJJ/bht+mYqlTfe1LPhcT9tF6RGjhypbw2XpL61x8fe++2TWtIK6KdLs
+N0VetNyFUTpmZfxqasyGfolLAq7TPjkIyetju469Uya1KlHaTLgG/JDE5fJ6hJtP4jhQVugLIaa
9/UFOTEM9MkYLqvO8xSdTzdtf0bchasDhl9//dmnbuhkACPK6b3w+M0dPJ4qTqGjKz29lTAz1DNf
/9TFmYxiP3G9sY2Rshg6Rm9B29gCtfBGzfPrUzixFvkZLvTLMxmk3eiBvM32FtJwTx3dmWbb+tZo
wemRhSd5UJl7nZhueqbD/fz6qCcWwj/jDX85qh8jtBqNNNs3QfOaRcKkki+SdRSDU8iiBo8DDN2v
D3Uq7VKbjGaraTJeiWO4x3cTXakPY4IVea4c+gcxG848CCfu0s8KxS/nkweBzEkdDfe1yNgwpEUA
M7aQr6GN9jPHLX8ucffEE6dNhnfcB44m3ArsKiJ2fDVx8Gj3F8qACa361vr5mZrOibGuTcZ6kSix
YaDv3LeqDB4KbvyF62Tu5utbcmJI/nzz/3K1fC/0HC8vw73hrdrgPmyv1XNB8qc+ejLa6RzXimvE
4V6ByZnYPXzcZVGeeaOeGiuT4d7ZrC61lquSPEJFT3FQQTbTQAjOR8Cs5+bZU0eZjHhThC1yzOO1
py3Xrssf9GxC0hncWQ9U4/3rW3BqVKiT9/cgtbodYo4SwrQqF2FLBAK0hBnOt0bZuVgFijMz2Inz
UY+P8i93OwrqiBhijoSQFyU8xVPcsrJawngviWQ4c0Inbrw6GeUOKbNulMFxHJynNn6O4wrcxdvX
F+vUZx9H/S9nUCem4/ZBkoAquGlxt8LB9uvgzOU5MaLV40F/+XAMV5XQkZHvjT1Q9gZDGVXvG7VY
GtmZGfDEYFYng9mom7ZtU47Q1I9wx/Djnfnqn3+wPc2fd0zXb1Irj/dVf60Yl6TInPngEyVs25lc
lMofYlnESbzPMeo7tO3QXmNPnjVv7rcKlyLRT+dECadOYnJ18lFrfJkU8T5E1lvYj3V15qn5/J0A
EeL3G9to6Tj6lhPt5aisDSAcJWXnAIy6fW4e/fwtajv65AixUSp5yhEaBSZ7Dd3ixlU+6hKepQgX
Xz/7p85iMucNXkCF2Qy4PBhcG+Mucmlr05HPxnPB16duwGS+i6xssLTep1urJ49xVaPRVJ6//vIn
LtA0Kd4PheKUYxTvx7f2XnvNP9xvGA6//uwTX1tOprVa1G2Mizbe14NlQtnSn0pDObPvPPW9J5NZ
DYTDswMuevNhLAnde7RW/uHrr33qoydzWa8i9CpCj5FFaAD9KSRlugELZAwtQrXgy7qx8zev0GQQ
23liNV7NFcLfQCRSgyX/63P4fMq0f/Yef50yC9Ku4IzxxNSIPi7SlXrjpBf5y7le8qnPn4xcp6nM
VHpcflITtXtyvo4xxiWezhlqg69P4edK6n/uBW05GbttngW++vMWm7PkqnrJb5Rbegviu5h7z3Iz
d5eIML8+1ucvYFtOhnCt/PfTpPI0KVcWyMZ8Dx5u/fXHnxoIk/FrwMHxNAxs9H10+AyvcfX49Qef
qATZ01x316kyK66yeG/qs+wKCTJKcDIJGoS9H8O9gfTYXLhP3pnd+YnLNM12VzJyBoOB84go+z+W
98otXlGaNevsbx5gMqp7WXY0+TkALJIRcs+V9azfQ8gbX8wz893JKzYZ3VGhaFKEHMJ76d/St+jD
+KgOyi365lpby7d6r5070vE5/eT5/SkJ+mUMIuSxdZqv8b77iMY5Uj6MxdDMbnWDoPB5ufPfm83X
j8GJ58s+/vsvRwoV1VKlq0Z7JUV5Zy8doZwZGKcGoT0Z6H7n6kN8VHP4CgSczCOprTLZiEKWoydb
qXi3A7Ip0oRKc4d3bqHUdr6UVtVc1VVmrLO4zna8593l16d6YuKxJ5OCYVVZLXIt2hfkyCK6++Y9
mEdF3AyfwddHOLHut3+KcH+5mpXa4VwnzHCfvuH1RkIZy1n8pL/ZB/cbu5ivj3Lqlk2mBKfIbJVI
hXhv+1SGKZtnZXnmBE589DQT3M/VDs0731+lqp/YRJqG7plvfXwvffJIT3O81UQMJf4fpv2RxyxV
cPaLNu8hRXbF4usLc+oQkykgU23wEGMb7VtoXvjkQXpYtBDObR1Pffxk+CdNOpCny7I5SejHXQzB
uvPP1IlOrBumgdqJKmoiJfno7gCym0CdctG/JHdfX5ZT631rMsb7IjAV2SEJIrOxv29v0OYc06Cv
6+/Vdfu9ej1zmOPz99kdnoz3uAjAX0ScBPluZMcMx+yIGRgzbR3QfSO0WZx5Sk8MZEv/fc7qA9dx
A8S4e1QoMLjMGtjgunNnwVt+bv15aiRPrQ/H8GoD2h2LW594WwJXcPywUlna5QrxB4x/ea5feWrM
TYZz0SQVsctctoIwQlfZNI155jqdeGCn7odQ1frRLehRtAooN2KVlecMUNbXt/vE155aGkSnNKOD
A/qyhvymsoBztdufn/yfb/3/8d6zm389MtU//4v/f8vAqgWeX0/+95/3WcJ//3X8m//3O7//xT/3
wVuZVdlHPf2t3/6ID/7rwIuX+uW3/8E9G9TDoXkvh9v3qonrnwfgKx5/8//3h//x/vNT7of8/c8/
3rImxZ52++4FWfrHXz/a/vjzD/34fP3nr5//1w+vXhL+7u49ffde4v/xF+8vVf3nH4qm/UMYlqo6
umkYpmkehf/d+79+ZP/D1B16+IblCEsVR7FwmpW1/+cfmvUPy1ENQ9qW6pBjf+zzVFnz80f6P4Rm
OPCpLF0z0Q+IP/77u/12e/59u/4DKdFNFqR19ecfv09epi0swzJV29INw1ZJ5eEr/LqUyNw06IcE
Qk2gaN+sUsQPwlG7ek7vOBBosGT/mvW2u/7lCv31LX496u/P37+OakEU0BwugGpNO/C29GgZps4h
cHFC1Z5Z3HYlIXd/4yCO0CxbNaUG2eX3UyugDIP0kYfIM4xvg11WJMgUxG18fZTjC+TfE+e/ToVX
t8pl4TCqPXl/NdItysYg1bDxmUJhexkHQwZwQ6FEwJy2z/SAf58W/jqcpvJIObot9GmTMQq1zh4b
+6BFxPqovbjzqEVcVo08N4l+dovsfx/op/btl1WRlTp6AwX60JFGvvBtCQ24hOPx9cX77OmzhSEc
aRuGZhuTW2RBrUh83zokx/w4fglRWN+NcDPHXAFBHhKTZlje/9LR9ddFtHUN3rlpCTnVdcfhGAw0
XA5VgrSto0uKu782jIXrm4IoFSe6a0oHA78d20+mrI5spMR7DTzLJrDabQh1I3PuItQbuev8GMhr
nJKffubB+vTaSNMRUtDCF9PybYMGsHBCG6R+Ua1EFI0GAccGQAj6Dx+6GJ2bXBjq/2pH8fPKSFXV
ebRU6ThY+H4fMwMgFx/YyEGUHWAfvfRByandma7mJ4+WVAWDH8oh044z2X2XStn6Q6MenKSFfGOi
4htb2Z2ZYsyfHbPfR6Zt2ByCqdeWtphObTlNlbLMg8t+bG3YnqZJIjH98mxXSnQ0nJgTwV5j1wZX
VNfgErFtaUGhFkJrNoOqFh+mNF0y4pK0hRNsG7mcdSm3ZF2OlZ3ALfNdOr+jdBZd1gNpQgNj3UYd
qK6Z7gj3ZiSUkURCv+6Jz3aC/MG2kpzoygTqfdsX5YffVjUQX08S8G4qoiI7aewjyk9KLp76tmQp
1gMeua9zuBoyMbStyhKHcqDawP6nVlKh7NctSAF1QWwII5ZGutKJQ97DZ16kWRC9mFoY9GwSxxBk
po35WRZCPLidAel5UBxxS0aI6KFX5rAMS61MIAcxBNcR/6DPhq4kdarqzO67pYGswnKW4sA1i/zo
5a5ymcyzIeBXCpBN74afFnCrtVp5w1Tef5RhaGCbqG2od50JQ0mWin/HdXS2ep+S0KeNiYN1WVbe
hYXAKCGkwq/vVRHp4cpLawhvKlb+eV4RYMLGwCdFhJZG56+hDLcZdNYq+iC+NhlmMCd0bxkU9Zhd
6l0g4O8whdGV900PHF5VKu9l3w74kpgToABGIbLvxujkqpem/j11LRK3EgftzsIoFGHNSulHBcvU
1LkTgVnceAherjJYgfU8jOz4Pg0tIgAyCQONlwrBpH2rssAE3Posla65lDKWYKKhZdyMAB4uCtXx
XnzHhhATkoygEefVR98AfachigSTxNjK6IGFyKoF493mJdL8Me/ctaoCbyAxF2zfwne6HHe5SmRC
blmKsrIlXIuFaXkgBrSWlbRQQIejye/y16Ry7RZzOqHwCKKJGxVR32PShozWUdy0yYgbxsh7M0nX
IF4jzaF9kxI6vKldcXQcVQiOgQ7pT3be4B8Z/bAPsWBIF0Zx0QkCILIjxi5qdJbBsKjSWWJ2WQca
RnZ3dQC7tBCZ+FB5QoebyNQ6Immi7oqUVlRxaaODdomoIxxJQP4IXrrRcEKn0D3rdRrTSCHiwNWU
VWiOMTBEo4PM1tUl26E2GUAbjzUIhkJDSg7JuYT9r7WdTvifk7WAQbxejgA9fPujk6nawM0mG0Wp
VMZNVZgq4lsrAIsYF3CSlq5o+jegksaDHsUVtIciuLM7+0jaRXCOMVBpxEtXDDFA68Q8RGIMXh0s
3+0iMJyKVqGTRdus52mG6+T3V1CPMyyjqZFtsZYpPd5aI38N9I4bNEozeSUR3XvmG1RPaWvDrwNi
Ye9aPSE7RGqZ892JhWvOgDdjAsmdOilJl2iGZzet4WHqXFuPVZMTQTtQVHUfRyr8LmMkXibtk/B9
4DaELO1TKvx6mL1ZkeI+y1TChMs63fueV5rx2MP8DIjXDoE5pR5GTtWJsIyYWQb9VDd4E84r7viN
VEwdSXZqB8+u4vt7vdJJcxSKyzbd7mjnrFz00d2qSwpBBG9KBWyBLMZ8yIy2vVfj4zPYq81jX4Uk
7g2V6mAZCfKRM+gLYoa90egetd5yD8WQk5NSBBWNRFpQKN0S2DwEv3atT20jsCDVKpIGc1a1BowD
NwWZ2BYekW6RGWgfXdmAwfOZlvvFUFbg9vTy/7J3XktyG8GafiIogIKt2zbT0+PpzQ2CpCh4WwX7
9PuBOkeaAWemQ71XG7E3CgZDRANlsrIyfzMk6JsIMTzoGtndoZompJ0hjd94pOogR3ptI5vtCvA7
IypRix9rmcGwxrPiTca6h/uKnkK5b7XjPqih4FYZaZSBrMgpnas+HbIj1lB+cDsSyeuvRddWMy5z
IkEOH/1giwjUVKWU+PJVKCXfBG0bKdoL/gwLoB7cooMV47eD/c4t2qDFyg25ad06KJJPhh0XOwM6
oYAx48bqVuVZauxKjZTFxq0hWm59/hzul11BOR5KOAtCzs1y2EUtYVMMiJ0Mc5JD8vDFtWUn/l8l
auEUJMd0Psz2gFKakzQV5rgOQspDH/b5pZv05rVRpgJmtx15X7BcBmtTmwGOV7OHu3Zne8affWao
jwiKSPdCjdOs91WK2V1XFHRqy7zHVta1fpJ/O2jLlwjObOsWuf1jF0Z4hhuVyse90QTOm1rEcbm3
K1ou1keUF833zdSkObr5KkouATtHej+7SbYYUldIfxhxiz9QXBdTjnli7kaI0qR4RI4pyi4GXJsR
wrOD7iPG8NjJzENojpd2XmfG3oN4dZerEVU+HeSptZ/sBl06UzaQSvs6yzHRKhxMZVINTEJoWXwK
zYBCY++nnV7gHqglGRCvcRdzlpXl4FiCUXlRez4+03HooYveQ7ArS+/b2A4A2kIxoCDtZArLPIlk
erJpPQ3n2J3gaV2MToEi16iVhSKHl9VI+6QOxqhO18FuUMhQ4QIZ5+EPe0RdXQ856sRx2LJ3rJaD
CJMsmYcQgkM8EclmMAHzJdfArZO68Dh8qncUWpIB/Smw3B5qe13Vo4DGtQL5nyQaGoyMWPVIjoRo
wHBBzUAfFDlOcqkRc8x7bajwFBLjoC+UNQT9IVQVJ5WXB1N6mYSlZ9yYedXHVyNHAZQuN0MmqVCV
/cknMzt6sYKNpmGkfjZJFYaNNqcIEbjMD+JdHyXo8JVG2Mr3he1w/tzPVoP4KKK27pu5sPyvohkA
WYWymchPZnDMgZWFyDn6dpGTMQ1ZAxOhUXzZbHNl2CgLmwPh5da0DRTeEUyKR+JgD33BcIa9Y15E
nbaKLadRl24bjEGaTes75QwjeIAZ5aeRhRCyjUX12NlddylChVoKKrXBAd1lY3yAT5RChQs8tDqN
aqyNy8FKi3ceSlbBZTsNvoHefeDzj4Aei/6qRbAk/hAi4i83jjvL4tCihAV2hUOkvMh120FfYWMg
pWBqTjXVJkHyow9QOk12SzW+3qOTr8xD00eNU6GfYNP9Rz+4HrOLzjL97H5Ks5tqzMqrPkI59DjO
DmqEUmIfvx0igRODk0b1T9hXuGw4bty6uDCBzNomWEtg+eeg8Yx82oS+T70otHtkKt2WHLiztrqo
owKud8NFTOvZu08tzlfoSnP+IZtlKmH3zWhfcddyYFQb5NljgB7I6Fpee114PYq/dSqzfjfnSfq5
S3r/f9ih/6ng9GI16UkF6r7+WeIH9POnvv1W/z9Qd+J+9Og2vdS1ntSdDl1S/vxmbBKlvnWPq0+/
/t3/Vp/sP4BM256kBiJMk3rLv9Un7w/f8gV1J8/kD/7S6vnf6pP4g3tTYJlcAi3LelJ9Mv+QXA9p
KEhhQUz8v6s9cfUObE47EXheIJZ74qMSw9iEU28h4BSZhjdtPaVpY7WiNA8h/whTWaP9YFJ9ONnb
elrrXi65gUlNTaKT6LmWuUYMcp2rmr5O7pdIa1W3PWzuuNDlph1uqOf/dFBLQRgrx3gm+/xohp6p
e60q079+GnlD4S0XbO5q657BFPpNPjTtfZ/Y7fUQg8TE18PGKSZNLOJ248fR7WThe5tjDB1uTM/D
AJL/V0QXJ95kKew/vR1TeFyqC8JF7YL3eTr4g6Uiz5ni+6SM0K4AziiQEc8d7jDAXy3kOtRs4Tjp
ldb3oWqVv0mLBlcCS+ZZvY0Qraa5acC9Q+MJAsaJl3tmhhxCBgvWdl2SvKUh/WhlxGixWj3SkWbd
oInQZ+H0V5x2SN84OSz8ndO3mNSMepz2yEXZqKxKPQJdVV14olTxtPP9a74oTHk0bvHasRH+e/oi
7hQ4RVyhfMKi+F65XfV9rJC8AgmfoNNaWJ/6wvUfDNp7H00PCuXr4/B7sS+gPmJ5ywjYyP2sugyF
SV/SVRh8R238MfFG/V3YIr7Akig6US35vSTDLwVBAGLKE9SWl2LUowH3gthyq8i4ayo3/xQiVfZG
DPLhv3+NKwlBAeLrJBOr7d5XboQ1mH2HC3G9A5w4fhgj09zrRusPr//Sc18TsK9dEVAf/62smHWx
nxpTdj+yid6SHzT3wNmcE0vjuckJpEP4snyq+r8VfjM3EypP7mFaIZHSuHFxNJ3GeZtWejqBrn3u
e6iU+zYLkpC83qvVwEU4TLJ7B+H/fa9j3NGQ0+7GE8vt2Z/xPYplLsZM7rqRrBEN83WW3Psym9+n
HP2IRZanGrGrhuavLcXpL2ybze0Qf5aC+qOlhqRXhDNIfF8lpjB2jd9gDl+GQG0tx28/lzayIjiO
uCYKh4iJ7lVKtW7b1sLyD15osc3/81pxHZvdJUyOBcrqT19nzpeLGbqJSpftMYtmE214jNJf/5Hf
mwRLIRfvg0BQ6PbXtNC6yInmjXUnKOxgTrF4H1TlpzjPvo+y/c9tDwQ2OUxdWkeu76zBxb5G/UG6
490QopbtdyGmKTai/a9/0DPFVY5syTJxHBQTKVA/Hba0jLnI5xiGTL24KhQyxEVbQ3j2A9wsES1D
wgfci6Ceh117mLqfXW829i3t2Zu5M5DRTvLwfdPo9J1II5w2WrMdqSqk6Vu3k+WJ6La8zOqsI4Sz
oANhmzROVgVnpxN1I4S480Rr3M9VX3/3Im7/7eRQ5sJr4tIcTPft6yP0zMnx5DdXlXQdm2OXaucu
FbwTShwIE2CiVVzXQY8mhl0vhJ5c47NgLddrT3nGCTjjM7vZo0Pk+qblBzZFtqcz1NVKJgSVOx8t
fe7/rbod4zg5sdhWsKpfu3nJpizP8kzhe2uYAoYRuNho8448w7b33VhB1BWxxU1FzLL/7BYq/sLN
2v0yZaQbiOY5QJZaLyj3Tmoa0a6wcw+TW9CLJwUQn9l09FWtgOAMHAqR2KcDMFP7qmXj3LGOg10I
ce6tpZP8Ow6WAuHNFvMZeyjxyFAYuXOMj5/H0l3sKPqEP0kMZh2jPLQVGvklWv03eaGHEwH3V6a5
XpiSDMfkSGQrrVuUlI7koKR51yWpdeXHlUi3edb3V6pXzmXljgmNKFV98cqxum4pZn2ylfbRQWzU
ZNG6QAHDi1pxHOsyuyoLo37/+hp+bglRzrDpNHvkB/ZqDeO4pkwuEEjNuOVBlbLdpFlwSozvmWny
hTDJCRxawsH6HI0m/OoQZLkraqvPcC9z4g+FmXowikPtXJTpWBxf/6rnTiDfFYIvYtEGIlhO9kcn
UD33g+VY6o6ypL62NFUilaXO19YbxMPQliPCnFaMVfVkDtatk1jjpeOa/btwpqN94vR57uO5zLCB
AtOzbH+V4VWNV3mh1965Y2zi6jF88GETWqK06C6e4qU+t1f9gFSS5hMtRbm+fOhS2GEWq7uiXeTk
AtTX4la1hxCZKwrhM36qZUiDpIJTSuUQ6c0iCtF06iZJ6WWedLwvW8CZr8/GsgtXW4CX4k6Gv4yk
r72Kza1u/TYx2rsBIaNtIawv9dz9HALze1jJrUcjSuFU8fpPrsCNv4IWBApBezQAZCF+LZBHCyCr
wSu6Fb6ai0udAQEVyJyD4owl9aaiy0YtCo+0SdyM+fyJ+vedb3dv3EnvtVV9jZZ85PUXemafQRVh
LbIJXDKRdaSyg6aXuryTc9QeWfCLxYnrn/jq339EWhzW3PiX7MBZw1MNPHWHtmruilHEHyAT4qgd
V/8N3riMrHTptC6tXa4TzlrrqrIgUDXucFd0TvvDHrzsanZx3n19uH7PvPmRwAEvAwjGIWQ83b+l
ISvD9YY7DfDxXa3h/IXzjG1F2rvFKYT4r0Tm6frkwkJNjVqI4xKdVutz8sx0cOIWa5KknDBscaI3
8egmH201YkQ+jPhiiDq1P5hh0R1HbjXfJkvEV46ZsY+nudmVShrdzijj6qhTuqSbQU9Ztle2wnPt
9YH5rbzAmLvAXeRSUCFwr8NJ5roh4tmCHtuIfYceOmvembJPrsEl4Y8UKDfBTJvaIFLT6DHxXz1N
lxEykfl/XNLLm3CRYJtJijxyzeHK7BHZiGa68zJ/3pKnZrvZTE4xgNcLYbmxWpbpWg4hjRLXKnef
giAydNTdDWWLN8qQDrcebj3OhEvOiYFdZvnxKvj1S8u9mBQHk5w1bYYqlSV72dx5xWIGQmXFv0oG
aV8kCjt1c0Livh1inEH6+KF0B+Onlo28Etozv5x4Efv1F5GrAyPxo8gTlb5LHKVuOVbKh0YM3YNp
Iq9vYCDQRFP8IUfnNe+m+aqOqv5iCkYL6ddI4LQhjGw6MdPLIL8yNGs0B72fJG3DFnlVw2woJFl/
hrmi1zbQrwszNP615bj7LAP0adXNf41qy8QIF3QXVUlL/E74KpMArXIU/ws8pYNGC1xE3OJEwHnu
E5dQI8kVHHwhvacBJ5wdp5rn5i6aENOIPQc7J5MbD5CKi6Co4s/NiMHGWKMQr+LEPPHjvx3byyeC
YiNy+0utIVhNeU4rbpa6uVMqQCpsHIS4KRCsfxfEfnEMElSikQJsSzAn1qi3TbBAkabEjn66fdnS
eIwHHNNsq8Ka+4zF6Foue5zLs0/68nRcoFVo18oVd5zFObgvKAcmPQI42zA1PvcyhNeKlje+BvW3
UQIh6AATXSDZ/7bKRHdTFXXz7cQbrW96y1iR2tgSOJBJC3eV2ul+Ucix9R1MXgMnrCpWX6xE+Thj
kICm+L/I4bZqJtXsR+pHySapdGnhGRB1ausV8XBv1Am62bMT9O7GCLvukNLxQZozN63+yqFB//PE
Gz8XWRaEIvNKEPPWeF8OFbMaq+IOq4Fo3tuZg9pxYM4BZjMDujdI3GqD+kekMCShD6QfYM77P+2Z
pjgerrI4pT+wThOWEVxudBQsXDMghD+d0xb3pMjr6zvLaOZkW4MBPGCE1/Wn1s5z3y3pSVscWGQl
Cyz2cRIOOIYOc7J8t02LLmiK9ntW1aOF8cdoHMumQi+y97q52c5xhgNw3hbunZf7ldiCD/rPpVY+
WyLJQu4CHHe5yD59nUAj8UY79VYFk7yJSid/01tx/DUBgvPu9Rl/ZoClw53fpdDKxWodwfGHcND8
N26ryR+PTlF4+xGS0oni5PK6q6BMadIG3UtYpM62HCOPMlyfbJ2WbnBbg029DMMRTx9KzG+yjC48
olpYQ73+Ub9HSAlekGYRiRlou3XeB9+nL9qhv1WJUJ/NtsYBdS4H/B6GoHPKjW1GrbNYADYglKxh
+rPsQ52cOIiIOeuvJkujW0X3lbu0pMPy9Ku5YcVj19W32HaCwsgGwCF7my7F57Gd5WfX1sMH8ld6
GRiC6PGH4/SDidJYo9UDXotIg0cRwJfbtAhDlMWlX2LTEMYSzx4ZzagRWdVsfDIN5c9XU5ObV8CC
AFvJTjOoXeuC5cjnIuq3wtPjnTXX2bsGh4kfNA8cFNpNq6i3agYCsgH+4RQ7B0/gfu8WvvEdY6rs
TZ+0QM5iTskfWpnRHfS76QeypZGzr5ocdOCQ5P7lOLmTfYxw01W32uvH4aLp3AJvIBvva03pFFkj
u+jeKsdCWBUVAD/YWJ0IuwvTjzrE+TGv+hPwV4PgdG8ZbxtAj+W2F6oE30E6c8zSakBAzAYslwgD
Masqy9Cd93vb/mrZkcAew4D+DFZxDu6TxEYrlh8XePyZZtldjansOhxabDTNS3pdGDSkMT3rCcUD
ykLjr262rKVFZ/vvNrf+1fPWmYmPN6CP3tnFIGD0cgmdSqCvgTHhgQxq81DgLSlRm8T5C7HJv/vs
JWexscWKeWnAO55wb8Nf3flJjlgVYDYsR7iwfXBAJIS2vHRa3V2qpcVfpok57PSvzn8/Z6AAdAgo
AiF3IjJQvqFAzCxo57vCbjLMe7WHEaWuAAPscMEZmUDsBDB/sNia2MUMOHOnjpO9F73bdjuJ3bWH
yV9V5jvgliYe0rPnNnucKcFR9orZ2c0yat8Yhc2RCWxB4BObC+vOUaNP8At7gA2Fq6x8P6tusUpg
cr9kqQL2pEWMpLgRFyWeTULTvDTyDhNG8B8WrX4qv+FsjF8rsHnzFd7ok3GInLD9UeHlMt81kDoL
pOB8DYwq0tU7nUeV2k0OAGP03VMLzf3Ech8mLbK30dywgrDkaLAha+oAq2c5+nKLx1oV7Wiksqpl
WCuoYSoYqs2AXMd4UU0loJaitcHDxDWF120/ToA7usGaJOD4sGj3cWE49o3Iu7Tb1djnfnN0rIFo
2KX/rvKm8b09Ca+4cJI07i/ojiF4MKZj9t4cFY5vrZklMSBY1T/04dC/sSq6eJuOM7/YJ6MUf3rZ
WFsXWHiIfTEn/bXv2vXBxh8Kd7xeXVboZdnH0OUx20aG3mbAcP6D509WsQm7Nn4PQ8G6Ab1uXDdg
0MuNr6wZc+EANOSxMkr9XncyuR91iDtOEieEtoaC0kdtBqW9FWMs8cecB4cYEjUqwiO0H7u/T9H/
D36AAEPi8TLp5vZb/m1SCenh3xSehafz65/8jXuwLPmHICGF08KlHYoNh/DfpBsp//AcklWIGsAi
aOhSa/kf1IP/Bw1e8ABgEgL7F+7hH86N+UdAM9HivDaXW4ZJ+fC/AB9+IRv+PZ7R1qIHBOBhfVcC
7BnncxbaRwMHy8upnHxKT4ZRYAHfDdeaqg9ioY4wPnljD+a3XSKFWzfZcY4C6w1Qm+rK9nV7Y6R2
cARIAMytsPHiRnxFi9uwtoJv1GyHY2xCqtyHXAW2k9UCwVvgagkaykAjHw37w9/v/JjJ86s29dyn
rM5aWSjcv5zOOaJhrMCqpgEYI8y3cNxwDWfcU7yxE8KIR/Ejs5V7E7U0YbZhQGl1N8Zd/bNCIurj
XHgN3TBcXQNw0cTfDcSTHPMHV3wZjCC4k+MUfGWu80OcYMq+tblmfQvmOVG7sS+aL9Oggwu0to1P
XR84NySLp3hET3ObfyZrfecfcIwwZzd1j0hs5gD8gln/oH2BqlmaCuN7alf5J3eefdSCIomvZxHW
/ikWztMKx7+/vaoIjm6pmyGo5qNtz8YDmav1pZEq/AxtoDmFh3maNf37G6tMPzTqkeRimFlc9vjD
t6fye9Ia5jt/cuNrWSV4oJxYK09z/n9/aZVcl6lvJ2nv2MeE0fvLt+PgLRUD84NuRaC2U+9Pl3UK
yXznmYPxJh+lf5/JMaw2bhuZHwLZmB+svgu+c+fBh7fJaoD22pHp0hbuio2BzijaQIH1p2Ukw004
5ll14rryNGn/981X98nKjGOHjEQf5sQ9lHK+cizzPzX3/3308pOPUvSOaqzAM1EfAA1uOF9wQqpP
dOdeeutV9p/pFnzqgINHKJp7y4zfmrh4vz6XLz1aPH1riZR7GtsNb62yXYEdql0RpP8J5M9ElJee
vCyeR+PhOxN3XI8nZzmaz/iFTGW7P+/R61iF/KzjFJU+CMPcC+xVcrPbnfXotSBHJkYx+8GgD25m
IrWf7oP0VIHthQFZq28UZZEU0nbVAcznm1ikP9vQOW9A1j03eDt6LqtYH6pAfq/yFCZNc0In74XI
5a/3+jgENPmXZW1gibsQG3C3ELl6PzZl9Nd5g77alWMnTCss+A0d96RkOEbIb7YcijPndJmQRysx
T3vLGyQrsZgkRKCx7fGSsk6Zyrw0ravNWcogd6wMkktNEWMOhr1um8N547LanMD3cFuoa31Qo7mL
IryGZ6d5d96zV9tTeUNrwRrQB1+od0Xt7lKzvzjv0avtGZQVFI8y0Qd79HeViZGecUpUaDnLnslS
fkP3GElPy7wgqMDL+xQWmXUJDFpCXOjnKz9y07cRfKETxZcXZnatltGmEwSFmV01QI6brQi7aOfE
EfrSo1dntQP2MRJRxBDhD1cOzsGKT6mBvvTo1Ybt2aBQSVp1iNHFDTzsz+rdWfO67jcXdQgRplXq
YNqIyJn9Z88TJ4SDlpd7bl6Xj3m0RafYCf1AYxTux6l7YTvucjEPy2MikaL2/cw4Ud96aXBWmzXF
krYPsBY5yGnCWyrEwr3zIXSdN0Cr/RqXAyURyayKJn7vhT+H0ng478mr3RrKKJgnIdWhETiIUwD8
VPTT/9w+n0g9PM79XxqU1X6ty4QmL9feQy68bZ3WB2pM54WCdTU8hr6y1L/UAd4E7tG1I3dJP5/C
1b7w4mv5C2QN7Un6njp4c3Cd1eNhcRc+a8Dd1QYdK5tFiFvlQbq+3noeLONKn7oNvPTeqy0aD10O
H0SzkSQcWq/bTVF3Xha6bpioKI6Gvu/UwbWKj6ClvtfhKZL/S2+9/P2jPdooV5TzOKqDWNxTl4qN
ONXwfunRq23ZdFXlwD5Sh8ww9rX4EkzemQtwtSWr3C3jWBGzKOIcQWzs1fT2xApZ7m7PxCx3tScN
HJ3hhbK2e9u3d1UQkhiR527xDM7fmJMtb1ChauQ26RswXlmcOveWatJLX0c4Yaipz7oNRTX3cxeM
wZcYN+FNXniY/knLf6j8IqTkndQ+Fj4T+maZ9C6N0Us/mChobWUCxc/NMCegj32cbW3sItd2L9om
w1+mb+LLOk4Gc5NQpP6zFU5xoTKQAYPwp91ozMXWAM8dwKSqcIVRafczyV0qgUOg0GZNa+G/H2Fa
7UOZm2+NyavwUg0M/VZoMJAbNOtOsftfmvhV6DH7bGplz2GFaAi6jOVOtf8NwvLPfWxtnYVmH9XK
kJ1QywBvZ/OtGYrz4vzaBItmneENy3INk2MGz8Kr8t2JRfX8mlo7UXk56s61yZPnGv6bm3TfsWQ7
L5t0VlGHqnYBeiNXhzQr5cZSmdrIsHt33ouvUniIq+OsTC43dhVeV06Cm/gpDdgX1shS+3scd+a6
C1WBR9hBd8jLKorau8zKovOuTuvOWjyXQdnF7GJ/xlTZm65nWIznjckq9ihOJUndj8nERMszMO2O
xvPC2hplh2/IiBS0UAd8svfj6O2G/NThtAIf/btxVnvS6GXf0ItTh1FO8TeogXR/8JHZxXMo3wOv
1/QU5qC/s/JUoRzHbco2YRKdNWZrptCo2nTu+pR4HSMwYNpzsDcmOz/vdFzbEqWqLh2f+iZpt9zh
dj7UZ27cNXSCMzeeKm0xISq/rOYSdvApmOML63/tQJR0Q+aWBcvIcpL3ZmnhpJWcMrt56dmrbRsW
ZtbldB55tkHvzzxA9t2dN5OrbZtNXjumYaUOpWgfIBXvjZaz5bxn209DQqHG1nKX1x57qDrRldX8
PO/Bqy0b+PgpaXdgPOS40zj7zidLwC8N9SpdqHuo/arj0VgbNDB+7EadCGFLAH8mEVlLO1mWYQws
bH20EWfYay8wdu6kiovYt8f72s6j8+7Da60qz7RmJFuY0SBGxzcL+zdBOp+a0l8yPs98xRo0K0AV
dXkTsTfn2dtnPmhMaish9b0Ef+JaF+AyJ/OqBQN1NfZje9Hh+rWZXA/NX9l4510Q18Y4NTIaxWQX
vzbEbYzywSZMTn7jC0tgTeHA2wRJapOTDJbSw1joh9qKT1ygxbJCnxu+1U6OMiSuHItzTA9ZAZQo
T/O7aozF1vCy8CKhe4Ysk1c3+9pbOkcDqjQNdHcAZ0q+a7y+/TKhsHPV1FLtQMzJB9+YQJUjNnBo
ohH7WDqt+LrjtgdYd7gufOis5+y5X2znJ+d7aQxp2fXtwaoL88qd0d9ypfLPCkO/CNOPn95OaApl
SG8dPIMME4EqdziF6FuG9vchR33saRSyhk5gDR40B9OogncOkiFXcenZ35oIrcdzxkasKdVTkIoG
g5Xl3p/vSPU33dmLcRVD8yoFYSBJB20d7Cf5lTbAWRMKEevpuExJnGnP5cAqNFC7fsKAFEjDiXr0
S3toFUYthKFk72dcFZV3a87lOydA3Oi80V5lPg4q8fAb2Z/tlKPAocsDPK4/z3r22oUIEQ6ROhO7
iSPgCoADdkoxAIjzHr5qL6IC4TbuWPfHFtWt9xrRkm1C7+1ETFyRBP/JCNfkwGaSRUo/rjs2Ek/X
IM+mTd8ZX6bAlBdKdMmVNVJDC9MMX8FCqPvERo7CrKS57UQ5YWbfdGDlk+DSAqV53dsDWmahl+I3
Z1vn5Y1reyLuyUPQuFN3nOrWPpgswS1Qf+vE+L5Qdl4rDITtEHpePYvDNPvjVd+6xREYWn2v3SBB
HUmAQZGWFifO85d+bRVXClFnakpNgbQIMtwDFO8bsE8OQgKBuo09e2mRDv54AhP/wob6BVd+VNaZ
4qQ2MAfVB8evgivR9XLXhczQ6yvz+RgJ2OJpLAhpuHo9eO9jLvP60JjaPCJO1e6mPh6+v/4TL33A
KiLE6FiCdQssZPxc1EeL7M+kL8+LNr/uSI8Gxx28Lkf5iHJaPP0VJfXnsMrOa+quyQ5G3cs6KbnC
GflFYP4U03nDseYLu3Kq6I0GrNWy+EoGiGdtUgfnjcdaxBJuzlgiy2AfSnYuMLVh48eIEp01kWtY
flIMLg06bmdFVaPOhOROGpxX+1jTV9K5bOveBR8GzkvEG5Oi/7seGcAzH7/asVKMIcybmWUSibuB
S9WuqadTSO4Vze2f8ItA8JMCSIvHem2YqQ3YTaZH3+OyHQRdtO+wq7vKUPqi7qiTHylZ8bum8ZJD
2QbGtSzRXB2HwdirwQ+vOCrDU7n6CzturSpqYxsQDWjaHTTkjI3XA11EVvr4+ip4IWKYq+0cFYKT
Q6TqGLcVONw46rs3fjebHwMnyT+8/hsvRNg1sNiO8NhEH649lsLMD43b5G+X/Patg8LW3uk9hGQq
0b57/ceeHy1AZ0+nz7UmsNo6sg9TG31I5+EQYi35+qOfv/mhR/D00eXoooYxeKjV1/iqIvfkbISZ
AlVOon0ZEMlf/5mXvmAZxkdR0Ea+oc2VIw657fxlusUlrcWzoiBMj6ePDoWep0bH7UEGfXU0xwYO
nuWf4o7/ctR9LkVfHT+ZM+SzyObmgE+s596kvWd8KCrUr1C1Ao8Edbz9iI69/cCVL7kx+jmINin+
g2A8Hfuhnf28XMSBp1vQruovK+zKiymM2rsuLsx7zuDygtohrB2yoTSW8QVo0hCg+tRs8xRdjwvA
8vHF7E32TZf6023pyeoCo6zqk3JRLkxBPnwyM8u8QKLDO6W689JsrTZQ7RZGMyExc2hKhYuBzK7D
GO2G85bCKkUuWzeZ43hsUGxFCWKIgUSL0D/V3l+xNP831FlrjF43yDiY2oVaWSvvKgMRuk+dJrue
2jw+5FO+sB1idH0R2Z3DeRPMoXhjRCWKuWWjrkMkb+adILUsb2BRhBsR25baYhVdXqReaZ6H5IHu
9nTRpk6SjLZr6oNh+v2NjBfsIgyuE4fJ8wEQju/TpzvYsEC9y4ZDYxnWoUM1eJ+Xorqo+vYUVPCF
JbJ29pqBpU+IZjeHhp/aqxwBWVfVZxmYwIRfhQudpPUQ61gc7CZN3saG7K4tIOwnqlDPx25rrTcT
B5bSRhGJg5/I8WJWtf0QK0K514TyDXhK/4M9qvLT68v9hblYSws41MFlP8j5mLOoPvXSHq7zqRkf
TDCWJ6Z7idXPhKi11ZeJS1ad5NZ8TDPDudaD73zEgjh9r6CZHGsIyXskWdptbEXp9vWPemkEVzHX
TwvR68QyjwrnuHTTZAOGFMVY2/sFk3o1FdX83vbBMJzK65bg8NwnrqJw2ikkCHtvPrpuXwFfKHHF
DAYzOaIHKaG3eEO4t3IRXSU2LcCuN32Ian24rf0gOBQO2ux+pqt9IsN8Vw15yWCkP4emjuNNnvTF
3syK4ks0IJldGbOGglY3wwViW+pmTOLxoxMO3r3olT9sVZG3D7INo3vEGfNtG+bBBclVdjvpqFSb
uQ3DbTR5w9bThrmVyA4jIJJ81Z1R7eyhg0uUh/JED+eFa7W1di2rjDg0EdVlcQXsvi1KydFfrYFU
0gaRMuMruyg6lq1l7oakEz8dvOJvvWHW7+JaZh+NwasfkFr1Nl4IGwlnr2mfOJE0tmhCxH/prjhl
L/1SsFiF/LSuuF55XK295fJL8/O2xA/tRLb3QgazxlvGi9xoABj42MF0vrXHwL6NbEd/rdGu2MNs
cnevr/kXPmINvmyn3jRSeHPHYWzznd+EaApT7zkxlS89fdlpjxIkV6eV6sa8O0aWM+HCgqA09lbt
lJ4XI9YgzEFkQlad6o6VZQikjZVj3um6zd7E0zxu88qu9uMsJ0pKAu2y10fsebg8mmhPv6ketN1E
ZdcdS8PPMBCKYf+JKsi2Y4UUMxZM8kemBjODcFeE11NZR/WJX35pNJe/fzSaIfBSWFbmdKxN+XVs
vFujQ8/59a9aicb8k2GstdeQUW3GMYq7I1q2eABLM+2vddjkP5y6Ky5Qhe/GXWfKcAeZ1jxkhefe
Is46fNNIPZxX1UXW5+kHStJSPEXM8sBO/dwTona09U76ny1PeSbarhUuZBj0dtT4+jg0NoVdO7tO
/agVuzqw6KS0yskvvTZpr8M+bXf0usqda1eAvsqyyjZ9c1oV6YVzZq1eQcYbx11ulYei0AYcrty6
RN5+Iu0GS7Kb4MFcllVa70165DfjInHc21N1gWOFOEAPyHfFgFptZPCaNP31Du2pYZP7U3SiG/zC
4b4Gk8IqDcs6GcpDFLTRJrJ1tisNHLMGkTu7E8ttOVOfmYw1hlQrXYupTPrjAH/3UxAqoXEXcRkE
t0TYe3b64MqewHmkUzCN+6FPuWLEfTzvKxUzKV1vv2tHEEKnGBAvbYCFl/V4dyH3ObgqplvYN8n8
s/Vk/BEelZXCeB2HnRNVb/8PZ+fRIymyLtBfhIQ3WyBtVZY33bVBbSHwEbiAX/9O3tW9pdfT0mxH
PeUSIj57TkHlKK1q3o4W5BYo66XB0WdkwvzbBskfYp7P29ntUFGNUcV6UuMX6Kh7gKCJ2wM3D77b
Y3BYxvbfBYufR1aHOQNmDqToWGEoNrdp2kMON09WgQYWsrvYBZ34G3vzT4/Tp2Mr34LC78PBOtrV
Ou5luC14bwxu72mc//I4/eG29D9FbtvWUH9zlXnUkCWSPLNYcbXDt8ZjEoMO6d8kjdef+P97aD+d
T1tA5QXxRnMoVxDkekr6/G/n75++9KfkNKiV9o2ZLz0LI42skw7/ZVLmfwpTwmlaFeuZ9cENO3WS
g67SOdqcfxczfx5kZVIYwLtYYcVYNjCpyr+ukAml3DsK8iB36siMdk3Q//x358bn0dbCVb3TlLI+
0H32D0M1Bz8zvag33ydy0WWVHSJzqOEQCuZB+JfqShguD8Avh3QuGpGhgpB/OzP+8GR/HoYFQB7m
nq+Wg+GKOBg3Tok61dnf+h1/mDiCIPG/R9IyrM1WsM2NG8UxsAlew24nZNM31k2uoFZo0R/Mqc0e
DLL4at+Pav5dwKX6W/foD4uckGb/9yeoV4YoKJguh3rp0tauLXBhuFYCmPnZuov8+zqvd0q2986y
nhiS3NG62oNVZdAiS+0g/005NFGlcTOauwBKQd2y/pkNF9ZGU7v0z56s/lKB/8Ol+pm66+CGqX2r
qw+zBVMV8H3HrqbwWvraGB43c1vvQiCCf2vO/+m6+EyCEKYzV/2m6kMEq3lIJ28yf9iL0/0wtnwk
g2TZIMnGyPvhRcH201osK4t7RCPD2ZoH9Zdj/D/jF//PicS67v9eWqFbNKXpzYcVIAC2jDAvz3Xd
lmk2e+V30p78gALIOjFvxxI+dIxgO8BzQizRyvwYVBMWkxFVRGy4drmTy6JifxJrHrt5KfdITpzX
wIuuG3CkopWesNXIqJdvo6Gz53I1qQWa2vrldUhO/nKW/+EO/Dx4qHieQ50VlHnyobkHzxvsnQlb
Sjxs23Y7Y6A8m26G8hJk+F9afX94jz/r2QxjcPrRN1ho2cKeuSnfuupBR3mTI054+ueT6w/f4/NU
NDTgzkA0OR2kS2py9Rntyq50U2sdxuM/f4s/3IKfMdrSsF1fjeZ08OWMVMGzp9Pm1dVtAHTxzgh7
8ZdD+A931ecJ4nr2zLbKiulQ5d63cXXzr0LL8PVf/RKfZ4irbSx7RwXzASmvOOdjizjJC7rpwOJU
/eAO6/iXD/1Pv8WneE832eAUdF8PUTDs0QSkwDF3//w7/OlLfzq3o7ZRW1bmzUGYflrN3ILeX67b
P3zEn+dbOYVbjeVoPNRbkB23uvYuAqA5ViPtGceqCfy/tfb/dPm4n+IGXC1ZPkysBKt5AEbkoFTd
jVg0b1zykt2aqSCd2u5Ij+Ic9u/FJv9lSeLzqGsGWz2LAtUwraDNEwiP4dh6w/bvPpvPo66Zuwwg
QHXLxy7vNll/K83127/62D/PurbQYny/ndvDkg8ON6Y2z1MJF+bfffVPD1Uu+87vIlC93G19omrh
MtxcvP/zF//D6eRc//t/lRZwGmWLKEj5RD4Hl80VCKsG13uWlWN9/PO3wHjBF/t/Livn+rr81zcJ
jIVQ3CfvLa2G/sjmlFORdMJa933pV6cCYcxbVsOMNBe3veutvrypQCnBOmFRI7WWcXmHHDHF4tU5
lwFFSce4R8smgM8U3YcZVuM+qKLGjttqrGJHGOG+XszxV7kVsG2yhag6mMQ3s1+jvcQXUiHSibZf
LFvQ8hIlD8TOIQ1vY5f1ejN26gluu2fMP8sV0guczvm9Khz9aOcY6aBrlSnmsOE4qmwtk7yTMI2M
wjnkk109T8DYWGapNxA8l3yQ76hxzFjPS3EfajVR623XNa5GD/eTK2eYR8zR3LWba/FAvszbatax
1UAUZ8EkUu8imsQUW9la3UxA8OBNeSXiopEf5VhQ/r0jdWiTbPKr17rrsjtjq/Vza+KMAzMEmGoy
V3dXMLibx+Yym8/2ANYnZKbxlZZ1cYi6EoycbCrzwbdtf9l1hVveN5glL5Cto2M2DHA2jSFqk2tK
HNKLBHcB1WOwbzblqSH2OsM5RsuWnUjKgzRqK3HMy0KvSZsP66+6KuwzDnG3S6LCQCJtlmLBarY2
kf/oyaiJFz02tFy2Vj7U6+r+yCarvGmQtW1pw6rDRS9ulyeVnItXLKU1LrSGt5g2uO1zpZq2l/q1
YfyHFRT1CJSAhZSDjL4YQe3fTOimcMZNRmJ73tLHFehYOx6aYNxFXuWk01J0R0pNaOmAZb+UFhyk
vfZ6yu8N+1GYwtiTZk2vlTeuqsHrREutZ3qIfQ8Tp4WYDB1pLKvUwyLf7Mui65aXCSDkEhuhyxEw
WBgJN3iaXeIUw/pybRA+2dQJg5tlmKz1ESGK/Svr5/Bbk48ErG1geCdywvmuDsyC7wpb5ABGq7Z2
HvMlgJUCMt1JG0is8sJTViKDyrJSQKLio67yuo6DoO5fDWl4l9Da3GO7+v3LpuEXzTY2L0vPXQKk
HREKhWzUr23DeKzvT6N7WEgYv1k4oWQ8l+sI8kMtOL827JtxrQK/TgB7mV7iidCNBzUg2Jt5Jxpa
Bo13DLUcEjJ862bcHDU7sd3nnk7EqJrbhT2pBPwdWQLKUl2nEIzC4HdvN21BHaKfYl9XujgWG1Su
bHCnYz862ZKUeav2kWHlqEK9WZcilkiW9iumsGQol37f+6G+K6daHP1IFmlfTdG+8fVyHidnDU8u
HeyrBdGw/DicS6OPrToU9wJl9CVypRP3ERhPJzIG3H0dNLzYi1DEaS+qbybcT/0+q6xBJEpV4ocw
Rzigbc9G9b0ujRljrt7aQ1AO7Qjrq/pRs6x7rqVvC+h3wClvbN+S5tswRr/NpsR213JLwMWZM12k
gyn8e90hGjOW1f4lAd3cw/cq7z0bTPrigWKNuzXfmhhTDDj0croimDw2yd/KsVL3lMPkIz+++jnn
4TgfDFr2z4sR1S/eWgPz8IFVIbgC2TDyGDQM5K3WqSv9+tplkmdv0nChyVxkDBqOr7wJqEM8XrrA
sQq9B2eg9UL7Przv+nnY5c2qn2aXdIeqZBU8MmKpklzkOC7qqCrSrvOje28q6NAOsk8HqRUGGaGS
QEyS+C2QF1ala6wXen4WyiqSxd1MXNJlsBPUvmK3N9opNmbDT42Vz8BnIPfI7oG8jwxd/DJlbezD
UPm/atQQP5gZIczKi+Y7XCzOAFOAumZfF9Jb4ZBvWs18L9vO3Wd+3jWpqHPO/qAK2dTMt3nXQsU+
K6trd3zo+gbtaPVoukt7dej1e2UGUckovWvpuGrUnUO5J/DkdaoxqPrbhbES/ypNrMpTWJJ6sbHe
Ort220w7nqo5u1XwNX9Gc6HSqas5tKWXp0uemanEcNxcEWT5gkmsQ/c3eH6Sm3q+H0yFj63r22cM
ojbBLyc/ckftOvuu7Bqd9KzUHEx/rB2Ogq16D/Gpv0gs8pIfqwNP1oWInvOtaF+LfmxpGTZRH4s8
Kx7GmvWomFnscscLhTFjWBXQtU3caa0B5VH0C169JVC/MZptKV1eRkWNLXNPo997se0JLjkG6o1n
V9bkGJlXB9/saXBapEQGblDgcsnmG9FFgm2+7cZevI1ho7m0ZkMmk790r6bK+nO4hl6fmvY2cCxO
jauTrrNlHU8Tk0eclrXw4ikvigfPrvwOoCqy3sQrENO5xUKLavN0HbO62eyDvHJRZ9rDHb7A4GIq
fuJCc3Umee22l63qudBLb8AcvznsT2RW9KAt/HEFkKg+xnVeEgEIZ2dEvboM1BFil1UrHau5b9uk
lWZ1MPwy/GB6hYmRwFM/kCVVFzgF+ovIywk6YpV/i7LMOURRab3IbZ13i5cvIWuEJbsMgcRyuZWL
/ctUQX5e7cL+Vbi6O7rEFU/j4ovUraWbRrXdUcafnYP2g37c12HXvtJCU/hgRueYVYbcu50VHtq2
DG9URG0+DAaubY3BfiR4o75QIx21626562Qrw8co2rw5dTuXZ8Mvqqg+YgqDA+ejrjV++gzQpTrK
9Xgor3NfWPNUmApisUeNdfXVCTOAtsx63uTFPD5LaiivHKlIFTPLanXaA9iWMecix28tqoei+1V5
jjw2M7fPbA7YoEe7vC1HZ0wdIy/bNIhy/xY77+KwuZLpZ78qkDm6A4d7rVx5FljDHldb13u7LHLM
5Ohtf+GAxrhh+hkW8nJpbtqOmCzmkJJ5okQ30exWrgOcD2LH4yhWq6J175v3VWl2341+ML6Mgwye
xiHo9pa2/ZMaDBaEW8O+wRoDenYRK+06Rh/VmwvfK6TGFhFiOZZePyAx0ZPYIAFC3vba+aO0EUnq
ALImYWYpsScETg+ytuOJxYSLQLmGSbpDzusdVB+tbEErDPZLth7BXuJqomLa7nPXNQ6bbaglRpab
90nRZfowBYDkfTW/TR1O5Wu3dKbGF3S3rReUTizG1vsOGJTBUsfs3J9jLnMnKbPBs2LP6wBfWmSC
wlrCi0E0/9q4rFRNpt2+Stdopr1yc6PfV9jWKZEHQIEnxNixLFhpjnXWCwTY+Gq5C8OedethgDGW
aFd0dlpMWRmeNW6D8udEtL0nvqLI1NWdcbP4RgOk0jPLNe5Y7K7j0t0OtmN00WHg7eoS2ynL5jAa
DqIDXBXNboqscmMSTBSXIFL6UNJ24QEtC9CckTN7Zwb42h+Gpyih+b3xXTgQRNO8LohkDSObL2Cf
jNQogmpG5GtgdXYMSyYNyJO08cJ62NWMrKHGzmoSGRbi5MLt5g0+vW1IpOz6Mpk5YrR/xcrr/cx7
oGzRGI7XcU25POCAiV5LudpNOmrEEMy4rfHWuVCpoRN7Z3flLN9Gl5FIzdBfUAcUQcfZb29tw3Le
zXWc0oCzjmn00bxIPlm4kmMRQX6rMLQmtDlZDsVu2yXTXFXBPrdX5uucsMmPUbNY921dVIdpC/d5
OFS/arXIw7Lq7I74kzdJlRMKjfUX1D8dPTGA7btHpx+Uc+zzwf+2ZlM/JSuIYfswlq7ZQA/DQJts
YLz585miuitF37OdSpN64ZXErLMvWrbqO1LvY6RZISuwKDBhIvphxinubjbRWmEZd3oam/wuR6TZ
elCsdivx07KLIqxge/5AAn0qqhG7CSS6jWDefsDj3+T+nxNI3Hh/6Br+Z5zxvzLIEFOW5CUpjqs0
+MXWratvWrq3d0KJaS+sYN1Noz2dPbsIP6alHJxEdtN8ohUx7p1CkPMMvPZBsGkzkXLoD8Zw3ey3
vIkeQV00XSxLizgBZvFMtrHmJU9rtQZqb21GfeEPsphH28ggljpZTg+wGq35lgW90YiDum7oOWA2
29kZGIs9A/Llg4D2/L0ynOwS9YuLYbrrCBSKwUUE1GU2c0bOuE0vdtdWb0Wm8yqtjVClHTcAAmsd
TUygbcupxQHLhGTofska13zkxZtu24HcIBYhI0CjpRdewtkObyftVxs4RMpEiccpCkNu9dfyDB7d
4HBHDE6hnFJwVTr1IwME0WuNEebF4IR5WfysOAZGsC07nMWMgwbgVcrUyjwersCXp8ZWxYWG/zUC
7RvpJ5ix+RtX13/bUcz/Iv0eE2unG/1b1V70G9LjksXs9fm3tkAOdMnYqbjp0DJ+sCBjrwkYcve0
evb6NBU2hw8M0aKPr2avbOfgsPrmlJt9rLGofVX0dL5giB5PagnwA/aial+1GqwPe7bJWUUg9o6X
yXuXg06kc8UK1PVkWNCqF1LEDDWdlQy9PJbDViqaVePy1oZd9Dh6zvpGivyWLewpp3lQVT8iOXsn
GY7OawPb+a4cEDFvwln5COuuHojJXZ+Wveqzl2X1vTwJOY8vui5NuiBeZrEC0JmKYHdxTzKPnDpB
+bnWcbf1VGMbc7wJO0s/m76jUs0u26UmR8HQ6Vmll4ySND/tXOda3ZhNjS24yn1zv8C0vmFEjAYL
QcFXbyzK9zVsSis2Mz/4yGpndJKVSshPigLI0Q1Bse5EMZ9JmCaqjbfAGL065kMLmNjtzWvKh+uj
vLHduTo4FF7XdJrM7NUYbWIkwH3T3UzzbAFrHLkEWjBDSJc701o5C8tmYiDM0V8y06sfpaism65u
1Flj3xliHXny3mBL52ZC9p4nthiCZhegTPmQyCArpmaC3o6D3MjvitGo+OzRedx4m2xPmeG5D46r
Ky9R1bwwjAfX854hHgXD17COysIflEPqv4fXJV6ZEg4nLpSOF6w3rPW0lEawH9xAPCpBbJjOZLdf
AbPVd4EPy7Mi9qNwMYTfg6XsnlGfZIk9r/VH0DoT9idzbl9Yueh30FVVOvrCmWLF5BvQKHoDgi2G
ocziZuncPLWMvH8MmUL8wTpPdkMjWpSpytrh9krxPs8YsAlN+/qIXHRN6IGHP6Isyl482Y9UA/ot
2k0FpOtKhPCIq76xXvTkTvejJbY3jtQrRVsMX4AOBF+4nYc3fD/oVq79BHjPBgRvN1/sOwPDPal8
YfZDTFw9pnMQuUeDbM7eTVy7EauvbfG9MSe5Xy1P7jnJcUBbjYv2vslb+7eTD/MbM4aek0pphW/a
ZYApGXoWjsG8zt+9svYQ19Js3zVDuTZxF8j1XQcG0vOmoERjFG70jpdd/wqlRYI/E7ThU8qtu9Ee
7Z/anIcYuxKb47UfYkMc6S46XNik+oHOolfhCu8HlPH6BmQLag8YV+1LZ1fua+dMNTGTRk/TT9Gz
288LP8kiou8egqNUqVCc1TYGe5b7CIFLbKZ5rNo6+wX2WG4AyjB7d0yU16e55E7d9V7r6phupP/E
HiahAig8/VsXhn/srWEiV6jcnaQEfjEqVb+WWgQqtddRvLlU2ssdx+B6awDLyog18f+kWVmzcj86
QpJTGBO4dNnZmlvQ7DUqHNmYbIZX9Nf2zLuHl7IwhTj0pF7DbqZS8KoibR/L4hqD4Dd3ktBuSbWu
mhtBGCHKWzu3tl+jdL23apAehZ42EnEEJfvZHRpOuGKzVv6plelXeNP5ZZDjdtFuxpJpoOv1NDsN
OFH6JytLp8QeKX+i/p6Cjbi1F98rYxg6QZ/6s1/7OxgozktTay64pRGam8obGystly4HekGXla/E
CNjF9udtL7oiO7Oe1H4PpspPLLM11Q2H4VoQsaJCSzPKF4e1arsuqYbcOYatMT63suowb3lleFz8
SG9Mo3fOQ+W6256JGve+bbF+1OC22dnuCtOHzK2sL53NDEwM9YR6VhWt8coaWsJeQnYMWJI/Qbq2
nzDcV7et6Ab4emZzqnDP098pxO22Lv5xLbJ+77dVzdy4WZ1WZOk3ajL7ezWb1rEY+76imOkG32pJ
25t3oF53VAFWBg5QaMRjKEnu9VZvxA9dx3ETMoIuJmKGXETBeXPtMFkMV6VqaamGyHZ7tvymf9XW
xqVZeWEWr74oPkp/sgXJPQ/yNNl5dy+6lvJCMTUmS+W+JfaDI0NxApTS3nGpsdxoEd9QgKMzW+68
QkdFnKna/uZHY3OWaJ3O8JSmMypMSdi+5XVCCd350oZ8gS4DcB9vRLKpJ9GiJnxoutlDSCCObpwl
zeetuWsbIoeAubxXAbqEAik20j7lUYxOkmfzS4PGD6s6/e47A5eDGyOYrvYVI7a/6kz5T2IkNzI3
a3scChvNmtNjDaqsVfMZedt6YhpUX+eqZ2YzqsXFTxCy3kfaJu9Ub7W7CSXzXhqD9XOWi3gojXA5
r/8h0PdjPt9XvKNfFSXjZMsZ7AkYv9pvztRil8ACxEnFrqM2N0BPKiR/Z7P4ZGIkjcGhmccRwDLJ
roncTI4eEe7Mop7jLftpleIAMiF6n/iZntHCDc+R3WZxYJv2l5a+yxHoi9z5mnMjrNS3EDngay3N
Dhx13cuUaQgXOr1ZmE+DkuZdF21WUvShOnNjc6sNkU3wIWt36lK3t5dvm2cZD0r0q9jVbPfsuijP
UjojQqDOFNHXOWCaBZNL7oaEuG628ykCNogJFmk/Cb8cp5d1VhPpR2ZuwW5dgwC+e7muqdF7SK4L
c8zdOGDekZCxc2V5CD1tBXHQTvo0qdaGctR0lnN2l1F96wLX6J8DHYhDManmR/Ofj75Z2txPdS1r
7rm20HNcYCjL2VqfjecpN8choe3Yua+R4TjIvSdazjsHrzb+h1EcB2+cdqGVuc9dQfULoLzcYtON
xG0VRu1+DulnoOaqrJD4w6OWsDEWFlOL7746nTXvM3s2LkQC1rNuQy9ZKbHthlDqHeHZlIbUAi5N
UJi3ay/chOQw+jIFeRBb/HhH0VC3DlSJzpBiJCUC0fxgyTpIirZtnupJhvd1OMqDtTXV+0qeOBCv
qf51narhoRLt+B7Y1HsMeBCHxvbVexh5zwZx/N4eCu/UW4LZEou75OxqOX+Tkjg6kOVdUUT2hz1y
5FCtMpLSmosPRKF0deSy7o1tXr8on8a221NljHNOzftAhJsdj0NIi2Wa7ZOr7PyV3kz0ao19ux9Y
kDqwYMbyV9Cv7oWuAWNMPgRYEbtzsz5WnnJ/5qMrv3ihr7rYGIuN2xsw8q6xS/G6LWzwlTrvflF4
567S6+R1O2eiUSDU5N0j3OS5UBRBjNhfhezSEbTIfUvn44K4QXi7boz6x1WNYUj1z5DIO22TCg5D
JxyCuaXPm2HbZ9Lq6Y7NwOIWdY8zM56kW0o8kaFgoizVgyXM8Ik2QXbTsMpE1pRb4VOnl+jkegDg
a6sq3ltt66/blg27wdkU5Tlr2s+l7TQJzDj9yv7mEFN1KN46Q8nzZFjzjiuICf9+cM8NJZ6f/Lch
pQ7SPNR+E118WQypqwqZAqMvf+a5l1Ec8cs0yEMW7ac8P6FRkYfRqVgjoblaxb7ovbMzT8WNNJuI
MC8L6rjWYrv0DQdIUqxRfxdQkN5irjlcGSz0iF1PS63ZaZgIrPlvzpYYM4WJweybbyIrzHOvRn1s
VeTftmtv3ZZKsK6hwvkUgsV+Fp6AphIUNBG4L1X1te/zgB5klfWnafDZ+aPdsNCcIKB4pNcGmbMN
BPBYtbhx35QDiQyNhD2lhOCbp4xpty1d8KAZ+4sY2apKxoJ6qRZgimX7UwxGQD+IY70osvbrQpP0
aDB4mxZUzrZ4sySYkfUqAYyXcjYsFv7s6IP6i3/Jg61Px1nTjs80nZpykR1zYIO5HiiNVO9dFGGP
cEOp0iXwS+iwTXAwqsr5AkmPh2KrS2ZeeIStPc+iYFqtoQziMrhZJ4TP+k3m1x5ikW/GOUIrrA7u
sg6PIX+9+743xE4a63pY3Kn4RtJdvk5OUX0J9SR+WF7G0UShfEnbghYjRW7dXtzSljw89Tajmcy8
i2+35W5rhQ0kd8ye11mzFtwTdsc5FcjDuPbuzl1XXjBmHVIuJHGMKsP/zSPYnpqtZXIKEcbB5nm4
ySmL7hZ8lkayVK2duNm6vsjIHm+Hwho6LmZ6BonYInUgDP0g65yvsJ6tIHIMzPNmi4CMjXJWHnYr
wZ5RJgPFyEtTjryao5V1x8Jqqooc1Qrv1LhYMu6aycLZM9WHbWyiPcON1hlKzfqxDm70gVB15E3y
GwGNWha9hY1g1V+daIv8ncEvdy8C+EEkTu3OEc5ypxabRUxnsOtTxX0R7pq8GR/DnCDEtKZpV+Re
9FSyInlaMDCdXTwIFxc0yg3kTHVZ9KDPdOqaV+khku0qtgrp8fp727reGFCKYlUUVoLMBHx9JTrO
cEmj397Wg70u+cEOa/Mt59qln49c7YcLlCfCoUc5P6a1sHxEVF9+VsAy4C72JS1AxGHHcLU0lqIr
0KA1CMqmEDcdpXjrYS7QwRE8YTrmejqzWlwcNb/MQ1S3PYHiXInDOmXOTUn+yBRbTYrU6Do6e4qz
jGZ8flopgD0YjL/ZMVKw/qOtKvMxHzPrDO/YOqFGGy8Zts57zyvVz7rtlvJ26NeZqQR/dI+jo/y3
amrGr65l2d8XVQ770cvZoQ3H9b0taeHeTBbimn2zoj2KGXRCJEWAmXSuy8VcMpCg+Ty+ahu2wmHI
PIvPg59W7T2G5X/N6wBcbhIt03ySN6eOvCu2u46Wl6aJmnTA6NseDVCblHma+WkrgtCKKc2ptHBn
iIy+F96M1WSdlNsZuwzq95ku1PLVCbJ632Mb3Y9mqakTuMY+G5lUzODA/UCTQPNcWZHa0Q7rUr+3
s9/ay6IdeAnxq9tCishuaXRU2eZwj7nIshM9zNN+dWb3h+vM7dEZ6+nitnNObN13zkdXevaupc36
YC1+y4KWUvZdS6HmaAa2cVtMM153P+qBdrlUuwsVjfeMTmLNCFdDvk1QdHjK19A44tT1D5OVL7dm
Ppd1vFhIaTbRVfesvOXTToS+w2OFPKWnlE6DOG6arutjbY7zFI9C0Rpreqd75/hjc5kr7NT49aYS
TD9DDEuwe2bqwkq9ze7xOAiDlFmGeG9G039lbML14xx8JBWtlXbEyk//nEVu8+RRj72TTW/uqm3z
Hp2oLOk71PmZAFCcackVOz696tUHITjuLc9+Wt1q4AGom/WJw284EYdGlCet6uc2jX3sMmeRTPQe
WXPaauvJYNPoqfI68TNvG/dGsrTwo5quVW9Pb97ziOKYgm7e70N3DWNKetlPIBXf80CNO2nOxL3N
RAOPMGI3FkNGdb1xri/vdDDZKaYFR39fibna81RTASybIRVWb+/JkcnbyrJdCeXa/I013ChMdDjS
y8/K5QVmsn4AXMvqce0x8qKm2jxC4LJTO4ToYfASMbVB9/5QBcuYRlVT3ynDz2/LIKyeNHRSqvC+
W9I31PPNXIzWswAIniVFg7pYWtTvRRmKF9E0y11t+tfR2556vOb4ePJtTc3mKhgsdNXgyTIp4KKO
6Tk4YWn/svwwOM1Wa6idscFjulmjKos7zv+NpfN+SNuKsle6VNRfLGsFYgN7azxy2BUmaZvZgPDM
jPnStD4A22Hx86tXzQ5efbqFr4yWZHfkBfacyMJ4z4xx2TtZaxwp9i1HJyscJ543WZ5LypFcHF2k
33S0VO8FgwmnrrfUpQZdcWupwLsLWxbLktoe613u55kR02NnorCtBlHFvS+qDw5Vf3iyp6wR6eKX
0QGH+WCmoHJb53urcpXWZkeDtIWLO272QEFshuKUNHW/mKkau+9hKWc3rmg3HDxny178hdGo+9Fg
OcOaFzG8OHABon1B+IZT0qTCdJj71eP/wU7n5898D/07oO6fIkJoZ8Ya+O3SMYxybtxNvNucwvme
UHn8YTGQc28ZPlWXjtcT4EOwtCKlP10XbyPMvAsAzTJWrjEnLXuPMcuqQdxxuSYMUcuTZlrzxqdL
xieNnI8Wv7tc8LUXyRgMvreTth81xy2rsuqGYFVXCyo1O8jy0/UDq40444VN6ZKRQZPTACOoZEjt
3bXyi/SCrH2yHNH9H3XnsVw5rq3pdznjZgUJOjDi1h1sR3mbSqVywlA6egd6Pn1/W1V9jsQqlfoy
etIROVEohc0NYgELa/3mIairLNq5KvKKHSQP6DdRmagM77uo/kGu1elkGGpSp6KjUEC/MqXE3LsB
l1czd03+O/64NMMjZ8JKnJy+wwkIFpfAa+9hKKZ4AKfj2HhN6mMxnIV1GpabEDU57Ss2odGJErS0
OYf7H+B4LPepSOgObCKv0kj78thOOPHCrt0yT5aF01vofq8nXep79HFTyguizGbfEMDcZxV11i6e
lbieaQtRRUnxKN04FS57rWWp89FOnWeB7VrBUSoLsTFnjCwCEEW36RQ4n5q8BGESAWoybWPcuUM3
neUSgrHlHbEfJdXDrWQLI9u3Gjvi1YG252KJOlgW6oavSyejyRQlRU5RO+gPehJCUYCCB86mGJ54
YfKgOmWe5UeuUQ3s+tswYR29MymZXQXuYAUnpLujvs+tvn6ietr+pM5bPMWhY9/buqnEJgFXdU5L
B1gchm9qW2n2vFNdSIIOPtzOrrJ4HH/V1uidlBRlqI2jd/Et1meS/UaEka8aoV/CfWp2DUU6DmUZ
en7Cwv7qoXhZb3tPs3ZJUHVfoayl1xGQrnuWcnTVZKn+JPpSbkpzHC9FYE/Xhjk62AsMk9rhScVd
pJ6ce6k1+BWq2PmVteF8sJKy5uwt9U9zOXcH4n/cmk4iLizS259We6ws4aGaP1Zy6lhUdK2ZWqqr
bljIM0y9+u9aGtOMbqKWLjMlArdN6SgHZVWeAJqpn3tgOOdak7Tnlox+0YMKLiaUH4wNbc7wC/wc
KwLNkshs28YpXgh64trPlX1jpTjYohwgbJxGaJ6qTTRgZmvXRnVOjcA7U0JCBc0xkwyp3JQJKCE7
DM+hfsw/BhlNdCENaCqU1O8bTLsuciDoP+xOy58sWo0Ic8eV6rc9MPiNQYfmXLFEDiTR8b7XNO+W
APTuyioLruvOavCw1ZLDOBkFlqgT5Wt0uTMPzEfI7RtNBveTl1TJTaWVxfOgZVRA56Ck/xO05W3G
/cTaDvDLzD+g9f8jI7pPZc6//zr+zXcQ+wp0Ufvf//XmJ/9nefWc/2yW/+nN3zT//fLr8Ge5e26f
3/ywL1rwOrfdTzXd/WzoHr6M/+f//L/95Z+WcZ+m6ufv//pedkV7HC2kjvjGTe5Imv63b9HxSf78
u+MX+P1fVz/b6KfKnosfzV/+6g8POvc3gR+16Tm67RpCvrhG/+FBZ/5mwjqxWZO4yblUSUAV/+lB
Z5u/2cff8IegtHTsaP/tQWfrv9FiwIPcMNHIMG3kI//Pt7/5A0XMxDHbzMafP7/2bngRVfwP2NjV
ddpSnOqeFMjaSfSL34KODTnDdEwVK6eqtU9YuAnSvlaf0s0Q1M0OAQXQD6nVtPsGWq5Pw5yWr+aq
EYgdPotCH7kKAd45o+jkPc3JWDxClM5AI+FXnB3mIkpJASsaOjTr1KlX6Rxgkzt90PR+yzZ/+Ro2
kwFZiITVFGKBxtdJ4mqoX3KDtKzJLtq33YYCIWUBcqNdg1EF9RQrOhk0Lz3VZ13/gHDwIpa7mEdb
4t3s2LYwha4vwNuTVZegQEklmyBLLrgzpZftENPFo5ya4LxhgsNpwj44q/AxpRqfTrso1O4zJ2xO
uYDt+xmPbm6jJzxlcz33aX0tPJSKB1Wj0CQbdWqCDcEBtgHcSuqjPXiQ3rax5XhPCGXM1iU42sQh
xU7ngz20wdkfU53P/QdfdSGy8zLXDhbowqQQblpiKWNThK6OkmYdbLo4re7SJvGuMBqym8M8g7M8
ROXM7UR6ibNJRyn7bcd5lYPqCMxtJr3oEWWU7BkdWEdt9NH0gLil4ZCJTWh3trYbEiR3PuAEkHy/
wdQfn9mRjgcwxZaCOPwLVdC0gAa3FN3ars6uyLZ+ttDT9hiPWntPpP15Xg7BGTWse0Fv4IRrH+jx
sLW/TXmfX/c4NlCTKuhiGGNU+5A7suoKb4Xu3EqN4QFGsPwectflyJlVPHGZz+sHawZfniUeRXoa
pAcTDuINTreHJCgsn9dYH7S8dXZFBRtijNP6Wzq26hKtK/WYCnP6VYK3vauNPDtDsqY7BEElrqrj
aUnRWtu7/ZhuDZU259XYuNdyKuS+7Ibi3rV770cZzA8qlfPnsquLx5LS7ucj0nvXGdyioQLW53HY
ePsAgMNNExUZQAM2Rm50+XiGZ6RzVU1Vc4kgeXGtUHRB8aQ3H8koggvbgJ/leekd+JXmCvvmIQWN
kQOcUtlwb5oaGREiWac12J9iMzPYxu2n4dJ1tQsp4I+HL3jKpLnuM+8wKpvWloUfb0e6UNWU50GY
tbsEZVAcjjTR7qmB6LcGLUpQWAiK+OMISjQfZXKJacmxIweGKfBKYtvhONrUitxFptUjV2Hv0Dt9
e1O7tCZSvTur0xon2DEv96/2/L/ZRV9UWF9Hv6ETDY4JFMCSCPouScSVE8ZjaU9UHWV/5AiOlQfy
qulrX1SV+tWNQj+ZWoNmEj7y15z26nJy3MdWE1q+U2mPOc9Ya46xM6w+ocAWUvIEMnfSH6NfuORK
1KCND1iRC26mq/PUmJ9atuE4rmPpfyHkIPjgumUfbXN0AnfwyoB5DfPIpj55JyMryM3j/idenvBb
ARPs9ZDqn5fFwdM/T99bTuofz2HZprSPzqqGs9w7R7Bw0QxiZdujy/7Ji3m/iVtD0esm4yBU7Xyy
KqP96J399VM5LFxA27ph0bMTC0q5bjih0I79xRzIab+PaB99sVwVfu9SWjYbh6b/4NtIQD6klNno
VNt5yu2q64Knvp4wM4g866nuUAvScCLfVKYhz5163KWgRuYPNjDHOT7NmxUGzOt4vDm20D1PP2Yl
r8lBIHpkEWvK2cRAXLZ2517z8N+iqeLSnHKR81FA2xnUEMEnQnnzwdtRHaBxuh0zGW2bJja2WiGe
K8sqb7DtVlepmNy9o0Tsa3Zm7LhOqG+FqZ3EoNrP+r5VW0xwHs2p1rcIhBvbuGiCe6y7ciSzct13
M+tBaeFg0JsKjiXugk52WMl7hVU6ckvhkdUxABGOWre7kjo/bIXnCBxENMv3wuxijIDKalbu0nfB
N3Wu++6xEWa/D6zIu8GhF4xCF+jBJgwceYCiHH2lhTydlQ7yTpBD1b6hM3hIw1TNWwrF9kEbaue+
mUr9RKujABUWBKognam9pxeczHVkPdnRwKV4zhgcwJ/zZaQOlgFGSJKNNaXDRaFpFjbiTnNGAVjd
2Hbd3LZa0f/A/9M4sJ2lV3olaEhSGprP8qijkns0vtmBN+EWONbmJWn9bQnrwq+EWX1BdrMETxra
V3bTxTdY9oqzMEClKCH5Ox0RhtqPZZ9tRpAcG4EG+1njqPlMZU7v59QHrvOqp/Dl6GGFITU68Nmm
cu3yxMGS+ltTO8a+DZ2ZElYXAninkVAeOhrLflGhzqYkWInJ0pqTsZHTXsZpHFCGUNWzEZZ0K8x2
K/U5Oc3DuLvi9u3sZByMQJLlqXSAK+aB/UXoVIXNOvrshIm2Ecqj8d3Hl3IiU6xzQd9yKJqrTLPL
C2tusNizZ+9bzmkDt6KGSNBnJcWvMayQwuo73rNdystWqod5ymijla28lv3sbXsKLZduX6RbnNRt
n7bxjd5oX6MmHu+QaKB7lzTBsKn6HsBtfURhBCi8GErAl6PzAuLoS5ia5e0wOHQwHSDdA7kQJYvJ
+EwaLU4BFprnepgezXSlb0xRu41kOn3KoUwA+ququ3Ya03M6qhN2Zs4jAvN4vWnWcKOcarrhqhuf
aYW0TuacdDYrpR9k/QB/oIXR1aOsyrN1OfD6XhasMK/ZJXEBdKAZgSr2zXCf2e3XACj4mdeO4qZH
SPbCxjjjjGPO/VKntrVJhFMeHCen341+zQ5Yz0/8MzWUbbvR3Xqj2bubpMjE2Yzk2gEl8GDrJEG8
UXX0s7RaAZQ/B+UHLmzkYYxPASWVbYx1OzhnstODEqV22xIwt4Mxp9+KMrw0JC7NylLld3IxPeZG
f1xB0kFfxsrFnXXkr8xSdZ+LWtwj60IzUTR6vcnMHGcam4VMvSqB/FBFdAw6ezrJeAFXBWinZypR
8pFGcU51oRAPMpur66oR5RdS1WgPwXG6aMwwJTNOwVf6TgJrocWSptgjQRkNB7AYybERQMUGXYoo
+KK1jnNIkyT+qVyFUXAb5cUlPTugNKU1nGahOEoATfU3bay/u3Uht5Jb+VZzp2mbRZ7jYwA0nbsU
TM/jLJ6vG6FsDOFHHarA/GhShCiJeEQfG5+j0TuEusi3RpLc4E5PodQbvV2QGVTUPdd67mPnpISV
sNWrUZ2QzaTuZ/cFSdl7hUeCNsfDZ1d0tQmwws52gCiM+hBraXtNazD8PqUlFQwLnAqwWXgnc9HP
GPPUPWjxJth7VRucgKyJwDGVMe1zB2RNkw7a1VD3xT2FIyCyToVWZ0buQH6thyfBDA6GcglkKKOl
R4k20LcJr59z2LHFpRbbKdy/TMJ16sfsR+xUKX3SOX+kUj1uBuVY3+iydfdRp7HxQ4kMGk0+ez21
xMSp1QkBbVylXuXtBzA/oB1sFxpSA4LGOetpVG7D1O1Azxe4a2xi8GiB7w6w7TbCscqnqZ46c4dK
njoz2MeSLRxRjQg4xn5VgcsTVKNO9EDPr+MsRW+hsmE67/vAFLRAxkKMDzEQ+0OlF3m7G6FYjUBU
dOPH0M2lcY37D8TAl09KhoR+rGkC8wiOYTBJGZ7lVAJhzXTGET/rTgPdYvjI5Y8OKCjgXEeHJBrQ
TgdVSmEObMp8QaIO3pNY2zdNK3fYgHMAJ0kPNA2syA0Fy0Zua6eM/WScjSsorXI3K908TWw23y4H
loLCnjHeFG4p2IgDFdl7+tdwpxp1ZCwNfVwPOx1cCNDQuMtYr/Qu9ySIsT/EReyPuZQXnOPeZz48
q+90/OCSb8FYhOaN5dSi21L7AyDo9EaVHWIV6M0W8ADt5zLK2x89vXcymca4qpJYnbw8auqFuLUr
0BuTGIxPgFzViV1kxlUO1e3EUOAR4TWBNjE4jLm8wXmZWo6qgFPmAr5n42zK47ePwSdQekynO+XR
nNkA9CofynnW4o0A3DZvTEgzN63NbGmt6/R3o5YbV9FcamAGELx7TuqSpQGLBJs7SwMSfEi4UKKj
lQ4x7b3jQBipqBNce7wL227C3Wya2VMVeDwH/cp54+qqevI6RSESXFJ1JyrPrbdGFrZy6yFThk5Y
ZJ1CEOOLNMXM22iqxG13QnPRamyqKocFm5TQXiFs3GSKGxGAuSHcT9GgAKQK+xooLz2BzPDyiIPT
K8+zUaff5dqa99kLS6ZuTJN5UynR/LBK1/s8zVMEQm2WBkypabSfs8DQHzGfaOB/GOMIGai0+puE
ksgveoPJpeWV8mAL4Dll5bFAkXWTIgcVEdRq20W2d4PhuLaH42IDHLCGcg8wOzt4sRbtm36aDtjN
3Opqtp4z2xCXNtX3QSsMuMJNcevVY3SGuu1wFXVRb+yaHvBVNrrBJzNL1bi3Evs7BtCGuRm4TZ2Z
WTadeCpLr10zqW472giXM6AwqCwFf9ea6myArbgfwDJwU2s8b0eHoDxIN3C/GU2dsfvgVXNSN1l1
brST2LlBnP1oXLKOGmBBRJPkAsIpmQo9vhMQe8WvYirHy5z+wyeEObt0G82OOW+cVoHxK+qqe5rb
7JiqVLSlh9LgBAnSI5korw0BSb6YfFWbJ1RVEBkSLkSPbVHO8CJbDBA5Qc34XNQc025bGqdJZnkF
myYtJF5G0JFOOEZwQrPBPU8bbfwJzxJQTCZoApv6eGYkvXGXADtytlCUo5MS3OClRRMb7/B++hwI
65Ec896NwlsViZhmV6XOm4nyfta1d5bp9hug8wi0ROpbiNwi3ZjS3kSs+OtqJJGa7Fy7hddKli5j
hU2EdhsNugcJnLuk5tgTYB/01LKeg74V9ngd0pY9LyE6Xjf5PJ5QRZBfzagQN+Bv8M4YUvM6CWWx
t1Ru7A0byBzVdtCuWRpcOWPX3BZRnTz0mvlYlTq8mEaWV2bRPWt9UH5WdhU7Wy2ieRwncbyDqQXG
I2g+Q953niBT09OzQvVDgUTezbNsWAct7NjZgcwnlLR8AYFqlmDOjKRtb9uo0JsNkUmJECy6X3bC
4u2bP+LCfvDEhEJiVIKXVPv/RcsLuIC0qK038orLS7gvEeXak4k+FKSdx+6znvbjphi5sZmG+tY4
7Z3s7O8iNR6Lnj291qs7FXT3qZZ8iqJpE6bxs4j0h5e76v/rCvdl/F2VTfmrXZa4/7+tgx8NPt6v
g58CjUIG5OdLYf70x+//AprOj89N+/u/PPc3iw69p0tTcMW3Te62f1TAHfkbPxue1G1+K6hz/7sC
btq/2TqmTuDpLdOjOsCvGpi60e//cn5zqRGYEN8FJH7H88T/pAL+dyI0FNSXakCeiHunYSfct3ZE
Q3+ep+kRgM4aexSGX4oAJa6WTgPbyj5StVJ3gwNe9RM8+PLXq2n+m9LT8d7/n7rAH3qkx/GPIiKv
qF4eF1HZpYFD9RIC1G1l5CCBIjOB66hbOiIflok38wdV9nfmamkv2ji6kwxh4ezHxpTmRupmeCTd
O/ID7ZO3JZn/fJlFccP1iN0ElNC+Myrr0jAGK78f9ER3LibclEYfeAbF4nyqq7t/nr33vtCxXPxq
9iqpV/A/+ECydsSJSwicZFJNB1rxnz/gbV/iP99o0Q6Q8TzoSCvY+yFFPxr4v4mLLG1UEV3YpHDi
0uhSzrq6qWmGbEgAuRnoRdSrD7Su3vmCS+slWSQAiYbY8isXZMDWmb2fFbzij+w2jWNf5e+WH8H+
ZgIpSaZ2M9l7YKI9viJC+q5p/KpSs6bVWIcgPpHCo+R7LASl+47cEJ9gDWRp/kEV851vuBQly0Iq
85k9MMNU/LemKn+5SNmtm76ljlTJRjDIqbUBjzfuF72E4xz0XfKB6d57j75oVnH/ip3GVPY+NeP4
p845QtkpTrsPGjXvDL8UiCq1AUBrZNv7rHX7z8ZQW9CXZ3eFLhgbz1IgiiJ/UlUCDdqWytm810et
V4DeytJd+fjHTeJVbIqR+ws+amw2pcVlcnKc0drUNZG6++fYfGfrfBFzfPUBOf0nO+lC18+zpg7u
XKSdu89mTZ571gKVd28nUjXn9J8/7L2XsdjaRDJpRdlUGsYXk+vcNDG4hM9522q/1o2/2MkaqXf6
MNrS5wqc76fQ0tSGZhJZ8D+PfxznbwLdPH6vV5PllXBXOzEFfqnJOT8Myqj6fTZMBiy/GELbyo8x
336MaZWBHCrN9du2Ey2FBoS8ASMb2biv4nYY18W1SVv99bepy74OTO7UlGbT+VOqpui6cB3v07q5
ImV5PfpAu9MYSHVIg0e4K41yzYvQmsr6EV5TOn4wVe+tqMXuEcmQFrJbSV9l1nSq5bN+7YUGIKx/
/hLvDL90ay0DUm0mhxqXW4sR9MtoPTlzWX1wML43/CJv6Xq3BL7jOH6f8QbaLMz3Vqe5azTg2Z2W
PqxdzH0wQ6TCtxoqBPtskuh2AMGnWLBuehbxnHqaXXsjs+8ZOUTcyrCLYa8SKOE36z5gEdCumMzG
0ABKeU0Uf3Zl09yMcfihkP17878INHdSVHmBqviVaXG7Q4IKeHqU0u9eF2IvgJNXG8YYT7XTguLH
aDOsrNMG0xCEHTpLfXQ2H1fK3+xIy74dNI1Qz7kr+nUwVWqXhFRqb3L4Qw5ymEGe7scQ6fQvWS7N
rx2GY8UHO/l7Oc8SY5KNqIKU88BWmMmsOou0JnC5OFCYjveyRe2o3RRtAt4iRtA7h/eH4M7OsRC9
ve/11unWTfDSERTsoQYUWAv83IWHYcaD60sXGt8/L79Fc/jfmeuL68ir92f37RjXgrazqc8K617a
v+3eDmZKKpVnutN1CPLxV0VbJD+xZlnYV6NpiuJSYLqSfJEpiKcPHuWdpbr05syU6cCNTFxfaVBN
w9bAtzk0Zfjjn7/pe8MvAq0zlCOTJLT8sBrlk83xc9XoWr5unzOOn/pqGmta+LDcXM+30VgEHWzI
fAYwo6bmg2XwThgs/TebuEYVYlQSYs4QiFNk9JT+bYTSCp2BsgcyVnFHx1Bg3hx+r/K5EevOnyM0
7fU3M4ci4y0rx3dkkHebqhYgeKbO0lZusS8r89XUzdac1p2j3H1X28bemXoKv065xkSDE+Ilul+N
DkpNB3ozzn7Tha0/F26ycVSVfLBJvLOolnA6x9AR4SKX9BMR4zzeGkhNT+VHiufvjX5cC6+enWtJ
Ce65RD6Ie+NGj6h8hdZHmd57gy/ybsPBC37MwtkPQRJfdlOhc37WkfGRfdR74y9OziiBpmEq7M60
IPdOBfAlJJyoGa6K5hcA2KupMTGGqNqU0VuKstvBdBHEzo143ZpfIlSAf8+yd3mt6H5E29Ts+o2T
uta6jW5p1JnomkIAq5n92oizAyqi4ba3Ifr/88wc97O/OS/1RbwWgQ3lydAGf9Dsn9wL0/5gAX6D
0QcNceU3WGS+tKX7AnOBwTcJ3DuvLZO9YUEy+udv8N7KWWS8LVAG3O2cwS8t2zkFSNtBPsDMb83o
YumzabR5Fsg56fywySzawrl7WY3ZqkcXS6dNTtIgxY6w9UGYBAYSaaLZIq6CEOS6h18ErY0GdQpV
h64i0tNnEBXbiy4IslVBBTrn7X5DfRQZACRJ4SGEQ3NvDrrMrm0loUuse/zFGZwacY/rvRjJ2boZ
cRf7afKQo1g3+HE5vdoS7ERLLSmDfl9nkbExm05sag8+5brRF4m0WSUW8sOyZ+a1JyVIwApvDFa+
VvH20Y/OCajuO38+uiVqSMq9s/bRl9GKyEYnIwji3kDRWBxHp5O3dvRFtKZ6XwVZw+gjPK5tJ1Ow
dI5I1k370ukzsmxZAqhndAsx2NhC9wZRzlXbvFj6W8LbR/U2ZHAPHIWfIb7H1cgZV+UGYulvObZH
IumU9nsbwjo0rR4sXBW0K599EasoDImiNBHXAkUCOT2Kf3bJvEZc3bXF0s8S6lBbldHQ7fM0QtTV
sp+0vhErX+kiTvXAVuYUaS0OKNCTmzF+bjp4mqvCVC7CtG68MSET7vYJjlVoKGKw1ynhrhxdvI1T
muRaGGsej+5BPm9oj9wEqB2uMDk+zvoiTpG5EoXFyP5s0GwEH4Q66U6DV9GsXDOLUBX16OVdFfb+
ZOUFVl0muLsKAdPvq+Z+adJoxIFQSN1xsmLSc+YlDfiDNJlW3bC4Xr6d+w6dXASH7c4HnPLVSMRt
Y5m36x58capiypvk04ThSRxpV2yPT5NA6GLd2Is49eI4d43CRVN2ALELvuNTib7+uhe6NF+E/aop
T3adr6EHh+Cbe+GKWl/55Is4pX07oLgogaJk4w90ZB+FnX9gqXcc4q85qnAXUSrjIdQ4r1GRmrDp
3cDGjVCOBRu4butdOif2UEui1FItEsSe/sVq2Qc2TTwb6zKNpXUilBL84ANMWPJSzbtydL9FcfWR
ldJ7c7MI0kDGtdsjR+OD7MGqM0dNvkk/6ry+M/jSy9ArHCuGPNv6OLd5l7IJjctMC6rHVWt96WKI
ql2roHayHCOckcx8+OIi2bVu7EWMzlbpob6Rdr6y0dA35PiU1fJm3diLGMVmcxxik7GBHH+yuukS
wucHPlzvTfgi44VlFIQtpLS9HiCChLfsRYwc+rot0Tl+6KuMF9maykVwSNs7unedT+6TVNNH3ovv
PfgiRLWIPB1qTednUXELWucQoNGwbroXpyiCTygYUfSGPNWfALs/t+x1J+gLq+LVhEDGbyEFcbeD
zXEhy9EvVLCqDwp78u1cx1k7RoBJtX2VP8zw2BP386rZWFoGZl6iqhmdhb0Vpd/U6N3K2Vm3Ty3d
AREhS0dE/lp/alBin6cW7HxnNrt1D76ISBPZoyKJvdYHNFxsRJGCHfO+rBt7EZFpFjfQ+nRtb8dk
t5ruPFueufJgW7r4sbDrOtM5knEdgdeK9vDO89yPeJPvBM7SeU82vdsi46Xt4aaocodu8Lrz+EUF
+tXiRroYa5xoatE8AG0xmA28cbhS6yZ8EZMDDfJpKlAbAy59MmQ032sT7YF1gy8SW4WEbqplDC4z
+8bsqu/x0f563diLuARKNum19Jq9ys0bm7HHrl859hLUZQyxa5qjQdlYmPoFUhPJGdoJzrpZWUK6
0LzuM/JZFoo9Y/+kJw+ZE61LsJYILnSyrSH1iPwRqe8j8j7ANkKQAcXrthZrEaDVkFsBvZrWD63q
WRv6R5oPD6ve6JJv3CMZrhyTeem60N7VXYqevUQ/c93ox7B9FUUqQp4EYgcPPo43KDefwUFcGaFL
r0a4OLrlRjgTydS8zAAc7iEkipUzvojQLlRgI7u+9fUqu7W0bJugPb5uTpbxaWvFFKKt4Qthi+2Q
G2prWMmvdYMvAnSio9BIBAlBADhPkKPOYte+XzX0Evk0qjZIEYsDSG1kqCgjwHwocpzC142+uHCi
8l1AhWF0WkjzrpjLK9cE1L9u8MXh2VWiQURtUD5yKcjkN53SzrVen+7WDb8Iz0Ez2RWtjjfaTz8g
fN/CB/y2bmj7bQC1HDxR5ZSNnzrh3VhViMrm69bhEnzUBzJ1gOwrf+7raN8jZLdDjPH7uudeJLQx
yrGQcNIG5uzRc2K6yuVHaefxq//NdXYJMxo06sF95So/ynsbaXTkHi9R/odilQiUeNc9/yJI7bQY
i7S0lZ/F5le8Px61Kl13+L+IXbzaE0cgiZnjBor475uTvlEG0rEIKq168CXCKBSRHStT8OCW8Zj3
2tFQsPq8buxFjEYjipVKjxrfxk5hgGLYwdQuJIYh6w7pJcDIisJQdjJjSY7abZyLT3G98i4uFjGK
p1PNhZmhcd25bfX4OjCddW0osYjRTE5BXveTQhIrF74mRXuLJmC8CoqL2+TbHUC4vQ7Li5WI3jJS
kqr2TWslokuIRZjmIzpx6Mspv4DMtkF55FDjH7pu112ClVpldZ3lMeVsj+f9JM4ze1wXQ0uYkjeE
WZfUofIRWSvwKJjOPRWv7JstoUgeq0QfRap8o+xvTKO+UHq77rmX8CJEjdvAGbTabxz5GBvqNkvr
dZe4JbQoGC1cOqqjYRczs8GfatjUUy7X7YdLyDtmcbWWlF5N3wYCnhLpbad5D6u2lSUUSde5ZxW2
XvthjK4sNDS88Tpdc1ZOzCI8k8QDNpZMxI035VvZOc4dzkzzyje6CM8+wQsFMFztI7crtkZjXXGS
ruyeL2FIHYT40h5LlkvpWXrKXjulDZ46Xp+uq+Hoi3yxpo4ltS6vfJyd5FeXSt9Jl+b9yZo3iwDJ
272r1bVxmk0EMzJHoJlKP3oD4d7drxldLLFSYH91/OMK1k0YDe62oPDnB4FVr+yBLKFSU9p1UuVB
5aOil6LGN1T5L7jpSNCse/7F3Bu50K3B0yofP48GTQIHvwJE3g+rRl+CpVx3HKXe65XfMfmYOgBa
N7m5r3t2fZEKtBnoQZwXKx+fm7DdGLNIn9MJ5vTK8RcZ+xgrRw0jc1NGCf7Ibf4wZsa681pfpgKi
RPLS7Zh37ClOkENuDkOGxNG6eV9sN73Zm1OVDZWfBPb8iFFDeGLBXU9XTsxivzHZ4/Gr4rV6BRJy
B7eTpoVVS+nUKz9gkRLQSEzLouqZebMZTnG3eUAPZGVfYQmXctNcAGBWle9aiM+Hze2Qtvfr5n2R
sYfBNECwDmvfLbyvyGMjFWJZHwF3j7P71zsHnMq3G5maNHr0GRuZ3U+YohnVGXoqHyxH9xjvfzf4
Yq3X8Qi8DoK/3ztpGGzoFicErIv1zTbMvTA9yatpuO/yJjs1GxPJ6TbCCfATFDe3vrE8u1H3nps7
Jyl9yfIkSQt0oRHRpxgfjrXUcdW1klo9DDWiRvgZ1EX6jDEGlqgOiaXYGTa1djweurHDDIEq2dah
S40meK3JBH2sEZZ/UCbDhLsO1YQvGsje6WCYSePuTHdkzCGL2/kQ1l6E/VMmUBbNhRhn+PC5WXwd
UYkKblrL0ZJvDeZPtY/vhNf7auT77qp2tveJ3ttyW7gCgzgH/nZ3gtBm6F0guApxS69ncY/447Dp
ccQ4rWJUNXy99OR0GPKst3Y95pL2vke0lRJ2FvVIZWQVdnp673kI3KvYdDfovCrjfCiCxDvNTKO1
/JnZRknRTPtTdBXyqzTjbu2DAMXePQlUMN9nRlK6X9YsT2MJrVF52Pd91Zd+iobuZyWx1VB5IdtV
UWsswTV1EUN+n73S96jlbWycT6M5XEeKMZbYGp2ZQwC1Kv2prIJ8V+pD4o+1Hq9LLg252JCNIsbg
EEkE3wlze9yLpuiQn9DstN6tm/zFntzm9RBoUVv69Ad+DZV1ZmvNR2zNd7YGudiQqw4/zXpySx/5
BeA7bYPjFVqTifi17tkX+3Fv1zPKTqLys9pDicota5QpuWSKdS1wQ4q3e9tQIU+ioyAFJ8GwNh0K
uvs4jtemgIt3m49W56SdWfqOHZVUOxG5ChHFXzU33uK9mjhfcIHKKj9y8p+Bld7jLLsuXhGCfVO5
7ulAjpngue0u8BsvO8MRYVVRHMnJt0PbPYgslOYrH7jsuAkQTd14GcLC6+Zk8TpRnTedlGa1Hwpk
18a0/uUk6tO6sRdnbAKtuy9cvfS7qauuYA7GJ6WJANW60Rf5cOTEOg7cqEOFKrUuLO5t0Kq79mnV
6Eu8V+UOQTKHHOH0aNQWRJmDYPegryq7GXLx7IMOlxkvnRImapadOfgItzih4F6wXfX0S7RXkxT/
m7NzW5ITZ7r2FREhJBBwClRVV/Xe3d6MT4ixx0Ygia2EQFf/r5qjd/jG4z/qdGIC05SUykytXE8N
IVOP5djZ5CI6Rr6ipt1uagXDLvmfKzJZ9ej1jJwPraz1XEWVPSXEJOVt777LbyhTQNdcd2nbaJh4
OrDerdH6tvW+924Mp3C1cJXrT8HWsR8CavMfXgOEcuOH34WYmLLu6kM/nGLgs4KzzGDVQyrn4t/c
Hf5i8C1MdoEG86BVxVXanQDWYNM7mEBLX1RJR4fSzX3wjomwJziUq7ZEFiezos5Q0AEhB5zAbb8+
3/2JLoE5baen7tRMa/BNt459nwKcAjf9+nvZzNxGXR91oT4hBXqCbdu9GuvfOFtcP9G/JM58F0jr
FbcuII91p3ml4hIqOFTDgdzdtqX5LpA6yZt0kUyfmEz7+uqcO15EYjtx48ravT3mlzmxLdJ+0FsE
bPR0C98PDfdpdbzpy+91eZwwj3LrmplUgDrd66bGuB984szv/Ll/8f33yjxP7IRJYNqdGAsb4GNc
CypYK6PlxvP974rpf65K+OyxLCn+gc3CpFB4WJiq4PtNX2cvzlNGw3jN+u40TN1crDX76U1844vv
tXn16MN5lok+LSQ6KiovlM6/KRd/8dH5LppqAFJqB+OWk4mWuZABOF6Y3/lw20fZZWvA0sOhzi3d
qbJTCjQwrUFJbW5MlfeCsShb+6tPtz4lcdcWY5beySjcbjsH9pKxaejqusqa7pRFwj3Mk47gStYu
r//9Ya6x8F9CzV43BlDOtgDvhE6mj0akPmSuswOgXH1/4Mhuu9uS/b2GDLD0Chb8dX8ilpkB6BLT
Xn9jAvTVf/8dv1g98f9ZPc08LlmDaBzTN2vIhzqsbgv0exd4uD+YlEx4d3SoYiAe0cr3FoCX2158
d0jBii2Ft+cqDiHM7T8sG7ChnYhvm2ZCNfvPBAjEwdASOqtrMEhfB83ik2ni9MaPvov0A7oLpNKd
wmU4uhL9mL4GMDy+8cPQf7663Uy32a1RUAjAwqnA8OH4B/xx++XG5+9yfjjGwBvfTAD/Tck39I6u
7NPPt/2mu6Q5WghuqzEhiKHVvgKbd7bLD8cAsb7p8XtBWYM+QgfOJD77kFa425hT4NVie9ty3wvK
etrCnXrCy1e1QNsppAOM8dcbQ+VeUpZxD/TdjP5b6Ey4lV0DPULRdl273FaE7iVl6eKqAZmtOoXA
RZVpTchLj3m+D7d9+t1uBWQalb4bg7IO67W/tHDLf6J0iO1v3p5dH/Qv8TjabVgeMbpyDhxlwG2s
n8cw7OxdI5dxOqIQs/QItAvwbGOs1v4h2FAVPAxJO+o/aMiio+XUn5Mo2OI8AygLFl4bWKHPuotX
WuhxhK+zr0Xlv/XV1thjNyDLLGzcrt+ZjqL7ZWgNsBNiAfEHLpegXApcPhPdRP4dBM6t/RtiFbx3
DfBbgL0mEXy8ATApBIHy86kdROBL/N9z88ho1S+3ZTR7QRx0jSPQ0bEAjytsn0Biyh5oA7fYG7cT
/Weg6QMA/yKyyBNdyQ9Ox9csrF9uWy67GINac9MBiMwn5qGzhS/qmfbz75wurrnLvy2VXZSxYEDV
4PDI0zjATAMgRK8cEHFQPcCWf8nqM8+4Erd1GfYiuXDMYh4tsTwFQ8APkXSg9Ayq/njTd9rbg4mt
AmJkYvK09JEog8p/Ni2IWf/98F9sqT2wAkSAxsrJyhNXtnmDqjp6TkW9/rm2YfCbDs+v/oldekmq
LKnBIZGHeWWSA/s7TqCTLxOa7efGYaLtN0X1L7KcvYJjbQnQEazPSqOjZj1S6j4Ok5S/K6x+saL+
Dkr/U5ZA/VDbhav6UDdGyqMF4Bzis0AdGu1TWkAwfmP3dK/RqwVaMxUcg0+8o1cXcv4Zce7G85Ht
0pIAfiboM3TyFOLGzDB3NCz8Tfz/1Q+9ixUJg1TUY8S3lPWYmHOm5vjYpxmu5nm9KHKTeCG8upj+
r7o4xrPBrU8CuIDASBCj9CDMjcltk7PhXqc3b9nYNNvUnpIkNkdIutO8EuGN1f9epweuDkpO2KWf
GnBvjsOy6TLNmtsaI3TXzyPwYFYqURVIms0FhIk86vlt33wv0dsYUaBK4NHew8E+G48aTOv/DkC/
2rW76LDBCK2ZwUQtZUPBDQjuR35jk3Av0YNqkSRYK1UJmPN4aWE4Dy4Le7vtvXe5SBUnYtlYgMUe
1jMc6Kco3zIVHW97+m6XkkxOVUyC5pQ083APUe3nsd5u854N9xK9mid1sFDwcNVG1dFmprsjo7pN
6RruVXrBBlpqpKfm1LTtWA4ifQDbbj7c9F32UjrRZ2ZUUQfM/DLi7rYHOLO/7RDfS+k2sa61rpFI
KWObvLMdAXEk/k1o/MUq3yvpFqjzPSb8sMrnBViKDNxQDkfh2z7Kbgt5mPTMiwGgxqZ6KzpgYUbg
4GFxf+Pzr/H+f06+TG+YuZBxhkGr3tM8VdV036+yuW0OMtwbe1neVV0ysqzUzuPu6hUqgN+8+d+P
+Jc0cK+li7gPYU4F6mq4BWy5J42OMWBUw2zzHU5J/amJM8/yZFx0fODoJwOWa2S8wMJy4NtxtBkZ
D34Ia/qnhp3AcqpS1iS3deD3SrY1GEP4bphruTSZ+twwcnV1n+Xclbeti91J2TWN4WkoknKdBEcE
2VoLdlTMQ3Zb7bE3/pqMtH4BqfZgezEcdBq5csii21qeeykbcqqYDUzbQ3j1/XLxiEntKLlJXx3u
lWxDskRzZfDwxcJcWc3RCNN8eptOLiS7flskLKbhbWcPtA2HgskQuMpOfbvpV90L2XoJZiYBdPaw
UKHzNAgwwLVG5LaDZ2/6VUNrSqKAXUG/iQPBeaqfVMLMp9vefXdoRm4YWMhHcwgytN8j6etDs8U3
fpjdmdlMLgRPUgGrWiX0pdOr/AbiTHJbnrIXsXlQzkZjl/nQdVwVsJaGI0xU3eZ6EpLdVlWZYR40
v/nQJOt0jCvgV9D5vFHssdf7MmBlvZJmPjCnBRRX5h3j1etvYuy/H20g6f3zdLBuhGVWss2HLQl9
LgFiLBJ5WzJB9hK8WFoesBFf3WvYtTiz/SSTuG2WkGS7bRr4QY+VYvZQY3qmzJwQBeLxbZf3oKX+
87t4jEFUzYLMJxnot1mzNy3obePVZC+BERot5X6I7KEhE8nXgVaHqoKM7r936b/XccAZ//PNVShH
KnuWHnml4uVFAAOvjxunajpG04BT8L//mV8tnN1+Bf60isIWfwR8eoJyoXFddKu9TRFDQLT4R9Iy
iCoxhuPpdd01ZQo5TJH121+3vfpuuwJPFAvoGafDsA7gvOqxLWdd3XTwkWzXusqGiBgdx9NhkXYB
kS6lORyG/U0nH9lLEjfNOPeTmw5GeHUMZ/nRh21820+6FyR6oSPfo9dzGFKRFFqtbQFJ6m3SebJX
JHbJlpgkrYZDoIOpaP3QAY203ebcBBD8PxdMFUXqinseDo0BndfHWhUprOXLm1bM3u7LhhtazlOd
Htu28+8efLtPLel+5/X+i620lyNWzLkQzK7hEE8h5lGuCcdAw9/1CH/19N1GjcIQ7eoty45AiuXZ
EnwHuur9ts+y26US5WMFwEVyhM9XpfLFQyZrxDp/ue3xu30aKgCiPJmyYzzoDkLEduXigYeqS2/b
q3sF2DCnFln8kB2zOczbjF4UuS0TA7f+n+sRRlwjaF94tI5w/F0v5rvblLFkr/wCQKGpRDJmgK/C
+ki6MCoikbrbEoJkd6y2RAnjtz4q4cJ1BzDqC+G3uQn+H2QviaFuYVpHJYfgB7TGh6hrXm9aKnuf
rxg2QmJiXVRSDuLoKRpALz0Lp+3H255/3Vz/U0R3Qzi2yvbJMQKyDh7n0RxdrqN6v/MTvH7d/1vp
kr3fFxiYQ5S6ih9Bnp7vTLUs+gnA17o+YE41qc619k48Gl/9fxTXf5Od/u0f3W3fZKNVt7SjQtm6
um4FJ7BRdDiA7uyJOopqlVcQsAZPJu/YiLN9bbepS869GrjQRxTWrdS58nLZzmDLBdWfjDnI7joC
bbXMQTP1zuVIcobxQXJAGB8XAGtDfl6DKBllPnlVX5mGLGsY0MYmGZAI9Rw/XR5nAIL+OUxC2zCP
ZNLoM/MSds/lhoI+qcsNCLupkBtr1zdYyIEbmcfAG4MaCsLrOnd5mNmAR3m2wbtd3oWD5PCm12gq
Gp1jrkBZvOCc9N3HgWoUMm3Spj/1oPGfJztGS8mhO2e5xReSxbI4UKH9ZldQlyRhc/dnj65qYvN1
QjXg8jjltfijayKZfde1BYkHg5y+n3QOt692+3JVi90NXm/gtcE0ai6ca+ZQlgkGJ8GLxZUNPQS0
WueiSrHSwP/kDii8ki4+JvdhuvDs2MTWa8xWjf12Bxv/DkzmYeGPLbENSJwNc6wQCR+RhaU6LVMN
A1ww1Gs+dtBvtr2oS5Oh3k8KdEjWusebjd2UgFLJE8yNAEpZRQnSRsQSru0Fv1YP0OqUIrMD+TJQ
urS6o19Ho3npNr8m323jN8BHpz6WT36iKf8kRpokT8xUjD34SoAAXCqPGZXomDkbwhHB88SqR0xo
pPi9hqYZ8HI18VltjwSuxsjGNOm9vNs4W923MdXA4BU9qKrinGDYMXsP1wRmhIXqIpDE6jS42kAq
qzow8IjykCnCQSexiz1s+C37/gweb+bpmcsuFbnkMjtyKbqi56vTE7opWzAv18xyme+JneXBTYhR
T7yvbfu+rrQGJXuyPbXHlsXzWvS1iChcYsWmStQ1Iv0jNazr77PVo/ATMQExNHeDQbc9z9I4ocig
jGFgToMCx9rXUKYTP8JgRa73HWCjaDsTA281j2tms4AQLsgGjh8khRwma0TZb1QFmJmZliQa3pJY
h2kpqjluv6H2SRU2jY76BajnuJ+fpCU1f4c8a9THdkswJpT1pI8vPg6ofAiFkx6gQdXbqIymoI+e
gATfxKEbxEbPgw7b8bMIdEoAkYxkzeM80VE2PBFjZPgtaqsKTPKqznR9cm5Z4gsB9rD/0jq+xQU8
7wmm0WvHwgzWzjFX3yvjauBM5SjTbzHj4/AZ0+VeFLj+wdkFvXu/PULHegXGAsIcfQe/fPFnTYdt
e5eehGExgHevv7cRlvldLal/Mhmpj4SOafsMAHPCDyRtBvFhlGL1Lw5CdxrgJhq+AWl5dSLm59mZ
rvspcbUi7ls+su0EVKSqTiPNwunejllCizZiEf0j5TTK/godsJAYIQ8uuOfx3yHx13nr4rqsYRAU
lGvjU3cB5GHxdzAPYl9U1kRZOShMC74mm1DdU1hXTXh2YNduBzDX2/Uu2ybCTwlfJflMeCWrD2LM
6qEYNhPAE7ElGWjmmebzcln8HE+PM/GGnNnAB/URZI2qf7ZxlogjEbJPSrO2C2Kni9NJHKGfDqfH
MVv4dwVPgK4AGD50z2IlE0KJ6Fd34HFvprokuE5a7mULg+NjVdsBYwZBstTvIp2z6KyBG+a5qYKJ
fxMiawcgi2dp2jztwooADhSx9TwrPZvSOEqC0swdDfNOeTf8wUyGNyhjUoewM1zxFk1Qz1PersEM
cPXVkieHoR1A8aPDYBpIp5P7SsnmOPhnNQCKBVAQ/BHpUv2jwhZOilYJYKa5dnH/eRtZHMPgSGtY
nuVMet+cncGk6fsGPt1U5WI0yYp478FZ7fPW4Jh2OTrey/xdhsbUHxbhs3vA3iacChKWNdkHhUdd
f83B2OkQZxz3kYfOUR2DET508UllYSYPy1IzBWxmaFJ/79a5RutiBf8pA5J5Q6KIcTYhzjNYaEHu
p6YJ3ngsJ7DYI26DciZLmJXJ5n37aSJAe98txrvsZHUfVOXoaLU9MCC2Xkg4t80b2kd0k3mjlMmO
sI6vzSWTKGOeNvTF0mMkGxx6pqriEarjSKwPuiatLHo/haaIhikJMLwwzVXjMELn5/CDIVJjNKiL
jAGZmCT0DnDhsX3qYXfXjPmyRcDcwFw8H92UheeQZbN5jucx6P6kzZqqB67YjIXWCa3EX0ylHstB
w7dtPvR12ixH/GVre4i1jOaPXC6iusx107IzplG5erQTBRnrgJikeAmgEat+ePglw9h8Fm18N/dN
XUNpi3EULJQUZkoX0ZptuBtazaBgpVC0ksM8AH2YL2br6FsXZOll0Sr7lFKJhi9s0uPqPQqFCn5C
av92lXnfwUqFbkezTckb5J/rz34eiSvDAAdgsbSd/DlgyuuTxhhGfMcRnsN8yUa53YWu+yynqAWg
XjUfUNXAI8mTAEBCBRr4FTRPsfQ1AbDhaRnWpQCgvOIvkuJe71ibgJaubUBRFtUrT7rFPSpPt6hs
mnaO33Q2psFR9MFQiLWnOWgSBMtAO1UQG/v569RSlGUpOLW2MKgFH1uDuc8XEcFNsYTMqbp3+A+P
vlZ12SB3Qm+BSraW4PBuX+Q01abQGPEBOz5O2J9imtY8avmj0JKcl3kO2Akj/QM7j1Bg3WVJGr35
UMMMRmTY9e8kxF7MMxosWA8qLijFuQ8scdOViDrz+OQDmx6WNOsKS6qHoQ30R3j2Ls+JRYgvY6VZ
2Yz9d0/EmG+6ar6CrdI+RG6D27mbcSVyJ/m0Rcg4zNpvJZliZj6PYY3xUSRaPoZ9oYHjILz6JNZB
3rsgeqdgxdCycUPYfU8XhngfYIbpfmhnaKdbiIbr+4yZdfkJfY0BDx7XoL4kAV3i+zQxfv0r6bQ7
1ouBdDkXMOh/TkfDRTGuoPm+CoVg+JX1oF1PczAwUWi5WTiqVHWk+lxOyVBfPA3NVEJzZOzJzVw/
Oo1k8GdnkhdmvA7Lrg1rjU8lMJausmCsXugwVOsRwsiu+wDNmmnfYEDAHwRpquUE3Pq2PSVwQBjK
acXN+TmCVc6Sa0sdzdk6juKL7aaafG0EW55bRseXYZo8IM+wYJ8XXEL4lX/vw2YM3wyIicEXhquw
4HPEEUlh22RMjCnaSPF4K5JmWmhRDyDQXkTjp2IcLZDUObe2KhIfL8fU2LY9oTjxwyNQ18lLhsM2
mfLFaUit6viJZrortgRIw6mCLA/x2+ZBayvIj4Ut6OSTw8qz5rzppqhc94cG8itP1sadHQ/e2777
DDXeVmysjwoqIslhbuKAS5j6TOH4wkBX2lYEJm12K2sVDcjs5wGsviULH5rOBFspJkHuYgf97Vbh
UjTquDmEmPstlJrGvGExzBcm3n1E1vuVy/jZhgAzhAZbNNquSmxNV+Sf/EvdZI8Ly4p+DLEzwpCc
hFRLV/i2xe1RQKK3ULvxDAiYnPKwVewkoyErLEb9Xmai0kvQJt1UkLp/Qp1hlhNVScwX/GZEj0+D
GIGjz0NYwR6HrFX9I9ODA9N9hUvBfcZrVrb9aNZjHDbR8hx2ZIKhM27Ws/co7Zw4LgropZeRCvYl
nYENKueoQm8pbQLDn7ZuqJIjmVpHn3GhyboPs+H+OY6UCk+D6vtgzedr+6KLEHEh/YcGMj0tIYD3
q+/q7L5CyBzWIo2i+mWD9CkoVo7d+2H2boS3B+aqqStgk1nJIsnCZniWM3qY+Hi1Gg9sw9y2OmIW
NzykFeu6ciIVHYqwESp8jOxwJQXz+Zpcp5DuirrI0iWmpbYjCS0egpnxTpvk0KYK1ly51xgRfB8w
yss+1TPvH6bOIq0vRN0GQGTDehBLN12XPHEcQYJa+FPc1dwNSCqTlaAWrA1ucmFJMjkwllgUmHOD
lyGvtsfGLGjMx1JuwnYnueI8+SMmk1uONJEqBANngrleGDUsLbdEie/ZEtf5zEJ/tKldv3RdBWR5
PsVVOz9ZqPUQ8Sak9M2FNYPD3X+1PafbFbzrJ8/u5zSV5JCCnLQifUOqWwI5z+JPTi1BfZa8i827
Bet++dBNNixwNzfSr5uq3FLEaxOUgxQfs9XafBmCH5vEOFGPm558WltxJ8wAc5QIc/1I9ljhvcmG
PEFBPkL2K9/MROgdldSd1t5mB6cTdi9Zln1WSKiKdWu/1TCyfg7R0noRIQU7XMOzIXbLpe9xMlxS
V29/hUMbfhq7OBV3tBEYL/Dt7LPHMaDTC3HwH4b9ffwI51Cbp3yDE4kl/oS0ZfxUo+U0vSzBAIG5
WZPCBpBcVEH8KU27Od/69BHXkPAYGBLNpnwm9T1C3HLeppR+RHSvD5K2XOZarwbiGMBOaOyConYg
QJQSWwffxzrEjKq5a2xSH7AwAAzj9XbxPP0rTWvzGtEounAiseCYmoqG8FcVT/pj6NX6nPKhfa3J
MEPpZJWUY76SJnNzXqN+244bgIXbHV9o/YmH63Ax7ZZmZduNvNDe+vXYTW182SDIjT66IE3eauUY
QAPUdElwV+lkcSqvsFdSGD9sgvzVmGozH+OY8y1fGr2mECeHi9vK5mqmc1bb6mEElE7hNoAVPY4z
VtnasL4ta76EwWUJI8xZY2Lfkcskwip7moN1NscFzhXkk+eK8iLbosXc22iI66+oxfQIaAYN6N3Q
DE300K6LAl+47haE1nCY0k/MqoE8j8yy4QDzjq2Dn8/MxbkPlkz9EWBnAsIWb03clGRuhclt3KC4
yoxNmmJSyLpdXrGAMZVv8Wab72sas/FhWfvFfwNmzSHBFyaNcXorbOR4yFvMYrUH+EJV9DSlqmlf
1xDdrEPfRUwfTYLAV6JGr5PzeBWUHsZEU/aMeaU2vocinIVlmK1xdg4xkbb+bHCK6mc7m3QgxZbV
i7jM48wIz2EzkyL/8y1V2yuaPQlFXwciZH8/z2pGJBJdghxq0Nj6bxLtF/eHjGV2jnpc+rJZu+SP
cGYy+KohGUDjZ+1jcDdxrSIKrA5k/nllFwkCzGTXctH1lH7mcKkwn1InSPplnseMtmWcjAGSlaqL
g+WNO9+udR5QmjBkOdWki6xiij7NPl23nxEMLNRfU4NBwUPaAl75YVNizWChEffTC6jlsVwP3QK/
4lPWBLR/4difiMGETdcEAXikBO1v0cEx4q5lRLg7JoUkuoz8tE59rjjnNcAGPSpqlC/tWGxIUpFY
I+8x7rU1SBHdKZO1nD6pOeiXY98GJjvPc2Zj/GI+c1M5UrUuX2UWY56UC5nNX42T43IcaqKDIpM2
vG/GuuLFCGmHedjaNqrxkyQNxltn3BsV07CMqLBGDpOhT9ZHWQrvibF66Gs6nly1ph9GRjcz5yb2
fnjelFL5BEJsjnm72jIQ89K2P24uRfpSA6prz57NaDmIzCb5bBzy59xY4+bXJHSJ+LkA1pMevCRE
lNzBzqvP6xnUlDvPdfxtA5uxaXPWB1l1AWA84lExK98GKK42EpxWjxV8SmgcJheDk6X9M/ONKLcO
xifPPZ2nQxOM3kIlEFTBGcUaMwVBZxxRMTVjVcAwjH1ki4HkcXGiHs6ZuB5P+FomhF9x3zcFzsBB
f4pxKUWOrRCdKYcgbtxhWTGagzZGgNFFn4iweUpbR9ACajb5hMkGe1ZVwzvsyMpeeoLW3WNGa0PP
yLfV17QVvXvqpJsvZkw6Jcp029YijhE40Fysq68wckExUmtE06ad5KMxJMNwBEy83FklqSgGv4G0
g3kmctckE1OPo2GzepwqO9/bYejbP+m0pvLQp3J6RxuFHXTAkIXhfXh63nwSTYVaI/cphr3OjwlW
8CQXMJRpsIiR6OTKJfrIADq3xYhatS9SXNUvgD2mK+4rEDdnpKPTWiiLHkgB66VsLTDDtdV5KLB4
x01SVQyQfkF0Dscc+thnnUHD0AQ+05fELbH4srpl9A8+wmH3EcY1PX3QvLHNXBi2DM19n0IYBlPA
dS0Jb3sLWnn0TEF+L5c+WVtYclQANndIKpLXUDC0Y6oZdX7OAXO8+LYKVihaR+VLiUt0ZAmVwVjc
96oDbOZMJVqIeQXbk/RHb9BWw1GGwgWwyZVAQ+ENwttjkGa9ecN1G50eHIwMkPc6UEqfIguPpiJN
p8E9a9yGfos8KtuvXR0b8Vn0NablpBkGBSGgjt41zVDdgNmLIkACkoIeEGCQiH3L8Fk06Hqgxzwf
5Wy3MEeMWKsm9+hFx6VMuBDqfnMJGic5BszCr9M8dKzo0VpZnreh9u6VDGOQfHHV2NlnuzRZc0lF
hpLmoG0lm/NSizUUiLc0/ikdctqvcqudXg4+G2CTLfvRf8TNgYb6bUGLSa/5iiN+ulvb2WFn0/ET
ZYIdcckT3sNdAQdJGsPjPO8ct8lH7AenDpkwAkVLGnbrg0ttJ/9wGt2YHDWsjR7DgPLux9BmmSxl
X030PaBeL08bSdvlqeqBeHtN0VKlfzeS7NMwM9b9jLs5S+7WsFakiCI4ZT/gIKtxWNdrTF1Z8WRN
hwKQLAhzCx9C/fK2wNaIXDgsmsg9FlYiL5azaACzj6zdYzagwZrzgTkYnQ9i+kFi1ogn6qsOgqKK
yO4OjvMBfcHAY8L7Avgm73Bx023DEeBFNx0hURt0geuQ2H7rnJ4DkA29Sc+BQgvkC1F6RAHBkTmW
4ZQNLWoX5LP6yaLxJwtMLpjZ5nDzCek94TRG1h6boLtrIJBYvjm6ZTP+Kl6Zk6ub1JVTPAzyoICq
H0sKlIyR+TjpTRyRSClUBBG8x6CaVFeuFzBnfdmKJlsvlcFdY4EBjzqLS1gokBmG6JXGRTTuMPv6
wpeVeYRmM0R3iJM9rtlHHGE5GqihzDHp6dty1J1Vx2i14fgjaWKpAqRIYWQYQLWwwfk5SK0wiCVx
tWXmYtE4DqMiUFN24nSg23qWYcrST3YCguXhuubWAX94E7VR0YYr65/jpFHr5wB/TRbkAsVeb49X
G2rk90vql+jJXkuT+yro5YozBkJXn7dbVdfPmw5n5GSTZZwsuFNCnykpcEkSO5OTWWfd92ZDyIYo
b0s0+TGZJRiPNkxi5IXY5qj9gZnpp8uc9TZ9jkW71DgR09b/JQWuEb62revlMaqjLkAdPA6sA+WY
T81rhKwGRwPNkig+Dgjt4w8xRLFLcxNmsFl2SWTT9xA9tQbcFjTuzbcMPqzy0xDYPnjpa9zUvC5Z
O86Yed9SRYtkGWFIjHm3YVJnoXFhhUUSDew4Jcjv+AEARDveY3Svjl3hcfnTazg5TkmTlCTmJr13
A66AHpBEpPxB2iia3zrVyumS1Mz158CCQv6VEYLynHcrx7hMrwObq4S64KEnsNd5Dexsmy+BB1Cw
yJAAdIfN6nR6amaDERIdk2R59wpaxCIlM25nGqY6mBRNdWC+p3weqneG3lBBO4AJ2sVfAg8w9lQy
mPqpsxtqtuVIM1pfhMlq7N3/Y+88tuNGsnX9Kr1qDh2YiADirlM9QBp6ik52gkWJFLwLeDz9/VJV
3UfKVolXNbqDs6omEkUggQQi9v7dXupKe6cGeHw6KXK12m+dpJfyPM2h8DaNXcLc7zAC24bergKh
B7fvZmntW+O6w8ZTZWaFvHNXqukOUFQlCVjY2w6a6HafWg5EjargZpawYDZaEC7t3MitSXwpTvt5
0OtpI2bLrshic6dBh7kXM+SM5svJLqVjuu6t7IhDf/ZjMZSXNqC2vy9kMuj7aYJT2RYx8B62QpRk
N2lVFeoiiosqv58CbszF4gZ5d24PzMIBqEBazqzwZZU32eCX8fmcGZ2/oZ4FRQIxVEvagigEJVCz
IFwttTcDL3NjbUiPUEuzhcDzA73P0fEdsof9D8T32Z2z0Zr0x3JXwuF0w5lfToYb2/tZY25mw02D
7ORJYFy46+vl3uO2Y1vSMsnXN9AeAFsjb/Jer6t/Sa+grAvXikAQQ2UTO+ce+LfAPbEzpZqTPPNb
ebkWNZZpx13q/sOUDhroLh8In9j3cTMvSehMYLCQky5qKbvtgpF0O1N2H8tRBO5NTUJI5+4PGa0O
rdssGZsemFWP2UaX05Rvl9IcRsH1nbqWJhLVmcCCO522VTN423hcmurS7QiYCecot50zsTbSu7Q6
x7H20Ip9ui2CWFNXN23XgIx5Zeo9zj6T2S+iNc7mOwBl0YOUJ5FZn7xKevGnJq/t4sz2cCee2em0
tFcY/U3/UJAinbypKynmS0dY3fJlaWXWXKbjUPq7dZAB2IeGng7h6AbokLTr0Oe1vbga7LKbNv3C
rM8zw0fItsPquvkGObuC5hbioIgdg71GjHxdjAzzfWNPedxdmX51qnOfSXVUBCDeEfYE3S9MW+98
kX0CNLFAnmRgNR3oICXYpqt4zssdPFIO0MASeuhjpkMloi0zepvFshzDaxK0BodDIw/3Tje06XEI
aKtfd/5YWCQEpH76NBx2xid/AGfD/i3js7bWFCE2K11x7xnj9sNGxCD3JhwKQQbD5DHayQcKtbee
Ky0EMV7cRtdu4vfTnvWT9MKxqNLxuc/mZr6sV7+U76gClJjDrM2G8wUscn4X+GUzvma7jr3Tjjol
LMlJaUPG98TztvLA5tlsoRxvqIq1f94leAOuYTVKLOoMLFhp3ducrlwyalLI/nEYrDYI8eq4E3Bm
kwNYmDa5Q9jgxNtxZIzyXYYWkQ2RqRikLeoxiPRbv7E12vDKhoEC4YpMW/dhioVOhHUA8+9tYKvN
8EyjHAOH0ZDa/SPd2JpaoerRPmShZHnt1zAuavwZIbHyzRTvZwydjPOpZqGSD3iiAaXDYWLsTHtS
0muk2WZqSfyezmmEZ+lsjZcgvtj+PY3LkdxKLaIq66ordrZ+n4kHNf4tUbp9nAgjC2+cO3rznZfe
BfQ8qfx71hP7OA+mJu1NR6nv79mlbFpVPdpXHYvlSyPl/yLoyT7OhKHhdnuUXNTdFi9Bm9Rpf1FO
Vk2GWoeqBThszIjT93Xr3swdANGGMbiWvQGVpef4+ddyUDD+QKVzHB4Tz2BsqWX8fc0U0GKbYga5
QnTXbiiXYOxg24Kzn5/pL0RI6khDadpu6YTnqT1G+ta/75c6GrZNTJmJ65pODAQ8sQqKwnmpXnAX
/4U48TjHKkNXxWLuyr0KmGXRE9eya0G0Xrigvzr6kWqrYRJe5ydaorgoP+XGeTsFTfSCzPqvjn0k
q6RKbssmjuQemot63Sxn6VB4f/PgR8qs3nH6qh6U3IN07RA8Aq864Bs//5r/6pMfvefRDIchdar2
sW11bKljRN/N5vv3jn6kf3bzxkNVw32hUyPTttdMZ1zr+58f/C+e0ONIH2Ugapo543FJfO0+dVVa
ThtbLS7zeAK3bMJmQMV8ijlINn9rrJ19HO+TBPHkk3Ui94wRle9Ea7rrzAGd+fkFOX+h1j8O9/Gz
xVPjEot9GegEnEtXywSEy3/Pi9Ort4LCl7+phFOpk7TJHrI1fXB40uRp1KVDQqsQJzumGj7No5c0
btj7VER/fLr/+jz/n/i5vvljlen++d/8+XPdLCaNk/7oj/98qEv+/+/D7/z733z/G/88ea6vH8vn
7vgfffc7HPfP824f+8fv/rCjLO6X2+HZLHfP3VD0X4/PJzz8y//XH/7j+etRHpbm+fffPoPp9oej
kSFX/fbnj86efv/tILD8r28P/+fPDp//999Qz6d1kz4e/8bzY9f//pvwX+nA9XytHY9RW18FuNPz
4See+0rrgMx8ocg2PrTiv/2jYlBo8vtvjngVaC9QZP7bNuTEwePY1cPhR94rj9ZPMEGPH0gPA99v
//pk3301//NV/aMaypsaErT7/Tf5VUj/PxuF74nA08r3tXQd0rL5jN9rVTP4BrtXQEYxGisfzYSR
MNMSvDokHMycG0z3cDpFVePVRs2Y2P52zFfrQ2eM6ULDHHfzvk0MKF8Ffekm9JtkuV2kfpF98CYN
FJ/MXpJuMTulCkzfgBUyFY99qEclm56jmItiyL/MESfZ6kcffNlENx3CvnIDeOY0W0ui3wxh2Mun
vqnyj3mZO3QCeWfik6xw1vu0dVv4E+SaepNXeXPQYzZ+D+w4pbde6/U39E8JqckqlvOJLcmw2nAQ
iTS3nZp8m/WNuQA8i+U5KlS/CIuYEvYEuqtx3nRwAs1Zm1kp7R6275bLJ4nszNS9jrajMDGVWGnH
OWVWq+3XlSBL/KQE8o/3eVQlc7jGLiCm8k2lM5BUUzK6fCKpRL/O6h6NczgFdqo2XdQuEw1SpjJe
6r7HTtTQuyYNFaGfIJ6pTQMt7leOmLEBZrAolHx5vN77WR13DyN9iyRmo5YJ06lcO53n4aKard4e
bke/S4po045WkunrYWJawHTnWmW1tpuyS+qhPJvHWXbrGqaDICz0blWZyyY+clFNQUtQmRFlq5dO
etMNNeJDuzLaB9cru2Gn4LNJ4EYz1wAkZGV/wfaWf3Ssts6glpkoEtxMjC4rwnVOyFe3talGmDLe
l53IfMTC5PI41V3dtl5+5XV9l5/4xThNG6/IDLKWKliTrdMObs8WpCMVOvFaU2anru+egY3VvdpE
OdAptGir09NFusMZKdNztx36CHd0VtXpuIWqo3IXsZmpAllHeari0fbOXYi5+qpeplTt5jStHnRV
wpLPTt7fEOvNbzo4O/1wzX2x7azCRz8Rr8FN0nUzU7knpDKh4lCXfEPZa5CsqjnVQ9A7tP7p/N73
gexziv3p8NyqaEz3yp4zepiujtxNqgZMHEHQtdNuypijczLLXsbcmdRLwrkIZLWdpJndj67Vt/k2
SKsuCGtCo1u0pBSVYKUlvG3oRGA8t442/h0Nx5SezqNNyk67RlEE2Whs47yxTEY+H6qdSe5TnvVm
D+xWD2dxAZ99FukCgQFoyCqzK7n4SKHCNI2Eem87cV3FYCNJ5u6yXgTJ+zFnNiewmeqLkx4pnfjY
rxCpaKsLadE299qCHuxnwNjX6zxO3pXk5R+vk7aMow0UvKw/O1hk5k0bJ+rGbkeEDF6CxhlKTQD3
qNJcY1Brr7FPT2LjjE5w267tUJwWczMCFtaddZFofx03U+3B+GDVbASyndQBV5W5fevGsnB2tpUs
8sCFz1boo3SLd/4aBfdDgLBLz9oM4eCk07pD0JTcxiTXnHBWEOpOr0Dag0hGIhhb9IwoYsSItrIc
UtKl2lqEOaBYtc2mgfHVEGvNJxlni96l0TQD7iOMyplSbOnzgFwfIB2ekVu1RP5dklGa71hNUxWO
DlFFG1HnowxjX+ZiVyLDLKEdgvhNhh3nsbM96I2gBEk4oAHOvG9FxLtgMOazm+kSobm1BJ/m1Wnx
Ytit/VH1lu1sWycKzkQi4UwQ2+bnUYQIdtM6VuAh6pNeFfbL3A7wGVjPdrWO3DEs8hFvvqsS+3yN
IYOh3Lzyi29VxYVBlPtmrIo2ObPXEsnou1y3E0rGwzqyOHp8VtL1Ado89OphnEXNQ5os4rpx7Hbe
KRBOb+NhX1q3s5Mt12pGFbFzATVqHn/VBScJC10XMurR3BK9huIqSFBv4okzXbpnJ0vWS7RX+U0F
XiV33lrxQsXuOFZbgQzzg2LYFesEM6dvgbVja7cscSQypE0uKOxi8SYDhxdR3IaubcdBuKpO9/Wm
0fYs562fE+uMSrrDGQbMLtjpAjXpd00WgyzTgLNN+q510I/2QYJ8dDEx8r520swcFAiQ+nCxlLpN
M532cBmqyNGR25JU96LL7HfGKqz+XC1ZWofK7d1gAyl5EAxSsD25trGqHeL1rjpvcNORN+Z67H5F
ZTBdCIDSYpMoz3mqkPwyWw44yw/z+aBKDZc8BaD05sKgSrCq6KLJ16oNpzIY4K1yxmcSHJbkS9g1
KMB3FgIeL2wZIze8mbQY7qNV+irsiqK94RXgWrWylz7UxhrPyjTisrXn1O9Wl2cDcA3mKXTAU/Jd
5sZ6uFADE5erkBxRmX+pktQPzng2mhWmi+kLYTMX4+FDLibHHaCTqgKnVcVbH9yyC8chGeIHK5EW
6vG0F+2nrLOhLUMY6rKGUpOZLXb9avJgkw1BW6fbEmrW3jcJ3NkOrGoGrMoay0bZzjKNLANr34FW
BMS1m8iAvCZE7G2wqSw3OTcPBq62Uhj4Q2ruRo46yXe5lRcMzeiXt/7Y67sls1aekWJeHiYglOup
KwI71FPbvpfO5K6ALrPvna+TGxDxYSb9xeoIH9/meMWvtT2l90gw+hsAhyYIEVat73QfiY981PFD
Zpn1Ks1jAhx9kza3jKk1D/CQawztMaMLQ0hvIHRTbfrDI4Y5pnLTkU9NJIoKZzgaD567O/RKIDuU
MrCncLo6PtgbZjhUND7zehl109xvnKqMT9lRe7B9NeZ7BS9fEqcv+vOKS+kOBm5zZ8l5GjapZ9eX
OsdzsksCWb/tgslcj3HkduGwNtldkDXd09R18i7PI5xZjo2rZ7egzGtD8Elqvz6xIgYTSt1vxmoi
8hrs1T+TiLIhBNBnIsiYZVntbaD7N9JOm3PLxMZs3W5qnvo1kV6oktm8p0IbXArKxPvMAkv61iyA
lsN2zvsltIPIvE78hqBmPCotRouyRtDi6AjRLE/TdNpX0SFHAsfr5eI1LgUnwpDPqk1yC80NEmZ0
W9qKIW8WG51yqypsmrFXXcwlEcphVgbUPFVVw0QNyhBYr5NggUEyo/pgO3mHxtCrVXWZ8II2ZAGZ
jMXeGgzakt6BCUTB4yCI1ToOtp3fl2tYkKP8YXBF9j5j4ByHLZOFRW9Veb5BwR+AWeuhHLaj5SDQ
HfzVejJDkNrwZSXJy1LwwoQmRb+6LasuFgCDC4N7OP9E1lqUFCnivJbg58Kvot4Pm0gGmh2jRSsx
xVaiWeO81jmtEU6V+7xZ1es58hJQFHf2QCSyGTVjAnFzNfi1cU4sqsH0RBGeGIeNOCQtxslgn85V
tHbbuiuDXV2YKNiXpEDeTZHo4pNFUixarNiwqOg23NWDl84G+VxzSfb9NHfgQ0U7V29rgfIK5YwQ
qT4Zy4w+ggZ9te8c13b8B9MJnWL7y7vLqEYftyn7vrm14L9KLm8y73RbVOguUx3EHcpyy7Aip5BZ
wIUA2el8hWAetWM4MVO92yIvW3NcMjiQ5D4PWn0LLxC8jg14wCZNhvkOxWpDbKvXoPisHOUwKJEy
0tmirimRNAlb4BwgQoRqoRXluBUlWhj0ws3yNoiLtLmocstJdmWCHiBUmDOWMKsbHGleAD47m2B5
jcBlRAlF5vg2J4o22zalYazW177zlzrvq/QzNqb6S3/cV3/Xir9uniuEf8/P/dVjc/wv/z/swDEU
/KwFv3z+9Fh937N//Y0/WnBPvfraXP/ZdstXjs2C4yNtUErrQyTWn223J14p7dquLRx+QfsHTPNf
bbf3CkWvQCzmCBZVJZxfabvZ5r7DZ31XQe4jntee8mxPy+MkDfhiIufpYw/62t5AaubxU6G9EXE5
wo+rrwiyn/U5Qul6ObF8Yuq2w4IOzYd3DHZFFtdPQ5Y602ZsiuJN2k/Rp1y7tCfGD5ybKPJzsakq
EiRZL8rqY5zbPfuZmRmaxF53qT2dV/vYlDygtDqM41ksXGkhtqqg4phZVGxi5UzN1tbR9IXRNPJN
VWgQpbHKH6C3kzGsVsu/r/1J0NqMorksy2F6IHQ9vbZGUou32ZjGlwMaa7UvDO3F1lMDiXUWfqNw
lIt533tOFG16bXS1Jbc3vk661W+wKnbqzTC6drClJKpmZBQIjS6ccY52Gg1PheChYFcM5IAPySxT
/iFOm6diMjmagqXe8R2S19Ay/AObeWkH8UZgoso3bjzZHwU+xCsMVvU7L3GuCwm5u0Oc51SbPMoX
iszB31Xt0Md7N6n77UHA5YYREe8zBZmUGEzlMtKtz7ZNnTZW3t5zy+SjLEhtx+OEeT6k2O+tsOoY
5BN6SQDQ68RV1m/52/axEnTFmxj5tNrQEU/3YxZk12yq9muWT2oWfGwdG3l96B1EDwC3TRbHjk5o
xuRd2lXLR2J8S33iABAxXSZZsz5sdTXtSizw4DjxEN8IuF4k2o5P6nKKStbetr6XfCByIyI1TDEs
O4zmidlZIlC1tan9sj0dnMH9XNTkv9qrjlqgaif/UrqBekIkkbXnq+nQTeSVpZ65X225NS0WDwaR
Jn2/8Rc8t+7MNOKGfeyTWbrGoskluGEnZoZ0hdTQutxjAkzwzSido59EQ3CbdgTp4yVDn49tLoge
cFS2X7Dyi2ojaC/JxJR59yCww94TeJgVWytzSwcCtmnPDfKl9/MySXESd4Nt/qAZ/nc5/Y3V6yeA
5iZ5fPoWzDz86z9WUtcDsgS0RKkrtR24NsvaH6uq472iBHHZnz3yV1hA/72o8jsCAQe/JvipUoc0
pT8XVf8V0CZEHH+nFQshORy/gGXyq0eL6uFjCV9zUIS3TvD159/47uuV9rx11Plg5S1oQOBEJQMO
KX6as4Bkz02Qu6Vlh0XQl/mDp+vkNo1WRHCA6bT5UZtjucpX/UDuMUoORVWg9mnpLfnFOsAZXtRV
1t65mFymjYrRme0zQSASnvbVOpSleZk2+87g2X6TOHiMNvjVHXcO4xEgZxs3sRwRpRZqyZnAN6T1
hcwM1fSZnHK73GTeCtI1Izc6FSldq7sp2hwUoBFTGiZBXd0kaYPrqLQP3nphn3Sp5yUnk0XnxcQt
BU5RLVsFcBE6ZW3H1zOLp30tpO9EKOwq176slJW/X8dal6d50TvqfYAi9DHum3Vrzf1IhnVbuTd4
W7sdPlRdm+vGl+uWtfsNU1EWWpkyIt9RhtYqHeudxyHQDlqLdzcN5Wqu25zG6r0xKqLPj3V8l1Gr
BgjuPaj2fFP1Q1tc2iw2MtlEcem9rkwSJHe2xfSPhJF8TtU8zanMntvWsjNJzm4O1DnalYjv40T3
8k5aRlQfmtjUKPPXxNs0WL+fyHxzPNSXpv4EFbl86YtFtNTcg+fLnWkK9VoshQ3R09BVK4Z4p3vW
2+EqAP/MXktEAwh1OxfPTJdGFpLgxEq2WVw5y5ugtqfnjLGF9GkRjRqoRo80c+fGcfPQpsiFjbUg
lFoCdWqLMb2t1ik/JXNwDGWP1BatQTcDB+HXuV/Q8tk4M3xRzntibQkrCotGwwJsnNKU+oqlVLNg
o/nTHVFPlQskHCa0dBjEMV3Z4qL28MajfIGUqTdLD+zthEjgUFMTUt5owGabQLe139IFNNzfuJQF
0mBRYL8StRtc9PGUOFsPh+5yFjueD8aMx9O6GFJF0v2MI/jGjXo1nGPXzJJzFTVtFLYIWvGNJ0Nv
9lGAKf/UN3lb4Wad5FvFuCc8vOu8reu5O6F7RnaPgMIfdzau5MulLJNrqyy7PY4zVYeDNmgViTyh
Mo5W6ypKyAzF1uQt94tZMrOrKQ0QZNbjbZw0y+tM+bgpsPZY1yCkw+1UH0Af+PMqZ6RuEb91LNSN
7NUoHRmb5SW7jqzxEzECBYaCbOV7t9ZYTtCOtmdN64pbJEvNY1zF6kPEo4WzzLfWDL33RBOw2Osq
SQyIrSVEkeQ1NK9VecBccwgEMHsG4KYdxqjLbMj7d4o09od5acV1kHOnDc7EqOvPFjfpyvZNP2D0
nJ8Sd84iUIeoF4nPfLwWOWay4KOKprYfP7MqCILJoqVtfU1qBjLYLqY/mAeezxDgWBfuCYjAHDhM
8EMy7e8SB0X5R9ehbXYvko4QqXvdZaOz6QudKHsD9JW56y6azVqXjLQCCa+/YKT2RtSiZM2Bsm3B
b9LpEl1ORq8YNnUwmoP/Gsk8fpOCorW8iA6JNyDuqmV+GDzj3Iu9qYzNfK/Zmwg11ogpiw34/sGt
hYf4IYptPuYVaj05TW9BCIPFo8YwvuOGEv+XfQJ2bbllGDciZj7p6AJEdZhg0UPFRV83QB1qSh4F
KsHqLf6SSjHrAmj0IXCLaUZhOdTmSud9aq5U1K3pjkrCwCvUExmMNybBC0QNm9UGGfNUbitsMj4B
qVI9Dq0skSblrX9a6lSc9F7shnVtlx8TvtwQiNSClcm8bSKL5hwFsnUfLOScVEmBbxNJINgJftDt
QkpEDnyYt1erbM15kKvgDrsF8qtxVTuTegY3XxAM1oke7OrUn6fug+dNzB0wrjb4pFba/Kko9+kw
atRECK1O5lIXbwGp/dcHFRSubCZf79y6Q/7UxzAriS/Oqr6wXg+qmTYTAeWnkYLjRZodnNlA/ehN
lll+ZHitjyu4TDDVTXhcdVeemmQE1WE5t0j4WIlLMEB8G40qeFdm0ttG+KSnEFm8e+JWHaZOsbjk
PzEv/CR1E+cNSSl3q436iIZlOG8G+4sSlvPgNx7+lSwQSVgZg5M7aaq3xZKp8gI9qTyJPP9TD45u
PiYxK/H5kI1j+0QGX1dfNWk9Ozt0f3zhkJPdW1gMXFuQSd7yIS1VAMgH/EKYayhLEV3NphDxU552
2SO+Kdd6r2aIL/yAJHXsoyzDI88L4m7hG/sh7GLXJ6cjTifySSiYb2d/aZh9Bv4XopOorlW+zvZW
gLqC8QV+tezTQ35fSEJ+cFWkK6msDikRIcPT+5MMWeCmNXA5c6wxHiJBWW5wpYh151WDrbdzlzNy
VrVFofLdugTe3iqR0IIIyA0CxPak8JrgI3ksFOGTcLPQ5u28LXHDXEZZru56zLESOlMzHcwT1fyp
sLzpMvXy5pEB2SuCTULo95E1LQBLcsnvZy+w1WaIkv5xVGCN8WmVsM3gqUrz9XOXyCS5jhh96++X
sm+Dk4iU8wuPIeGXZUNfjCOaYRaLbyVfllXEy0m3VsDrLJADRPL/IhL98lUT8NMSmtccdOXx2yra
/3cVLbxX2CglkFYglPLZ4P9VRYNUIJnyVKAC+irHO+S6/0sSELyyHa3IewX11553ULP8WUY77isP
QEJqGQBFyV+DJr7X+fic0nGYD6kEc1IC/niU6JVKwnsSK2DObWC5+yl21A7arD/5pqH4U4fwre7g
e3kah9Xq8D/nQRkhQFy+Vx1g86/dnr4tDPKifd/rYj7FkTKeJ+UAsIDIs9z+/ITfK2a+ntDT3Btf
BLQaWh4u+5vWYF79Fss5/MOMfjfUs9+c9XgdmPKtshdO9R93kCwXomC4PMUNDI4D+palz4rKYkcc
2rz6SL9OPorVJA8/v6CvkdHfCjc4ATgGTRdVmna94+x1B/46YTKmJOVENzeVH9VpiOLe3LsWk78J
LaifgSzHJBSD6+1nxx/2hdNV7ztPEUwGAPvCKIIf3GGeXYhI9CQ8PccDjTqkAdRZfJ5MkJ4dun4E
rgCT/xgP6OV/fvE/PJfEHy19Mgn0sQ4qrvKSGeqTDDul/ddNOw0PDYTgFtGJ9VLImvODZxW5DYDd
QaVDDNOR0HFKzbLUJDOELLLeOZab6EHJONiZ2qqv5DjWN0SvMDnS7iFZjRMlYWsTs5JWOM9HK4OR
s8doCJknNV7Aki970UT9L81B+fp4K8flYXMP7bc8nhuz8EWvTo6EroX+20WIpcPGrYdff7LZXQOk
R0J5rjiO6bYrDNYJ9Q6GFYXC1V/FA9ax7KWMXha5b7Srf1yMYqw9i4MNDhscLQ4HOnsqyZSCI137
vVqH+IzQF/dzTXdw5pWLFeDlEXqHpsm9//mD9aO3KrAFsVU+C3TgfVXefbNOuKKZEDwl2GkNDCYB
Qco/1Zha/UMOl4OANsa0F4+uxGIeJOT9aNOdVorZYzBFU/08yu7XJvl9vR08db6jwFcCVF8HKPmb
jxQHeM3rPGetLGV0mzf5vCWLsnxhPfnBUx6gDhM+GIp90IJ9fxYr8aZKaPTJvWOVpxMkKiaN1IiD
rEeue8H7/Pnn9/pwxKMFjOfVIfaTi3PYBr4/Y4SlDDI3RvNgDC4N08WbUTBY8NfPAiIUOGypmlQu
duFv7x5RfI6/xppsv1xh+lkLiOjaCvZ/4yyaE/BmsDAfJ+1iM3QdeiRJb9iMN05dpGQ9rO0LyaM/
WPYCViIPRIJFOjjO8sTO6BQE1UmKViFOyGiTG4IU6+1kWf6vX5DmJXB5E4D0/mPRQ2TWIKYg46r0
l2gbzAxtgfp7SVRMzXL8CGjbo3ThgdMk2R9Wgm8ebXtG49HbPWfp1MA6Ofmb1Ml3XqS2tXHvkyVN
N4UX3IyJfmHB/MGt1A4x4OwhaCDd46UskKYAIkxlKCYwoUZ25X5YgfVdU1kvbFbfy4+/vr8sybZy
AlwaNLpHF+mXud/PbOXhiGO9GNS4JZiFCD9klVblnjMU8dcGuP1xRvaCA2ElBbvC0QIqdR30fdGL
0Ftwxi1d2W07L3NeuK4f3ULB8iyJ8VfCPq5zUGe1q4sdMZSkEZzWkUj2Q49iaxpwVP389frRcyJt
FiWUA3ZgH8+BikU5jYqkJ6I5VHwGq+6eAYOSUsDicpl5RA646DceDPKqvd0I+4XT/+hKJfuex73k
QT2ecF3X/SFNyGUNKVHZ+ZYorhTijKvCwQr+8yv90cMCth5I5QhFMX9UbFRY+x0tR746M8HQV3dL
GhmQzfWLirLLICZk7OcnPKyy36/CPgg8u4sH1WN/Be6/fQUHkuyYgo2SbYpKb5/ljGgjclHufv0s
gaSvoD6Bdj0Iqr89y0zs2xBFuAZTpym3fte7+7qIXprw8Z/fk8/RpXQV67BtB0dnkWQaruCyIjR1
q+4zO9Gfiffrn4poXV9oYI4JXKpOn7h2j7oboo6ojsN9/WbpcoGduFQ6GGpD3w4jJkEO6FHJLN6m
zihf62kc5g1Jy8wAKlFGdDsSdeoCESvurq0FVPxxjThKqAgJBObrRkGUjZ77L6k9Fut+nlq/w8Y8
MDrIw5b/ISc4gvwwVfQkcmiTXi2+9vKt2yOsDNPMap9QVkE1km8EzQC3DTnY1658IG4GhjavhkPc
bSrKYt+nqfwUKaf/wpA++zWxLNk7xKkE4Fo2sGlo8NwjnzWS7IOkktT04IpVt4/5xB8Sax3KnYsV
+lL7Vsw1qjY+j4iKyLeHFFMyZXRnMR0iFqT8Dx7xRai+SxH80nyywyJH1SB8CjWbShHm9fsvAIWc
nyaxjY6xk+5VOTQfg8WJzn7+3P7giXIcxbIj4c5Zvw8L0zffct4kdec7qJIg6JeLzHOr0wCYnaSK
onvpieJQRy8i6nvAAFvqw7t49EBlLdHHtUwFEmmQeNJnFZOdFtJEyxFd6h9KETQeP9b9/6DO9REy
oAGiBadjOJ59VxUA5lNBB8X0I//zNEiHsA3IiBszN4RlUZwxe9zXZbRxjK1HcD53efKSLj2J5zy7
bVF4vXCrj0wtf3yhkvfJluyRHjrR7+/10JCBh1EZLLp3i3MgP0izVLb9ZUOKxWe7KoKrVvKwhUS5
ET0wdfF83QaMaDl4/pEGxan0SZXwKvqwwidcsZ0De3lhufzP9ZmvWxyQGxwYpPAerc91AChbzVQs
UVsy6oOMOEKoLPmFpt99hvZR13GSDc+//hRS/NONQFgJ93hKhI+6y05qXKhNjSm5xHRMumTqnDIN
zHrBuPSj6wsAFMhph+d1j6cWMk2AxPigkiGWdxSoCNRC7c+3Jq2fF5ldHyKoX7ijP3rF0MKANgka
EHW8kMLGyRI1C3AJ42VOu0a6bwv+ckMUNAEwv34jgZs0zzz7uDwmiCtoEIowCEy2oeHMmSy1kZPX
XH4N7/kbp+JJRkgDOMer9v3THLDbwbRSsqy9M50eMiKmpaBz68VL1d6PbuDhWYTJ5fXRx1OBJ4LC
s2WkjxKL7e1r9tU+dJwg29c0p/kLd/AH5cL/Ze88liNHti37Lz3HM2gxDU0mg8EUZIoJjJmVBa01
vr4Xol5XMTxDGDFus2t5y0rAEQ6X5+yzNhVL/CjLsMjmi9dE30LMlEK5WXRWHu2HXh83XJjNn9c7
70wrKhuryhAkuKOJFx1ImWj9kbuA61WSQ1RG2W6EujHjx6gqvwPLXgQKCL5OvxE63bCSSFVNFSr2
Xeqr2oMJ/Xb3/h/DqYRDicNFF0rEaSu5WREBQ5FGQrhqP/aOCsESKtiNiTstPML2oXKdRthDUJnY
rfBbjE7ODBJE5OZ9jT1RT/52leZJCayHTCKUcv0nnRlyrELatPHabB5ikXY4NoPbazTG/qJ9o24M
4gCksW3pq++PbBFK5fKOtsrWDcrlTnuv1yX8fEA/LIDA2A/V2Nsb269uVZuf6T1N4bYkE3BSp5l0
2opRUd1C8Rkxlli2dpDim7s+6fXPRW2zsZC8uxEsFaUq0+mFCJppTiOP3yc6u/VOhaTP50oh52iV
l1YaqV8NBVG2RED6I64F0NejUfmsDFFGhYjXtLuO99te/47nfjZZOkIJCkEvbvunP3vUzN51OeFR
C5CPuyLEzwHVvPpS12Tj0Bp3N6bCufZYOVAOMR0oNhQuphQpqS6wY52Qj5zeQXg0Yf37/jNWFeOC
BVv6eP33nRmnZEQAmUwKI1URC8bLticYfowTS1WzsQGwrJTWM9eE2r7NaInoGcsJegSC0qc9GYS6
7Fpxz0lZ9tVlZyjG0kEq+SFu2u7doQuLaBs1oGzPx3X4tCkoJGjEdeZ0IetPQFqsF8krYNXY/a0s
zfT5hTWFjYvKVXJLnLLFxd6AVBuqLi2Vahs9sSt8RioxrGKdlPLCt8xk1cqlueva9H3eeMezICEu
YlwaUX6LmPbpbyxrlNIkVwx4Kr39zF7kIl71xxvD48xw1KckF2/OwYO/Om2FkIZjS8A6F7bVxwtb
Gr9ZBYdfT/F/Yz3y/gWa+AWLJQEE5EhiDKPQRi5mYPwWSMewLEEms6SkwVsOodytc6IpN4bJmT2U
ews5KLYFQhZifmgSpU1XOgPqcdF/ij0r3nYNNMjr4/5cKxabF+Zi6Jl1cXPjsBXnasq4j0f/OXLN
hgrGm1eDs42oADVIptkslsK9PnFd0Owu11B4dANQpsZ4LLF8WF//KecWC6L+RFf5NYikhTGXZtRH
gHcx4Edb9lYPTP2+L6C8Zwqi3OtNnf1BLIKovy0yuqawWvh6bXI240A/5ui9Iq93kBNJxo1w8fTC
4vTlFE9sh2wcMVZhtS0ptgRKyQjoAxgkXklJqY2JzabVxvGuw3djZUn5Qyl3DMLMvBkhOdM6pzeO
B+xbrB/Cb/QCZfAauWUKQ5Z/ifPKe4XqpB5Ac92iavz55WyOPRQLT0u99celRQ4bLxgqg+Niaw/L
Sgraz5Q0I2fTWu/GjvnnkkhTpN8VonDT+ju9ypuAQEeR0xgYIxFrqcU6rtMMQPdFYbwGUm/V1FQS
LLdTROlDtrk+Zs60zL2FAzELCINUERIZZTGOpmRXMIFtw91GXII/A8m2n7mD2mBsMy1Yc9oLVuA6
yeJcb/vPDj7yCZAGsFiScxZ+tQPvbcAZGkhmoIIq5WK2q6PQuxsy633G09PK7wD9magEnGFN/jjt
YHxjSiPTCWlZUmM9RWlX37l1+/79hcsFKScypZQaGuKyRZA1DyeRG3cmz1kagwEPzVFuiQ7+nOa0
QhZzOhRMqAZhCtiZP7AwcxzHl6femQV1YFqdyOt3fxyGPqsIeXeu7WISxTBRTSm5rQEZHeW1VrcO
Plalt6wA7d5db2raEE9XFEejqoCoum5NAQlhRYEBBu+fOPkiVoz0NW5SopDIhl5RTw0HzLziTeur
yrs3MholKclmRqKGxVkYEZRKxFTsE+T0XO8H5hQ4tgNN/3n9p535VhwzkKRQAYRy3BK+FZ7hOnBo
OLA61+hNNWLIQVLofbSs4+imFZZkrk/c+cRW8syMpBDmA3rs0F3z2ZAwUM26uv5bzkxXFqjpajZl
VsnNnPZYRff4UT1R27p2XBO1HJeaY0NHtLXuRvTmTNSO1ZCLoMWRhhO2WMjUkTUbKCSnnBhiJ2V4
mZyuJQtyH5W+OMVA2jK+B51urivIF6uuU5O/uKo6zgIj63IbS368Nkuj+xTiEbTqjEF/d5h4Wq0d
k/2PID28ldO+KM1s0KG7klBBo77TMwujGCW4tWr9eZKkFeYDAR/SpXTmaSte6bqBEzEHPcszv2qW
ld5H1Vhmy1j2kyUbZHDjE58ZrkBgCJROjbItCJ94sGtcoQo+ce6Z8r6LtRFDsXB4l3HscbhyJz4G
FLi1aWJCBdxE3YyBqS0i4PzPvMa3xm1uzbwzsehpITacSWVDDEsRjuE9Q2Yw6imLgc/xPglt884c
0/xzVdYoba3AS78mUZQvS3w995HsxX9h7tdEq64Nqz0F88mNVe7M9CHSMCnFiD0R4hWGDFhiGAzs
hAuPy+UnPbGCbWYW9We9HtUbm/qZpth8iN1Ny4HDMfp03KDLhzSDQxElx7V/SMIKJ6Uhrjbd6JY3
JsK5pghDIUVBJciVSmhKy6z0nxRcAXTwJ9SKajtQuA22EPr+jfPCmelgTOd0goEcyghznP6sppMG
FyEM0Q3FLXcFtQSPqPydFWAHaVMNUB2vL3hnZgM5UwKtrHnTtVD4YrBCe0JHiU5U3jXWYRYEO1PG
heJ6K2IP0mcGF24gFQQviLMKv6qrSUZYeOgBnycPVNQ+OCPbC76EcC7f+YM0WZEndQLhfj6VKg5B
EzyuWkUxCW+ydkspkkOssKBnXv9BE0bqZD+fmiEUDH6S3IKJBuf0O4GMGoG40IyN956RGNuogYIf
xKux15ZNCYzUUZd9hP+bESobR3efKZOHmVOuEjV7d+/yLmzxROUN5pUYQcGfoR1li+StgevgUvN0
fETb2t5mjla/u3cJBjEwVb4lQSHKzk4P8WZaU6uFIgPfy/DeMf3qQ6XGt1L5f3YueiOOFKZ+zLDr
wolCg6aRBEz9RVGZ/Q/FGKqvhZ5+u/4JzzTCkDQpTOZAZjAyT3/KUDR+3lSyvkgcK135kVotdSN4
77GFUJ3CukxNnUOUlMZOW6HmoE77jg6LoISvTc61H4wUzPqN36KL68bUDiIEjZsViy/p3dN21KpN
OpLaQCAQO2NeFSU/2sSKf4wmRWMQwKz87xr+/3OUu84rIJniVQsyaOuI9qYKH+RrGF8pCRjZIrOG
JxY8o9jJXWzdx20vW1+iZMgj2M25VW6BlUt3UKRyb2fh7ffUKK3Vg8MlH3THGTh9SNMwIT0PKe/X
EEfSuA68QdqlbYb5CMxsrVmmTBUQaFSUV+s+Ka1mVapd8eAbHfzYwvTr71rpcs7DHL3xdnnX5uWS
PcTexRiJvVaNE0eLFv6BDr/XDIxNKscRJQ8xWApvZ7sSKv+MQ6l36J0meowHa3hpdSXD983IjIPP
xK02cZSG6iZOyjGnfmEYyztZj6nZ6rMk+ZrVjU8VS4BVKrTjYJ+UhfZFhkv1mndU+S0scAwd3Bcl
SbY9Rxd3bRt9vedAEP3oKHzuN1D9dWVTOr3i7IvQZd3zAzUL78LIBy1ecrLztq4d6vlGs3sg65Gu
whCTlDxNVnUPt2uVh4Y/mWAVkvfs4+lYL0szTyyUk238IenJ469g9EEAcjENxstcksp8aZpF95rL
ufKiDV3RLiPfdXBxSVNssIzerO58AHG/fIxCOUA7PawQlrfyo+HH0ZPeUvK3qNw++caxhdKeLiwz
dzmUlJ9N5gZWsTSCssN/1I6LvSpp+osKyZaiSsOMXmT+mnFe4yJaSaBQ0IrbRbPBz7AtV60D9gQ6
Vl3FK6geEQeDERn2Is26DmyRjEXCAhid+dMNU/WldYMy23nY7/qL1sp63BMto/gr9Urf3aOsGmHV
YJrzxZMjGVujJHS/WsXQujtLwacUjJ79lOOYfhcOjXMXgNW4l4cWayVkcziNaNoPyJnmCyH8ylwg
QY2oOdFqfI5d/CNJAQVFVyy1sJUo+beUpN9WRDb+knsrCqgu63oGu41tGItgKf1kb4u+RTKIbiA7
RdwsbRQfVAk5fvepNNoxXxU5J05qtYoCVw1b8YaFCWwqnPjMkbwYvNZ6AWcWKouR//5X2/YxJlGu
3T+kjl1WFL054S6W89hdMPRCPndYKs4ixRLrr7qPrZ9djbIHgx3ZLTdwcf2vPcGGdOV2JhY3CG3A
ostZifOL0tsuPkJprkuLIcwbf026YnwobcyUDsgoTEwNoQavOic1ik0dmTUEoNpE4KAXKQj7UMVB
BfPKUtO+QAebTGZxE2EyFHHt4aOFp+QqNp2OUi0zstKPyCSq7/6UotpSOhGo6HGM1v0eapWc7AN8
KgHjSWX0rYRun0NHKoxxmRbB8DWuhiKDIxNlof2jGKVxozhBn1GGm0QdiPguxMyQXNb30h/hHRXW
gDlVXafU8UUUy1WLqm/Lb43ct7joGRnGYfTFXaqFNi4fVWUH90D71XFV40pBySXGshSO6Ryfkevg
uIIjkIq/g11i87BQ07K2FjKWzu2D4cuJsguDJn3IsHoAxlCHfDzq7H4kiSl/Zv2vfuR1QrYEoxxj
h74vn+RLef49b4fK2WiSWTjAyyA0cK0qo5Ji364+hENoGMuegjZvgXSUf2hQ2PHiwzp6agc4Fwsq
VscGY60YusQQ2iCmpK40/o6dbOPpVvyK5533FLmFoS4CvJ2Hrdvj3ofpc5g6i4HrAU4vrj/hD0fw
GcvE6Qt3XXuBdqiTQgVmg8VshvuVmmJLHAxOtwJLLHm7xKriwVv3dd6od8RFYy+kNCvtvgylS5mp
0oC1svzS1l/wmBzsRWjUyg9X0fFBocqzvW8Uo9deTZPyUkwy4eZ029x23P3A/KUcLy3V75IyUchK
NcAnAsUndLJqMKIn4mmMzUKb+GWRIZl0tmLDNSucuPoYHGlnsh019latuN0sihj3knU3wdFK2Ebj
yjgy0zJFhp8GOkd/lIIJqjaCsVsghIO1ZvpN+xsJFwS2ydf7M5WyqDW+NkdKWzEB25JkleclZfET
x204It1c3xjvoyPoLT1C36ZEE1w/QJXNsuE+D8fhCIlzjsC4dmLHaUeMHBXi9h2GIsDlUhnOXHdE
zoUTfY5C+2kwKX38Oz/i6aBtqv2mItg9ssroKHuDiWYnUXn/jBkQxe2dZsf62mNCEQvHaLdcjoCm
GMD495prpMfWpzEga24d8XlI8t17TZJhJhWyDaROP8L2KAnMfwZHBJ+NFgeWyBHNN1LgehfUGHFt
tCO8rz2C/OhXoH695AD464D9b4suCj7WRwAgWxgwwHriAmL16ny2j7DAaqDwcyGTfzJWkAEACuoT
WxDTLDCD/hE5yKEA4IB3RBHqsiJ9AMwGoDA/wgqN0Hc+jm6LeQlVo8VjE/flY1NbIA71iXYoo4N3
lph0mE8MdHCI6T9oRM333aVOFB8PmyM+sfoHpegqE1ywblzrb/1IWmz63JYPCrLYcF0dQYz9EcrI
sAbQKDd6wNqhMEr3UP3AN0J/8s1PgV6x9gWm2Qwb/8h4rICcDGv8d5sCvlxcMwuPIEgpVgflk+N0
hrqlehhOJFcemJH+kR+pHFmS2CB63VJy4u61zOuuOQxho33K/0FP9omv27sMzzBl7VouQ5UbsZF+
b4JW+/v6IfKPSxrgH4uQCLkv/u+PsigtikCcDwN1DEMHxkxNjGWke9HBwibt6XpTYn6F0+qUXJku
LQj/yTycnlYlTUE3oo36wkJlyr5kmiuz1Bjreu30GygIzX3gVepdlQ/juqqadH29/bM/FdECAb5J
BylqCKBG+JGfVFxjgtHZFLWhPRcuTr82hqc30h5/XDP4qWTjudKb7LQcaE9/qh+lmTrYyJIzlwSw
pOjDtsjr/p0hCjrUJtokU/xDegWx22krkimnrtWxc6lVBlvQ4vTVNDpOaLVc3Lj6nvl2yDmneAEy
JrINQjRklO14rEfku3Gkyws10RDHGtTJgi8ztUcWsmAT4t60b0Irv+8M1/51/dud69BjMgfJg0oA
SGgfnLCVcoRDUm5j1zAMbr7uDNKo11s5N0IoeyFqQekQEiThfp9D5eAm1aHrLbMJxCNVax3A5GLo
XOfdI4TgPMkMMhBIqf64IpY1HkTYsiHtCJxwPZIV2JuVYf++/oP+7LapFeoa2NmILh1r9d6k3xRL
4QRDxGkBEBFCZGv3K2r2/5ejdlkde7YZBzE8/6MEdirdfZvlCwJ8wjDnod+gQhy4f+NJayTtEgF0
Lq3KKrcf+6pvOGm0/aOZKPhWDjAhFgZikzu7akG4YGZDetVJbyRDpinwNgOjga4iyo4ogmQcM0SY
IslQVDrOr5AtRlN+9VpMi2SO4ZvG5YhuU6M2MWr9W0KQc/2hIA+apEJEanXh/u86Q5NBu51WOjhZ
VZJxiO997cZ6drYVau5IyZHrN8VEFujLrmblnHzoE3tTJd1XWe5vJSz+DDFQm0pghhpqqo74OcKn
hRlhe7iXAHPUHGreleZbCmdhASvS+pglSv/Pj/r/EKn/o9N1l6n4GFCmr2/r36d//R+KlAJnjzTb
tPBRYgZrhuH0D0XK0v6HMh+K2yn1YTE5Vsb/b/27wT8iRTCFRadqMfb3/+rf7f9BoER4iiCY8S6C
1MnkkqasJnlNUtCnY6Ie22QSOnpPctp1Gw248I6ykVs63dPh/d/ThcmjWIZb9rXkPTGNsiUBk2BT
hnh6vundp3+WgLcV9ZeeLiwIMKP7xOVOgUqWeILVhP3kzJXv5j19mk1v1lvPUiPTyB39kLtc1msp
2BeEhW9Efi+9ujAVqfXHSkvuDe7izjO1Cs/UKL0v0f9fp09tvnlxOywB3bISHBLfRweSfcARczWv
T7TTR4+l1kVGqOkHSZa/GO4k4EnAjF5/uCAQ/e/FhZNWl5lOaLWSjutmFn3FWre5L+U6/eEQuNlk
6OXWVPZrG8Ba6i4ohnBlZWa4v974pQ8ibHslNddKweZ7KLMqWLqhsRtb9V0Hn/9+l3DgSYgsEZLj
g0AaPnjcJRaZbPk3zjsXXlyUbkG0lHITJf+hlqFCBaN3SImLzny4MH8tiZNvr8TqwRjMXzk2pmas
/Z7V4WLms1ZKy7LcVD2MHl9yNLo9cdlbOcZLnSLM3azhoQGXtUMd5vomUyR5R+TLnzd5xUJ52cT2
UafohUI3dQeO6iPhk5kdPv2gN3M3H7KS6J6dPAEXLle9i9+N2jfvO7D+OxBFgZEBCEeuNSl+GrrY
iReqkVVPRDxab+bbq6dvb2hF21pt6T+FQ42HQTBYC7y6n68PmONb/ncO/O/thSkqNXiIW2XsPeHc
/UWNCnKqHXm7NgvVAW+RtN10UqX8Np2mo97YKJeOXZvrIUz6zzU2uCso6+qtW8alASZMaRQhegwa
pji4Soj0nxu+mua3kvEXHi4qgJt2kIly+cWhjt3P+DFnS3N0Z26asjClPZW8T1jnGLPi2LIwivxn
779PtvTvF5KFDRmHobrIcjs/EAmUn/UoWAZUz9/4/pd6RZjTiDEUQ0r6/JAGZkRAe3QdaKoa0dHr
4+vS84UtuYDq5hhJkh9Q8AT3ITQeGG2+9mXe06dW30xsh9h83vRudkhRjQIC1Ls9cdXh2/WnT+94
ZmqIKmGt61tInpV1IM/WrTJPCxZdkxr3uIT6q+tNXOoeYW5rboG/59DbB7Mz1hS8T74Icz+tMLO1
DufQvNBNEG+OvwXPnC9hHN6CEVx6c2GuZoOmFsSrQFxaKuS8+KHwohs1LecfjX7z9KuSeZrY7WF2
UMPClBeS0QxfSxe/wzl9jp7y9PF2Rx69LBTrACz6zpa+9LW1vv7k8wMGPejpk109SAuYcNYBKLG+
diPHfFHbGFOBoFGerzehThPzz0HJjea0DRS7uUvw3z6A9YZI6ijVfeHVn/MaeyrNDnDE6iUvfQky
QN6Aj8fQ07ZFb4zPg1YBYBlyBaehnMQqxSTmvRL4FRsiiFcfUu1Hr6p+ygb+1G6efWqy4M4Oemep
5Hp9V1Ke6tz3gfpy/Ydc+MgiUkIHO6MFtawcOosrkhHGkHGzMrzxJS483Zm+0JuFAftnrywkNz2Q
HxpIn6g1yYXUfZea7f+tyFRInj69w/kJqdyoHoIm/NV23UPUqh9ndYsj3AUovY99TyqcgyV1X6mm
ehrH9K95jxbWmjgF2z6MmXNoZHiZqpwfXJyWZ63zFKCddkmCgTOWDzzcM6wP5odOuVV9Ms3Kc+Nd
WGfchnIUfNSsg2XF8qORx9XakydkUlmo67rLilfbzyH7EkK+Ue1wYRaL6B2thjfukdU/6JoyPBRu
HN07Y20svbp/H0vo3wFki0uQDtChkEPnkDGtFrkT7/E2nnXnIsR2+iWUtDKQUpTOwVSg6/c4oKGx
LG/VN16YWKLSKYHlG6oaeyKlIPeFmv3IVf9GRPJSvwtzVhtQwuH8bh/ArwaPhiaRL/cldYLG3nIH
FUTG/3W8MHMjtE12Omr2oY1i63s0QN/PwX8u/CCovtSpkX3EDqHdYTzg2kBx83GLEZK0nhDBuxG7
2CcAnsUqySxs3fIwnXWVpfDk9JMhlJUSL5eNA76GMnpx7MLM/OusWW8Lsz4iHVcaZPgPIPJ3tozj
Wh4G5bxZL2qhU41EiGtVHDGiUt3omRxu/Na5cfy6MNRELeGodDCN5Vbhulkh44Ea8bW1PXfeQitW
hGutkkuqG6iHhuDLOkJuspAy+ZaM+9K7C5MQk0aIsYprHjy46HeJXz7HTtHM234s4QgQeo0OcpeH
a277yUxUANKlMW+4iIU5KCnDDlME9dDn/YfQwSoyLHbXR6IgEv138olghraFg5F5hXkI9Q7rN7vz
furw/z6bLszskMSYtiBTUX/S8VNbQOzFC2S0fjlemnwBM4PzFPZuX/1iKG5Vn1/6SsK8QybR9xpA
8wP5yRxJFfKWj0GrmzO/kzD1ZG9wnMlI6lAY5pZN9yd2ArdgkpdeXdhvFTzmFXxg44OXWuGmq3CK
onKynzevLXHTdWCoS7YVHwLJMve2XYJq1qt5G5Rom66ESmV63PQPSap/JhW29b331Un9O8JEWalk
5hT21jyag/CDUiEoM25klC/0t5iaj/QCzYmpxAdHjn+OwbjBj3DeMBG17ckIyr62hvEgSfJPNBXj
oqwHb3V90l16b2FTjWzcOctBjQ+9nmLcBXt629nFrXK+S0+f/v6bYzYedlGsabZ7cPvcxUglK5bx
oLxPLPzf1xSmp9WYyqAEwXhQcsvZ9STWcYC0b2UipqX4zMFSLCeVfUr8C8RIB1eXf49pUq+7OEs/
FZae7bSm05ZVQFXrvK8gzNYuV1q9tywcI9FufshUL1n3WlzNfLowWx07k+LYSKJDqnKex4TwixxW
NxbtC1/YEO7ijQcTMK0IUDRhbt1xFYLJ11vtvKXgD3fztomisXOjg+SCv0pUYHueIt/olgsfWERw
jFWnmKg53QOE0hBT3CFu9kbTUZyQ1Z2cLLQ8sKeDln+rWOVSXwn7MracXaO5A7/G5FK4aFSlxmkp
V+vlrFEkAsqcoXBzgADhoW4kFLc6jkqedKto/dLLC1NZUuwICXATHQbKwKAJ+MOyrY3+xjC6kIWi
UP10pZB9HdZxJhF0KYJmHVhpgDBPibYYmLibxK/q+6J1Bo7cCAWz0tF/15nCqW9exwkbMbV0auTq
SnhI6gAvrWinOeUNGMOlbhNmNuo7NIt9HR3Qfq8aX/+NeHreUUws5Uokv/BwnBwPyO8l3DvVJTj9
mSu3Lsxrf5SQ4SdVeIBz61Ih46XLTr0x8S70iSjuUPl0aqe57iPKm78kgCXLrDBmXjn0aba/2XJ6
q29z9rL+YHVtteAMielvYs+bYcdykjcPZ8HHlSkLQ3LfPspTkvvG93owbklGznYMYDLh3f08SKxa
qZV9600S58iTFqPi3aoqu/R0YflBSpSQgsjUfRxlf/de9ztvKJibMYN4c+EYgQdPYo6hKu+DkOSQ
JSVTsDGfdZjl6dMvetPtXuUFoOdzeY95IJJr9UHSw5/zXlxYd3zDqsCJxPI+ise9b9gvFATN2bx4
a2FVwTOlILDqjvuoDyFzWp6nP9dkI75cf/Oz4RAeL6wsSa27tt7J8h4Rkw/ilJqTBuMkTfrh+Vgl
XW9EKJn93zMWrQhnB0wB2xjGqbzXKC1DHKzl8adYxiYoGrN4aY/AO5ltQ7eAUQTA23ZRT5Kik9ej
5A2/KCrw19ff5MLoFaHkchLlkxfquEeSM2xtyfxeNHa7vf7wC305eX++HWDZqPta47jDPg+LvlhW
ZWNFCyWlOm1Zu3bab643c+E3iHqzvEfSW8nOuE/x+dkORQeq39NvFeNferqweqRA/vOqYrwlQ/c3
SsZgqUf+1+tvPq0RfxyGQT4Ia0fa4qho9cq4t/CjetRDNf6Oiba6HuTEuG/KqSTuekOXfoSwkMj0
h0cec9xXpjF8twISymD7lBtXqSO75NzvmJp9s5LkY1sEdhiMe4CD7brLi/B3UNjmLyks/TvT6rB8
pvIBSzDcDVYgNpwloBsJW4Ux1GYOAmHF8dSSCpyYxWzU/7JYihelHCQze09YcjwMs7I8YrYqfWYs
8UR71IKovPHi6jTnz3WesOJ0kgK6FZbPfqhkbzdif0oFG1RezoLZyqVIaGvkpnuP33O6dPVRIfsU
YnKqZClFJE60MCs3W5WGWvkLu5S09TDElgJCxxwpSxiGbZhTL7Jy03LWdX/i9Jx+7a5NMrWKo37f
a1WzrpwkX4zyMEt3wdOF7siD3KSiKuHpU72d5BTthhL/bjVrIhw/wpuRKktl4soUK+61Ro+X5RBj
yQhUYtbDRflSrHqSU412t+8iyVuluHEpfXCzuvbCMBG2DGLyTlQNrEMSIZDaDXcZf8x7cVE46Qxj
7QdONu5bffhRxAFll7bxNKtTRDZhisQc96F03Hu1+9o+jVH4a96DhYW5zijts8eKhTmlaGzhmD02
wY1E4cS85wuLcyyPMRBbf6TEM7E/2JTNUcTT3AJRXViRVWFFbtw2zXM3h/enU58zmFa6HtRslvSK
SSQsyBFex2SgeDo4Tndh+oWMU3M07wQmQpdwI3UHH/vTfUGG8EtYKcOTWVXvY6v9ezQStXSgsPRE
lexhn/pZvI4H/Nwcvb7Ff77Q7WLhgRRiQpgqRbsvdeWnquDGnU3VX7NGjKil86Kw1LOi7/d50mJE
2cXuVscO5cZGYZ9fAMSiek40YMv9ut8rlLNuehz44pUTyNZDjIz11aDK5r63PGc1OnU99xcJu6oL
aChv9aDZ9z6LTVE2H1p5uBGcuPQphG0kgm9Q6DB19w12oHcuJKQNFtH6vIPt8ajyZqHXyHWYblDU
e7VUQGwGlrWldvoWs+vSuwuLMZHFIWCHrfZRqu/i+nPv5HMi3iZM49PNtdIctR4zov5V5P4lB38H
rfo+XPK/M0tUy+FWa7UuN7N9ihGQH+GgQ0Du71lDX1TLSYheat682mNua1E0uQBZGNzYnaYF/cwB
SayPG9IyNNRGqfZOXpYbIx/qta7G2g7fYvc+bV311fLa9kZjF76sLKzLcatwKfb5IdpoK7BUHFDP
VRXO0VjxdadW34zK2Knzfqy1cu/mzXhXukm7qNsk+TTvIwizdTApVsrGpNxHfvu7c+W9Uc5KqvHi
wmSllkKpMksv9m3QvRhS/yNwsO+a99rCia+OWqdVUoZ8WuEpGqpmjgFo3s5bCEReUmZImitJLW6z
GQX+hixDgqA+cM6r/0FNS0O/wWiBV2ctCz9YY5evYimfJXE2KTM8HS1aFUm9BwliL4VjuBrkBjPq
vv4479WF45OlxdnoUK+4z6N6I8lJvHBAwc/aCakROn1zi6u+WbVmscfdQ9pVoZNswWHNm6O4QJ4+
XYOb7JpqUOzTVMUwGfxG379e75ULkRkq9E6f3eeezqcsir2mVubO7a1d0bVsHdnS1bInScGI3LG+
m17n34OZCD/oWBMvBmp3buyK53d5U1SiDX5PyKfri72txEO+kP1Y31aFrf5KkQo+4PLjKQswcd1r
UPjhzKEgTO7BGfUByW2+T5WqesiyMl+nGGp/ud6l51dU8JunPdrQbxHqyXwvR168aqX6ax7PuwP8
gc+Tu4a0dlzne1ymEUlaC1w9unlzWxSkWZmhFk6qZ/vCklelUj+5ya24z4UuEYVoQ98PUoQX/V7u
7M8bhT9mdbUoQitzyx5C/M/3coYX/ZhFC13SZ6UAqLgW5nSuVRIGDH2+Z5krNuDOUsCXujtvxRDr
OSODivTpcL5v8GeEhpgsSl9KZj5cmNQRjNgGR9Fs3y2jVLYW1ZDO27xMUUQ24t7M+UTL9qUvpw9m
UbYPajY+z/uewsRM1KLC1NxI9lWg3I1t/Zz07Y0Q9KUhKMxKNc7gFFljug9N+0eiw40ruuDTvNcW
TseROVUyVkO2B0HwpZX6h9DgDD7r2aI8LXNHVQ6qPt5L+uRYCvjNe8g7KZi3FIr6NBBU6HlUM97b
fVMsA3jJgHCGmduiWPXt29lAlZiT7nXHfYUAMy6aupo390V5mhqqfuDbWsxYqZT1qEnVKlKCWUEc
nBFO1/AMdY/mS1OvlzJpXPWl9LXt9Q86PeLP0z25kNNHB5oehED14j0OAea3zJaMlTGSJ6hcpHbX
mzg71gmGCG9veyroDgpJkT7529xplqOV3Xj7S48W3h4f0qjwbD04yNYgq4sEsBByukCa+XjttHOs
sY3jIfGQvPd5thhr53PTZ7MirXSLsLoQ/Ih8b5T7Qx4ZL7UZR8tUAW42r8+F9SXHXg4Jr9cfxsqu
1urQwQijnnk17+nCCuPnZIdHKF6H2Ar1v0ChQQqMW/tl1tPFvJUjgS8uKnk8xH75W1GLAxzuG8KF
s6Pdwofy9IPCI1RaOW/rgz9UwZNbdg2mpUH8XFpd9WXe2wsHeyc2G1u3ihpUDg5vUuGZSz9J9K/z
ni6cAso+U5OBIMKBxSzYlUlu7wm12Dd2pekpfywGdI8wU32vrSRLLqqD5af6K/TWeBV2Yb4dPLfZ
Fo0X3eLHTJ1xriFh3podade6zMpDUcvmIspL69VKsvylByH3qdaL3Ftkje7dONRPTz3XmjCN8S3J
vWKo7Ee1MDbcnJdSMFNpKIJDtdA0MSTpC/BQQ7DATbZfFkarzpvFotlJGHV2iImX/RhlxUOGjVER
zolz8aWFGWxmOsXGhW4/jmHTECvtt6PezSv1/sNIIkhtpx39lNfWdEwxwEcu4sEt5y3KYkZDn3zT
ck2THiXDX2ZVtSSiPG9dE70TU83ppU5WpcfQynbqKD3hIzvnDEzSTpi4QeN6ELp5axNgWqYoC8cL
Z3aIMGslW7W6phx5dJN+ljNKsNukWc9ab8RMhhxSt5r5sgR42tCWvm9JQOWyW8vAhYkpyh9iVQvM
Ep7fY5A5ySKMJGURNP2NtPilhwv7q9E4IIWrRnpUcrUDil5sXT00Z35OYX9tWyfwQOJLj5nUPUty
MOmablQEXXpvYWqqXui2A1I1XDmzNRSnuzBJv8/6mmKG1GwqBZYsb12l0UapXyo5ntcfYlKqVRrH
wDVGepTl5KEdy01OPnzeS097yJugbYvJ+DCiAHpUa/1jW5or26pnnsHEfJTyfzn7tuW4ba7ZJ2IV
eAAB3pIzOtgyJduy4+SGFdsJSZDgGQDBp9+tVP27IkTjqQ/XdmEgEGthHXp1E9UpvWLbe41imdrP
/ZT+7bdtxyrrKAZpZrYFmN7j4Nik6ne6hn7e2+1F0Wy2Ug9YewQDf36Y/SmJ1Be/fTuPZY/aCJha
cf3AqfFJAQCXg5N28/yWjk0Ce1JDKnnHBZxZrii5a23seQMdi0yrZekikWXlri06uha5hkr0ceN3
Ko5RdjKeZ9UaXJRxv0tpcMJQi9/G/9Ny6pa4DaB7V25oQi8YVcdY/5Vw94IrcVtOeMGiFcR18N56
KBE/BPt0JVK8tLJjlKYztQLpa1BaAc3Zl1cYxQavThmDWM1ri5caLI/ByrIyme2XcElABQlInudx
O3Y514nJUHyZH49IBXmo4i9hkF5jNnhZ5I1I020wZVs9NHV4LI8AEn5tBe1vLDs+QbcjOHvdQ5ed
AVoeazaBJP2xm8BG2kZ0zpsU8ZXf6o550ilEZJKkIN1omjoXQ5hDpNn3qzoGSlsD1sGWTY+Cq7gA
fXef2/6aquOl++jaJwjXYxsf2DlV/bnJFn6fcHINcvVy8f77WaHc+/pC9iSKoQ8MFpVQ7OoP0DFH
xXhM6i7qOkj2QQyHXLmcb9+f0G05TSNDOwvpzyOLO42ICKMc5y2Is+c0BcbD80cc2610f1ii7fQI
8mvwvB+Mveet+D60B70Skb7ZRWGQDXp9XnICAAuUmZi1T0CPb6M45aejTkQppiP8NC99cJohDHez
D+Rqm/rtGwDi09e/2XKrWbAEL29i/FxlUIMdguWHj11gxNBZm4nZgGB0eISUXXSn5rQDIXoSe73m
YFR8vToT6JEeR4WsAwqG75PluJ+F9ZuzA6r09eITiktItesXKq+m+QBCafLpCMXhg0XCh3ZsOkrr
KqjAsI1ih3hOtPndKOrVNcDajknXIJeScSRWcH50T7MA+Xk6ebUNIOXjGLQZNkEGuayPlAC7NnXT
DRGHD8gAazs1pg3iFcks5PpIavWjItFT2PeeSzuWqxTqGDrq18dVjfVDAij+CRQQ6kqZ5ILzcTtM
46oz2gRcPw5cg3t+lcg/WqK3nOsNk2NepuQ2msYJfdXlZZJl4qD6TofkfbiqT35rO2YahkG0RXa2
jyRk74KK/a5S9dNvacdGwckOdbVNvhDWBmm+qvAhXeP/TX/p/0Y+Q5etgM5zk4a6bTBma0WeDN0n
cPx5XhnHQjfw12htKoPxc/XUHdUfbIuuCSBdcLkum80+K1YLUMCXC9BHeRitHyn3rMWAlvS149ra
Q7VqklnZtLgoFm2+U5v1sd81dBtNCBYgP7IM2+OR8gfC7QN0NJ69rorbZRpqHe1DHIyPUPKLoIwZ
5zEqnVfe7gtH7raZZl1BNGLOlkeoCPxeJ3FdjKjjeSU5YFR9feQQdEeIBs04UCzMTy1qpcDXXDHN
CxGU22Ya8TW7UOAFJSb9axrCulBV+jvab+ndyDzrpdCWe/0H0AzaM5UN8CsMnQ+xpTdMJcbvmXZF
J4cwNSClq8RjCkGtuyxsC0DHhisR06Xv6pip6PUK4oQJM3gsjW/bgEMat6F+88zghX59LnKNG2F0
Ix6jhoH+FMOuxT91Qq8L71IbyHHkzTBuLSZ0s+egjjAIQfxmyKEO83rnE8UAFoj028f9aG8PWv04
gtkLYcJCl90A/Hz9cmjePgLX+7Gl4m9q/UYHsbYTAUddiKYY0+3jWin2IWu34XdMYwVXXuoLtyV1
DBW0+jKAinP7mIrgE5HmJ9RuvNBd2PnLb/6r3MbWtgsgB9Y+jvMU4KUjG5St2sTvnqeOha7xBBrB
mDSPPSe/QY7oq+pXL7Q0dh693rlKNwb66bl+7Cz4pUzd3iVzVfs5XldKkKxgvdbrCyUugAMF3zEc
k47ZVz8LcuwT7f1IQGWpfiQQNio4OPJzsadesAcomDsvKRQaMJvFdVVmSrfFAgXI895Zv3pK6LIZ
MBmMNpAr6m4i+yPi6t0cyievY3G5DIJ6PfpRjKgDtektxH+eGSTW/AIA6hio1qmFHFPLy0BQAr2s
rT6NUBP2uy0uaUGStLILIeuN8lj2G2pwp0mnX/wOxbFPyBQ2cxXVrOykGfMeYnp52/meuGOewAxk
ybgHVTkOwXoH5eHbwPZ+bVjovby2zymB1ti8dmmZsJ3/sQub/r1DBoN5flHnCR0nEk6mEUlpp5nf
LCoJz6rL/vY7dddCm1UEZtvjEj3ZL8xO749J+0XoLikBhP7QZTNpVNZLNuVjEYnUM0B3OQmgaCkC
sECYMuiT4QxJqRdVC3njdSTuXP9xdBUZeW3KxPD3QfLyEMVeLTBUHF/flBkTlomuQ1NSS7LH5YjJ
fNPXG/Oj/QhdRJKdOR/BjbGV7QERLInSZNFv61e/c3EMFDSKpD/meCuBARvyOD7+yqzXnAcLE8c+
567aQD4UbWUwRue9qUnOOu7pEl1A0ix0rEkcbqWR292hgk9Qqf7kdyaObVLAYKYdteRy4nGTh0dc
54AoPfst7thmE/NkX7J+K+thuEll9i1rAr/mI+SbXt9EiKZtOwhD1zIViSyATLwBj7NnqOWikSAn
rI6uZmu5xcmXTkHmTks/p+JqQHVmWSboy6wlFUlW5yFX4b3dKPULQN3JeYgeYtxz5C/LNz8lQbE1
NZnn4+mikA7Qvxjd0rWc42YvKO9ZMR9eOM0XbvXXHzTkuhMoKI7lHkGUmauGFtECuLPXVYwd+0zo
esD+xVhWmYa+dX8KE+IXObtII8GbbaFhOwIrEZ0m9WeE7NZv045xqkxKum1YeU33+kbW+3SqmRcx
AM7bMU6o0CTzJvah3CH6+gDFzkgUqusbefbavDs7rTIF4cYjGsootZBhF9Djtbfgez78gDuhOxA7
97XOCDm2cjj6d/RQ8anJjOfpuPgDS4LN9FE4leSoaHGI7mNQZz9/fTIvyeAbTavQSRIDI+yC1Blr
05i/q7Y4/vESgo3QGh09H1IXi3Xwldh4jodyW5v3Wq3lAAXFX2//xSDf2L6LxUIvZ9U0pUPZx2Jt
wVtSQdUGtP3jZ7/1nRgj2uu4D+gsSz2hWVvEyz78HRIW+7147oB5eGDwhldmLGmvx6/BVKW5DmTk
FyC5sKxYzmvWhLUsM7k+d1BDVsn8m9+5OC7smHs22UmocrZ/DCv5kSTM701yiSuOlVZB32HlzYQF
hb71YImf33VZK9BHVMliWlVqssz5kJBC1ItnYuGSVoiU1SYaqq2sFB1+oGB0fEGW5Be8uJAsXmOI
PyK45i0HP3kd28/pQe+9PqULyko3Ds3iKhnKyUJoWK79foemxTWmwQsG6oKQJkzodm1iljKEEnmb
V9qMx2M7rvSaEsWlH3BuIqZzMQS4HEvJ64BO+YRjOtsgiX/6nU70OhKwMWDUpjZTeaT1Y6+n4bRL
4YeHAxT+9eKjaixn4lhLgTnJaA8e20p44RrDf8gG/1Wg45JKJQ6J2EuL50wvt5Qufm7FhSJRzKSi
u9jBjUNYs0Di+CzT4LvXcbtYpEZsGqLH7VzqJAC25Ijv93X2bOe48++Hqo8miOu57OZ4/8ir6IAw
9nSNLIS9/RS5eCRGjw10/MFUbgPJxhMmmfkfY9vsTS43pgq6qL4QMu09Qw53CP5YocfdznIugz1M
CjBNWHHmAMYup19/igtyGpDnfH07F6E5Sap1KaeOKfYntKeJ/sC3aviG3jVXX2Q6a96BOLdmwy0E
sKD4AOkBMn015IXnImFjLIs2DNbpHarc0F9HcU7ZfJs6gegijI8CMvXgNoXmcvBczRg8LdVCnvd1
ycy9qSyT79tgi9WtHhoLqdN6j/I5iNno9xy4KCkVsdFOezSVDZtugen+tuzXsvsLnJ6hO4rPK64x
izXN5TCrI323ZyPhv1NQQYmCj9vyIiRk1y8jlEzN/aSGub9ZqlWZ3Izr/6b0+X/9YuIS0K91B+on
4LLLrlpuULT8Dh5ZrzeauC3demy4XiFfVx7deuIQlA8bcyVnvBCPEsclCj6YCoxBc8naRWXnjaud
nLajFTPSmYBfo6u48Gq4hANkHMNp7eK55Edyglw3O3Up9L1+bTlvL05cINgcRFLxLppLSyb1KezZ
fAZj3OqVyxAX/QXhaMiRgTyoVKKZnwcp45s2UJ1XYEdcnR7wwB099JDWMrbVmBPsOgV3deF3ME40
bTiG8DaFezOjCZvHFX/Xs8DvTrrIrkMH9og2i0PvK4zXgLsxB420n4gZcbFdJKUKzJL7jAoPXfOo
pvcsGK8c+dtXnrjILlVtUle6msvq6GlBUJa6Zy2DLJXcqys38p9g7r95EnEBXlHfJwTCUXgsZCb/
7Ib1by2r4Q4uHqy/R73/Ds3F6n0QgKVuxyxtvnZS3amMrDfhrJqPMtYN2EcndD5BFrHeN1XE3zWg
1F7yEP905SAu2I2LcBmyKQ5BSTqXddP9vfS9Ltpq32/97p7jWFK2yY7ErCt13H484rk5UQ14ud/i
Tv1Csgxi1Aw2yfb+r6a299PsJ/VBXBBaHGt5NLZfyoRmZ5V278HE/tNr1y4GjQUQVKXrOJfgNJsf
cPGyO7XK7cqdu/Q12evwIT3CEbVFePJVmA+EPVU08Er6iQtB6/Z0rEaVzWU2h89MNeljwIT1yviJ
Cz3DsOcOHG+NClq8I1+xfChAr//sd+IvZ/WvqLxSDSiUOxTRsmHsCt5wkOFxGNGvV3852TeM3KU5
aMA7swR1vZREoZAbSKo/CEuGdyul/TuZxONXRFbqytTABa/lIq/A6NstI12QGPVBVYxKdrkNRuB4
ARX2ey5c+NUMWXYG5p6pTMLgHfLS22U5vNIj4sKv4kYOU0YQHLVM068dag4f93T636Tc/3/o5eKv
Ejo2oO7CZ4ZYZ1CMLSrfevSrZRIXf9UvXbubAFbb6mC86Y1lOau5V/5FXAQWyqRJ21RyRLrOfia1
Efk+ydYvcnGBV2asKwt+GTyiS7CfoAbQ5rOmfvkQUozXtoWpnmCOOjWWJGjfH5hsx9gn0vVfm9YF
Z8ac1+MA9ZIyKxoC49F8mxBMr73282Yu7ApM1iCI3XVfpnOwvVvHrEB7ffG75y7qqp6q3WB+byx5
nJyg8/tbN/ReHUzigq6OZkTXiGPpFHCxU9vXP8BV5ddRIy7qajbbXKluQvJCoE+4p/Uf6xF5xucu
7CqGGHZgWriucVu7uygJnng1Gq8+CQLD19dwXUyVSfDulFqx8WyBvzq1Lff8nM77UYtwmmj3UgcM
tu+sqd8PM7uSeF244S7mSlKhe1AeTWXWgDbEqDrOIz6xd17246Ku2sBAvWpHAybs8Ea0dXA/gKHZ
b23HNu3cmVjUBkzLIHZLEooB+7i68qReOhUnsEtGzlee4p0gevjRN+t9a6GT4bVvF3G1NqA3FRlK
iyK2OYQ4iqX2jEdduFXT6iMNKNy4WtlXGuXHWn3z27QT1XVAQIIHUOOapFGWzwVL0szzPJzssJpM
PUxt25ecY81pq/rCJFeywwvRigu14lvURfWQ4o7UGSIVBlWCvxcl5txsh3n2OxrHOLOdQRBoYT2A
aFt/Drh43KmZ/d5OVyQGdfTMZFnSlwMqZkFS3avK/Oa3b+fhXJpjsBHB28Z49y62yU3F5p+/XvrS
sTumuWw1hh2hMV9OyDbvt2SYC4Gyzn3CDs/NOwYqRqL22VQIWMwanQE8TD6IafKjaSEu6mq0C5Go
E4/lwtVNIpcGyJG+9fO4Lu4qtEGIOlo9lUNNb7v0NDR+c7fEBV2pJYB+Stc2JWBAJO+H9fPWtX7e
1kVdqSGlGhMzUxnMVuV8Zo9rGPg9by7iqt20SMIFHhE1nG8gJvrQLotftOLqqKxdxCCe0U8l79VX
ZfknurTff33JL7wRLtwq1jzexmV8aRFt4MHOJlS66ZUT4W+ndC7aKp4608lJTuUckqlI4yb+xEIi
bnm6ZSdOKwOFahIUcz1fa2P8g4l4I4t0xVWoPmS7Mj6W/bzZb3Y1mO1tZCXOKmPte9mG+HUdLvkU
bEefLzLrPmUHQfg6suk3sfD9UzpsqkA1QT12YSVvOxC0PRMJdZS6ZZ9isfTF2E1HsWYZSPIxz553
3aROyzrx23ZaxO1iDL8RtvpjXGVwS+xOar8nxsX1aFLR0G5WljRNP/ZZ9iOsQq8hR+DqX8d9nKo6
CcgA2QmyyRwzSCpfhsUzVnARZtnU1kub4o5tK5JJcrAjF4sfVw5xEWY6A3yaQNa5TOsaWoJrW1ja
eUkiMFTYXp9LL4Y6qlg3lNaGZ2YjkVcZ88PbExdhNo6aZVG792UoIVUXUP6Uxe1fXmbtAsyYCA3m
J6ks63D+ltLszkaTF0EiDsVpWvN5kR3nMBom6h91IL9HhvsFCi4CzGLeM6sUjgSEfdtNx847Sg9+
uY3LNNVCoavSK6vBNBWN9xEZ+4dQZ+sV47zg61wQWMoCbXpQXpYiCvtba2x/dwAsMB2sKTqWBKcg
GWhuNPUj7iMuKiwYB3Bwo99RLjrSzVkpDMpRGcIXed0gF/ekGiYnMg0DXEJ0GzPMyATT6AcLJS7y
yVqWbpVEKqjb9kuQmPU0N4cXqTWIxJ1QHIzTQwRpVFEmZIlzLUiTt9RvugfiFq89wnGg1UCipitn
lJzzqot66POyj35n7gThaRIvWy9RlRiD+Vu7J9Ac2QbPqoTLRAXVUyiXNKgNN0JXSOsfjmS6pmTy
4g/feHZd3NMKsEYUNfUAcFxlkxNZVVtgmmAu5iWN7hOp1vdjPXiGQy4UqmWdsgnmZADLbz838j5J
iV9A7uKgOrS7Ad/cZGnN0OXxkJqc2Gvk+S/3741DcnFQ0CUfrGQREG02u2my7EQFvyVZ/zt4lK94
oX+Qj2/9xot7+leNfmhpG29Hgj9g42Q/m7T9OdChfQp6DF4GugmfD1On7+uQb0neadI9xGB5ULlU
8fyUgK53zKfQtLYIq2b/odewv4Ybvrg15y0FdUKoCFBmZRseK5S5JrymfV1ND+0AzpFCxnIkN0sS
tXcT8pTbhi3xQ8KC6Ntg2/gdmzt7F5i++TAylp4A/Jr9CvWh4y6yqG6lngNZHszSUw+Jn7ZbPUuv
LkJ1I0eaiATvsIqz7IaaqC9Ahu7Zkv4PPk1vabCN6wgeNd1gjskMpwq0bZ4H47zz8xKlsRomlB1C
THlvR63yffXMO/5hx//XRU1Q5tqArEfqSwzLU6jHg1819nu7XGjaUDUKekdElvFhirEnf1dRcFwx
sQsJk4tNCzOBooBEVaBfGa7KkIgcrG1XMqYLJQcXnUb0tATpOKD3UoumOJpoLwYb8/d7Lz3hLy5I
rR9AvZeMaVfKjfPTssl32rbXrsyl/Ts2Di6uNkU7QGJyj5t7DubQopvDGMY8M79UxUWqtW2MEHwU
spxTun7pTfsUB9vw1esBdmFpHSibJAFRcYluZAjoW/YVmmLXnPOFm+NC0gw64fswGOz8ZXKCjQ89
D5789u2YarMneuGVDD6gCp7mgogqZ3z9/uvF33zcoRHihDzRAU2INRy6st/2ISnqqSM3aRiLr+MM
khDFUvuwq7g///rX3jylNHM7YZVcWRNBkqisrJLFTJbntWc+x4S1nYqeHRvBBab6SmWbscDDB5lQ
unl5BqzuJNFADAypFQaWlZD4s4HYyW/QS+6v3Ps3vwLotqLXL3svUQMaFpiWPcZz1S/v+TrcjTE/
t5iVi9LGLwR1IWx2WjJKKlhAV1ffsjp7yIbNDzFMXNyarLLIHDF/WVv/lZDmrs7o869vzZuxFVRy
nCE2rdGypkAiorA3o7TfxNNwTwABuh06lf1WJ7z7/OsfelnwPwEWfsgNsMAdzcie9WVWU77kfTrO
aHna4XY7iLkf7LwDm7+PCxR1SQcM0KqvDaJcEI7J3HZoRoehwXMvUUWf9IfdWPKJbQkIjHQ93Gxb
oHLAP7KiHVrwwNI6KKJBtM/pwNoHeQReLUIcgOviCbyLSfERhzD61vbdH93kRROJpZ1IbB8UuDI7
tAkSJm86iVneYUn+/PV3u+BWXIRdZqN5hFxwXx6B/SjiLc4nM/qpW6KT8do25/DY26Zt4VfY+L6q
qTjxNt1u/Hbu+HaUrEeNvh1CSCVJ0antT7R/vWo5OHLHq3Cw5C1y4aJsmwiIyVRvedxOV6KZS2fu
uFsViqYb67pDw9f+MOGyFYfpfHfueFugt6Mg3OAPxRbd6C34vrXai90bL57jTWjTQOIZwqplRngC
Bq/x21pTnxYE1nYciNajmfrZdmW9k/gGEhS0AJtre+t1WVx9ngCSyzET8BF2XYLPUCx4N4b6uOL7
LnxPF7o27aG1MsEDBzGn5m7MeH+PEv+1bvWbsSMOxjGiPhubGSmAKBuStGeagmE5TGl9tt3oVSvG
TzimFDNWH5qproxncFzu/SfMl/j5Fxf+OdFBrXzXLXod0/O+dN+tGu/8vqljRr2QJprN0pXrzpqz
XkdVYIqn9ou3XDi8GdoxSFFlLc2u0rxNsnc9wSyE19ZdnJ0dkgzqIkh/o2R8j4ipwV2nfmLImYuw
I6jmRpNBlgcta1TKiMiJwtvvt3PnmSO1HfW8o5ACEAJ94FGf5WQMrsHgLoQrLsZuDrsZGRHtwOQc
5oGmv23VeiKL/CIyYTz/Aidst03So+ifdOWBqdilBWV+1/7udziOqWKgJtrmKYMdieELeIuHQvfk
2ujOBS/jAu0oBRY+qzeE0bOYcuCS97yqNq+yNmQDHfcb9kmwrwpIahkm0DSPv9go8TsVF/alkzGK
Vg73mB762zrfSMP8nIuL+TIhCs4SRISl2Of73ojnrjfX5kovBLQu5GvZ+brpaBHgnpeLfD9PjH2p
46E5jcMAYlIiGnBBpfFKczY00fddqepKRnPhQ7s0XDwO9mgVuwRTegIo8Qqi5yNVf3tdURcRNicx
aMmyGFc0jdgt6h3J7TZq5WdbLiJMzlkPjZq9K4MgutNLNeQ6841sXB6udAMmJFEEYVOn4+cuGpNT
tGp9JUK48MymTtyU1gulNG2QhM17dpc2tn7KgLb+e+3hlAqvw3fBYTxZd6JGjb9g6dd8UD0qfMPu
d/YuPGxYabIkC+LhiTZ/yYqXBsSLnht3vL42aFS3y9qh34v25j7dii71IgeHpKiT3eiRH+nSKlku
dTCdozS6CVni+Yq7EDGjjylqJWKEhQdLHkT10zwcfvEH/Y+3170xNUzJ0AWsNiBDEH/OClAHv8vi
BGVjYtslEUjdI0xqFmuqsjEXEat970v0OjmjqQ1XmUyybNPkM2lNj6Q982Jwxkd1YjOGV7adW9TG
6insiiQKhpzW87Wm8gVbpY6tip6rWb1EfhF4M+6bYzvugk5GBe2iwC+7dEFi8RZRYfutL0nSzPkG
qSESXpPCuLB9FyNWRwD5ohPYoca/9EO+0m45z90+fGybSV/B5r5Y5hv1GBct1pCqBwx/QamfHNOZ
H50p1BAqBGu4QIaxb6qevTRJINzrWDC1RigRA+ye1YQ92obLe94mnsmJix9bwErb9xKpuO6n21H8
mS772cvCXPiYPrqgSQ0VIGGi6qyTkN4Gc/XFb3HHfOPFUKipIG2rNjYWaVTz0x7uPtP6OHHHdjFK
YGa5wzdUUSQLwrbhFMTqm9/OHdsdpO0zXh2i3JP0h5ysAWtX5qVrhp07pkvmbetkuqGwgkHyuz6p
tndJP/gVVlxA1QJ4dDII05fTWplcb9n3Jl79vqeLpwLQiZuIEVEqvmX3OzQOoAve7H7uxgVUiX5h
bKGAGUd0/zRHRpyhXOXVDoWwtWOfbCHHwgnSEpAv1e+adJFPa5Otnlt/8XL/6lhaKFZNK0HjzKzj
Tx7t70d+TR7hZYNvODEX2afMmBIRC1zzOTo2tFozdMKPEMpsDG2cu2EM0ysx9z9R0ls/5Zhre+wH
CVIgrGzf93na1lXeMcLv9Lqpe7qA5Hyr97/iKVtlkfRBkkvC1hzT2uudhDzQw8Ki9AZSUtFttQhe
hJQ0T3GqkpNVRH3MQJIEWooqvAONf3ozbkTcVAp5UUFXUJGfInuYc11V8Y3Jpv48ZLoieTtvyR1T
BuPPG1i0z8lhvzTBIG8WsY/JTbiP016gfV7NudoNWAHrfoqeuzaSvNi3QOoTEJ7Bh6g6wOkHQYUz
IS+zUy3I/m7lJibg5JuD8Zw3tL9v0ykcoJ00p9W3RIXyM3R30OAIUf/8yqPVPmEaNrpnHIEOIWx6
AuXrcOWpupDvuOC25khHKzs8tSBvKKPoOA3LcCVEe7mDb31Vx5UZ8LykQbig/aHb9SbF0B6k5np2
poGu7728pQtwi+J12bsWdzTiByY+ZvLbOG3X8EMXjuY/YDaWCIYvhbibsaw49ng8d0ZOPkNqaeZC
2eQMQosZqWYpwYabfyEJZNy9DsXFsWl+gDPFoqC4dja+k6OFlBhup1824gLZGjvxERqoqODodSg4
CCDPhq/j2W/vjj+rFy2meJoAk4vGoYgVfVwxYe55ME7OQAPGBIqsCP2C+i7NhqZAvcUzoneRbCGk
xfUsR0zD2/UmFvoBAB4vkDXuihNxEA3MOgWAuLS1hbBnQOovma6T51+fefjiZt8wVBe6BnQ1RWsS
3e02qdn7GHHxX2hDx6cdWLz8sBX52snVFttExtsYzvBmMCRuijm06b0YzN7if+J/eV0w7vataB8I
jEbKFvD3UTwkVfR9Xbpr+u8XHjUXS5eGVawTTA+XMgjqoYi4jcCNio7Tad5eWqfRDAE0v+vmQut4
LE2K9EKUvKkeRto88Z2Enms7FcMs7k30IopQmvroEGxJpKfjQP2s0OVeHFDnIUjABOZo1j3HwF4C
TNHu12tyoW3NtCtaM9aCyCcmoIuv8fLJxC8ecqFtbWPM1jN4pzEbw6IaGF7R3VzLtS5ZiottY9CL
yvplRok8sevnVuz01gJKdAYSeeX5gmLeg4U20we5S0gQyL5/Gviy5phFrpZior163BcTX3n8Lryv
/2zyX7GfSSSvD/WSm2X8j7UBPWk9DQFKpPt65Y26YC0uHk6jyRNkDW1BOCFtQTCDCxBDPWAkh1Pd
Fc04eYHj0swFx9V7WO0HzVDwTY8HjT8tb/v4yl9x4R13wHG/9pEX1nAxcGwa0wXSlrDl1KCUZQQi
t075FZtc9BtVaBJnCthwCAal52ym9sy64Muvd/42cVaauRxt4kjNDkimKMM1NAXiT/BkNFqDhgg6
OUCM9+vdks29yA+W2Bw6jcuHoANz6a9//tLBvVytf13SCNIHUk0tXAmN/hR1dwvHdSVtuLS0EysM
seVbmiLJ7xP1kVmIG0K8z0siGaf28qP/2nc/z4hVZ3yTYd1BrrZtX/bxajH9nyfgjRfXJUprjLa2
ChDmjJb0EGWcq/TzumMaLBf8GI7cDHT80bNurYrKoJx8amNRTUV3kO0unI7klm5V8LXWHexk6atT
VMXROwsYE3D/G88hlDd/X6qIeFU8uMunRGhoGAg92hJseDd8G3vwY9RPPheEu2APdkA4aLJHDRah
mOVZYnkeHF7FFO7K5MXAMRxNnDY4ZlX0dvySqMBzaaeUMgH8uvVt2JQgQTpO2zaLB1ScvKgDUu5i
Pfhq5oD1yB+bbIiftp1u3/uOdZ7+xgknTTRFS6CsKFOtnrkYwMK794lX+Ja5WD1Zx7RB5AvMQVu0
O6YaKY2ulZ4vWbxz6MxmiRHInktlInveo0iDBLK+4ijfXpy7aD0eLlM3J5jqpVL+tOj5VRhn9ArX
uAvQQ9S5Kw6ywjIJpjBPef24EfLRz4BeitD/8lTKJAB6jQhprZD3FR4pNCp8jdPx3jTKlkPsfVtW
bKqLbAsLNhvjdVO4i35jkD3Ya5W1pa7XP9dI6DyuY332OhUX0QR4MF3xOQE+punnmsunMZs/+S3t
HHjXDdGQJjuW7oepyOKRn9aY+/kVF87EMcuPcnUafMiEnIpd3k77uvkduIuZjicaCTCGBh80Js2L
MKjaPJkm63fHXahUw0i3I0bCzvstfKCwomeh9Ob12HMXJQWu17iiem9Q6OzOzXTKVi8OJfhaxxt2
R4zXslmaMuHz7TyaO5uY7343xamAJXKOax2ZBhz2lp2SdLOYMOe7V1yL4dbXhj/K+ZAkxMa7AzlG
EiLXWdrEiyos5S5KKjkWFDR7fE7VGPJgEkEKHqWVV1jIXZiUWDB9L7QIPiyyrW4hBGtPCtBhr2N3
qcjq/8fZlSy7bbPLJ2IVQWIgtpTOKNJDbCdxNijfOAYHkATn4elv61/ZsGVVYXsWOBAIfGN/3SIR
E1RrVF5r+y5o58vSc89b7oKkigPTiuDzwRuqW/g2gymVwA5+l9wlItvmI+IYLi7eBDx6ZqTTz3aT
xbPfqTgRbWI1PH1pyzdiP8xDFZbJibX7PT7MG97TBUjJuIGq3IrVx/XtLr9M6pvfrp3XCZXdshgI
wolYb8+cz3lf3pv3vZEZJe7khV1EQzgJEB7WI33PwJKd1pHU576rk8u68G+6btu8V8XyJpjn5TQv
vV9fNXHHMiZ4ugIol+LN1vEDnIjH8qC3tjp7HZoLyt95S7Z95PoNw6GNxV6n9az9rI6LVQsIvnJP
EzChhKU9xcHxusWh9ty441p5q82qA6rfJEN5tnQ+UT+dco4prx+tpZxXgUIQwdKKV2nVHp/jovdq
fSYuXC3swZ0Z1Fi7Hngmy/5b14Lywe9bOs92XnlRgxtcv4l6XaZtuFXPK6Iyr1QAkLkfT6Vam2Cr
6YDVp3VJoSj/0Kp599y683brmhsdza1+01RjmBZVwE/zBJlSv4NxnCtEp6FpueFgjqH5E6Jin+RU
eDEf4rI4rlV3sgH8zyDEA1L9mar2U0GF8TPEPwHRSDusTbjgtkQxWozB6wrcmNeZuDC0DgFSZMME
bnVD80GFR5SuyezX+klcXUim255DN0O/EcHOTnaNEUQWA7vz9q9lm59rIokLRYMiRw3+DhnkVUBU
ipbhkPaJ2c4H6Is8T96pGIHEQK41iYJ8gkwXoMcaHPGrZ47nItKSoJN8Mka/6RbWno64/DCS/v/8
vqvzTKOZoH9tIpkXCGT2anlOiPR7pK46ZB1rW3Vov+cClH+Yn5Lz8yRW6lc5cqFoTZksa13sMg82
a07NQMS5V7tfxu4i0cRU0h6NTnTZk/FBldtlEO2dU7l6hV9cRheB1kQ1iMrsGuRAFbSPdOzWl0rF
08vCJ/Y3KlXVo9eHddvvIIJvlF4GCQIBfQ62fQcbiye4M3Ghbnu5iuRAmpdDW2x+rSBL94zxMr8E
28W4JVomTWARZKu9CR+mHiR6SxvEd87/f23wX30Ax13Ph9ClmfFUUeCtzhjb7F7rveKntV6+bOsA
8xNGWw7uzjJd1fxO0OGtaUN13uVVm13qP4qV86dtb5YT2rLAc3THhy5m5tT3LHyaTfGXmY3+wMr+
mUzD27ECjUzIgPJkYikyQpoKyK7kT6+v7KLo1m3X6KMcKi/wg6Kth7Qz7z/6re3EBzyKoiQhQZLv
ZdSfC1W8A5DmHv/1dZFffQXH7hyVactt3pFJ0SZLNnBktbied77xrcWd8KBre6iVhLHMlRXZRJMr
OtjPMriMa1MbFEHDK5mbIV7H1GxhYE+Wjo3fDFHiIumkXKuhiIjMQfE6ndZZ/oN2v5+xd4F0MZkH
MoslyakONT9PS7mWJ9IG4k4Ef/V2v/ioLpiODBTNwhU2ua71cFIgZ3le2Vw9kEkffsbBRdRFxRaV
w8RlPvAwN30LnG3SeCYJLqJuZ+WxLwYTHyCM4U2KAXrQs2zSaupXnHB5yippwXehNpkfE+9BPGfa
xzZokztt2xvX3sXViUjNhoLLL9fz9scQhH/vlHlu3Hmu67HARh4WLyraz037ENrC0085wfZxgLIz
th0eFKWPDA0LDDqQew3aG231xIVxAczQ1ktV4Ysuc3Xeyjl5HKNjPDVqs69RV9Rn+EjzBa2iMErN
wNXLKmzw0AtpnioDf7lAS/jO1f21sAdPXNiX4kTM3MYqFzYcX21St69yRbEtLY9QPzSJoT1yGT38
OayDak6AkcdLylagoc4R4eUr+nXluY5FP6cYNt5fG31Mj9cWbJmGRVk/kRoc8L+3/TdesotmQZJM
5mLok7yd4vZBRVOcHe3GP0IoSXz8/b+4cVtdEEtDwbrP1zjJS03/1ZH90vfcS8+CJ65OnqoasFwO
DVxX0dFT2A0sXTbuF+u7GJZxO4AnGOsk1130iWEo8zSH9rPfoTjBCUbWJ1BrJiIHuIM/FOZ4wvjP
ePZa3AUGbmDFivWcyDykwUWO8xNh5g+/pZ3yCkK2QFCBaLM/ok/tMEGVZhn85tNRC4a7+a4PVTR4
CYcZZR7P9I/ari8NHqvfvq/3/7ulFx5HA+0mmEyVvFNN9GWRkZ81dhU9eRWN8Uiw9Bjtr5VKvgWV
8FzascbbVDDwSOHpxKytT0xMYCsELZbfkUQ/HklR9mO3mCTJJV/rs5qBk976+o4NvPHoXUAgjVWz
dSij51sCdFZYNwcIdoTfJXQhWhLaj3EIFGlODjU/KZDbYeSVfvj9sVwv2y9iGxegRZdo29CCTpBv
8uVpbaowpUIdZ7MesDAVkXfy2uuL+dX/cb4tWCgxVkvnBNH8jFLCCqm9Aiz5xJ45D+vnUC5ArxZQ
nvj9z7rxQVwg1hbI/thrK/Lehv/ItnrLCfGrALrIqwT8PVERDCJv0XBMGZ/fHqx+57dtp4wGsgNg
SyE5kw9s+2BH/QWyuX6hjgvI4qKYuK4i+KWxU59nXpSfIHTrpWvJExeRxSMqj63GxpNdLWeQzv3V
M+GH3UxcQNZRLZFVCovX/ZGkmaQAk/3+vJNf30qXhmyNaREV0M3N+yqml7ii1WtZVctTDMnP1MR9
+ViTOXhsQ23vvLdfvwPhEu/Uaiq2ZO1FXrYMdcy+TMtGfxNbnAt0bs6RWT7+/qfdeAEuCZopZYI8
dBb5bmv2xgYjOZlA+KHUIML5ozWNr1zTBV9EfggB3HN/ZVHdAj8/4IK9jrqfAeGqOCpsxpz1bMaH
cbnH33nrXBw/UHXFMHBheQ4gRWa2+qkd1Fe/I3diflYWSw3CXZ7HSSnPRyXfdVf1aL/FHdNQz2N/
0JkzVBZgrZEhFh+Av9F3GjI3WnvCBfMwkG5EU93humAKrkvbgo1/FZLFb+Q2fu5Ivz909TE94LHM
ab8t0wXBlhejGBcu2GdOwnEDpRjLMaqkz1Mb1480MtTLNwuXj2peukjvh2A52VUMpx/St0fYxfdS
il87UOGCckxUDJCoFTyXQwGKkZ1XZ3BUI2NRQ7i9P9Aq8osXhYvzx5DsEbEkZDkndPyD8XE7bczY
Ow761+9CuJDFUpOwqSrKc1bI5GEAb+IW+iXD4EP/0VoAXED25ZhYvrTDq7bxVz3fm8W4tW3nzZmw
xGQwxp/zcNznBxbt8cvIVnv2eXRCuo8OV34GsP965Nt86mhDzwzKwF6Lu5jFJYh5XzcUp7KudYrK
XvASN+LwXP3q8r5LAfTQ2mEhuC2CdJD2rTfyhAL0v35bd/KicikxJF9JGKMAusldlKPr5ze7I1xA
1ywPo+sChm7kdZjaY34cmsLPigoX0TX0E4bWu4PlegzCszIKMwBQkPa7Li6ii/Vbt5d8w5mv5Tex
8PVkNSZl/M7ciaA7hRETwxvcRdNW4ymcgBLlijK/6RvhwroMirMwjgbnvux/hKjfpROlfvEhVBN/
vI17uwwdqVuWl2GgXqbBfj3sMvlZeBfXpQ+GzhPg8rmc9vFFLUn3CPqPe1OZNyyMi+sSUV1OESbX
kUuTf0JKsq0fP//+k17T8Z+TIvETqGucMMeaHFFO6zp6325h+2IHNTzrra78zLoL7UKIsPaQh6bo
y9kAjGMihfw898qywNj941elmHoirAloHhPQ/mjWPbIqvkc1fuvcr4f2nQGLhyNpwrXH4uU6paB+
fOXt4ZVnCXH9n9+tHUSouwSsuN71EKoFK+rt0Pr1K5EgAP5xdeCvFAErNsuLBKRFjTkBkeq5cceT
zozhyvCO5ZDc+W+oqs91xD78/jLeOm/niapCk3gw2HVcJ2+PrXpayD0t+ltLO250OlTR2qKM8th0
7LytvU37LvDDEQgXvGVUsYqK2iiHXttnUgbnMaTfvM7ExW5FW8tYX0KgZ5ZQ5wCNapt2mh5nv9Ud
L7os0QEEcEfzibR/SWZwywFy88oXhAvfsjMGYBektznaAVtaV1qnZUI9X74L4GLJZMEYstAcDNg2
hfzu/x1b87ffsTiP8+iFHka50rxrxLdoCL8lPfvkt7TzMoeyS2S5cJLbAYqkKTgqzZ8tTRavGqP4
CT8QDt2iwz7KR92xlHbhpZaT3/N0ycqGKOED4qIIHjQ887YOT6Yo/DBzwiUr66a1DJVu45wp85Wi
5WKM5wtynr4G0SWhEFXPw4O+A3nsRRLpGSm6uLBoWSul+5XkEwUhhVgM6ro6UV79EOFCw9pelnKn
A8lrY050B6tj5UdlIFxcWAfAQR2THktT9p/UxR8NGDK8brgLCmsjNPoAzo9yDkEAEGIE/9nZr/Ip
XHqyZBiWMl73KCfVFD40XfK4yMJ3cefVB43UVV/rOC/a9lN8NGC6rKa//A7FefY2BtfOMmGOshs3
k24Df2dRhj75Le645L3bwOmQmCgXHW//L67D4oMmxX9+iztO+eiN2KtujvIh2LfneK3fd9Pm17UQ
LhxMKUjI6YWQfO+D/TEe++CcrH7zJ8IFhNF4j/sKNO75ZNuPi+gh8zN5aa5x7gZYgPfusVJdl/c0
+AguG8ybysCrTs5d5YJAxFG18cPkdFuScyAGjQyx9Zso4i6CPmz4TDTRbZ60y34STf96QJPhjsv/
dToBaZQf4042FXxrg87mQHKN7ycarWehkv5iFIp2v7+PN/6FG2tdhRfQUiy7PDrm/nSMU3XifVc8
lFt4eGUs3I25rF6ONZmqNqe8y8GZ/gw5Jy/jiIvz4wEVXXhMK7pz+RY1ZQ5uYPVQbbEfoQl3I66q
njZonY82bzCLXFsloQa4/ul37tfv8V3CkpQxIMRB1+RF2BwvemVJZu2mzqB9v5dvXQ/h52SUu0Su
KzCA4cJUk5PAhh+CdTVlGtfreCmrBOWGoOIPexHxp9//oF+nBNxF+I2VHYce8yT53u5vefl/0Fb3
KnxxlycPoCxoSG62yYeD/SmD7n1c3yOQuLFpF/wfDjpCaJp0+ShG8zAN2dFHfoQO3I3vAgOObXBh
dfnQdSJtquWVQOnwzrO9tXHHjUxluPRyjZt86goAwIKlTnXvJZmLa++YHczqJKQFEjRn5NueINlY
Sh74bdwN8ephsWO0ljavdzWkk4zql3Fe7knb8l9feTfEmyIRj2XQm3yCB0xeacSK6oSkaQXDimD6
P8OsH0SOuyHfgDh12W1rMAMbPolp+WAXP+5G7oZ865hEddytbV439Rdm979tAATw75/pDXvvhnzd
ivqI7WKDufrC9CfDoaNbjxrd0QpDcV4RFHcHAZrZ1IoQbvJtXJdTYg5QXKp7wOgbV99VLSdsRxV8
j0xOYipPhM/Ng00Gfud8bhhNdxiAlgGTzTTCn8u+v6yrgjyo6EBpRyTms08kEvZpbwy5Y9tufQ7n
HbOxC9ejX9pcT6QD58kaIUpGD5MYL8lZzt2YkGpGDFrUcJFBnSYRqGsipv1gSdyNCbtRjSAex+Jr
R2nWkPmp59U9mOiNs3GT73Yd5TZB6zSvAeZ8kEX/FXrP5WsdRebOx75xlVwEfyMFGKpG0uQmWk+j
AvkI3ZqPv39ot9a+mqjvHPwk170MmtHkC9f/FYH9NAb9nYDqxh11xcFnMHQdel+bvGfr9AdHlvVX
j2avhuY1G9Ku7FvQBid+pQTukr0uzaIGEyHCrVlJnvjWl2epaOFnKlyc+pK0B9+OCaaiGv8ro/GZ
YEjcz9e4EPWFb5U9dmvyKira81bEb3k9tQ9e39fFqG+tQdMMtJG5EVFyltyKhxpgyzvt+xu3x0Wo
zyX4iCI5m5xt1ZsYOUsqh+mL386v1+q7mzkXlBSHgQJat/GXbuRFqiHs4Pc9XWh62R6h6JSt85VC
HzFcX5tpfu+376ud+H7f+1whNCFV3vYFJhr6bkvJ6CfnxF1MehBJOtdirXIwejUnMHMEJ00OvxQ0
jn/cuTgAfp4PUuZDq/6skSceZrqz9A1b8NP41KRKO6I7mUOfILQpJpLVC7XD9LqGHXmng4CAjN/U
d/pbt66l464kwBgtBADLvEtm+QzaWH1KMJd3573eMPguCL4YteGsPsp8hrrjP+s+DY86IvvrBNrZ
O6bzxg9woe1MVbsut6nM21KhOg+F5JPpITnidUNd4PKkTILBVo3V2f6ydFvxsPV8fPJb3Hm2+7hu
dmy4Rkl3eWvZ/KzGw4/ri7vIZcK3SVET67xqF3kymsdpAAp1P5vginPXaJy3i9h1vsr577oAg7Ao
PvgdyvU7f2cTxGwgegPUVG5q9kmNw5smbr26FtylM1VU2ykpDZZek+fZdH9FJvjXb9fRj7sGpzxE
knSv83IeAc+lB1I47ldE5y502cZbb1UXBJkw43ltxpeF2L/89u0khlGwhqihYWlFok/RwW1aBWBE
9FrcnbOAqtCx8KrUeYCS3cNWXQWGBkhe+63uoGeCYJm7MpJBxsL2XUm3XM2JXyTgzlnoFs0hvUVB
lpRWvJ32TrzVs/Jzei5XaDSvuplsofO5i5e3SUHXhx4ibXcG4W6YQxeJvgdiJXvHdG4bcgWflBgT
DcmdOOOGa3KR6EWJ99PE2Ho5l0GRyoD2bxnGuFuwfUTT0xw25kxkcC+zvX7JX5S7XDLQetyXhMxr
kNV9ULLTFnTludN8+paYiT+i2NY+7rYPTgdlhZ9JdkHpJABrZSnKINuPufsWJMF0RkKhvJqPwLP/
aCUIRMg0RLHwg4j9Mhb6ncCMg99rcB5yoTrWYHIYvoR/A7tGdy4jFt1xgje+g4tLh8ITQpE20Hmb
AIfdcGsfDzLVr8ZU0HiJJVTtgep5VcCA+Tn1n7DqUJRqp2kMsnbDLU4qMPbW1q+nz12sekHlgtuL
2hrZ7AMm9N7ZQd+J3W68PhesruQUV81SyWxe9k/NWr05qt3zSJxYuVjWMmhlq3OqdgFN1R1Sdszv
8rhQ8XDdMVnSwufScH+NBf/WyMFPK4K7SPEogpQ9B/g8m9vxxeyqSSNC7mmq3Tpvx+3OFKPQTK8q
q+vmxYz08472tdeDcjkfx0LE06LjIKOs/Ersap8iMvkBBXnovFawSTb9cGwym8LmW0GYAs9yrLwc
I3Nx4tTgbkdqgAuwQGUlZvlHhLOfGixzgeCxtH05rK3M9mr/DJ6p94tdvcIz5s5d0Gkq1RYylZUH
pgSPePmyD0zfMb3/K/f97EyYizE3PaNcw5FkwNq2+U7EBDHbZH6jK+hpvJZIIp56IGZS8GurJ6FZ
8A4mrn3ZwUwLathhXv8mctLvIgIOsxR4ZnqatkkmqV3q6SuFlNBH0cX1vxU/qE4hI8jfz1UrdNpC
nEYjH4/nb+Wqwr/jkC5PJOhrkzLojT4YnZjTlITzlyKxxyMaDMAErE3ztigIlKa3alrBy4xAOLWB
nOa0wJXJO04PcOZD7oPrpAWc2oRrSovCpM06iMsMvvnPWxIUmM5LFvYINfA6001gngLM0r7wdbXY
0iqll9dkLsDe0gK0MHEMRvh6LNOjGvMEFU+fd8hcSP3ORo5xLqkyBg6nbuVdOkcwIr9f/NfdBeYi
6i2UFuv5unELyMu3AcneC1iJ/ytFo9/oqJuef/9vfm2mmAuuHzc7sJ5ylZE+fFKJ+bAipL/zE26t
7cQUJTdAvy5DkimIB6WB2R8Y7f04o5gLrodKFj9KdaiMz3FWKvYJ40legSpzofVqQX3GyDHJDElU
GgcfAkLYnTP5ddkBo/s/xllJJyCuFswyUzUQMFO866dmnMmpHQ8/fnPm6j/zZhnnpocIwsTHNuV0
zyvQX9/Z/41v6uLr10MupA54kqEo80KOipy6hVR+7sHF10eLspBlPZJsYst+vjLfnfq6671SJ+bi
63VXTkEBuoasH9XXsiP/guj5j9+/ol9nH+wnutRjAj49nFRWLLQ5lzpaHkQMev0qAXOXbIPj5QB3
xp1/dusTRD9eIYOyzAayBJVttopQhGvfsUZ4lYKZi7SvopAORQmrs09yPPVye9Cr8KO3wbDRjxtf
GB2Tlo3YuArNow3tGz0qv2Eb5gLtkxgC2bzG113ahAKJlFQPjDfJ+fcf+MaZu1h71my8EROionHk
6hSQvkrlEVm/R+XC7EcrwPoqmMyoRdsPFEBLetDqk9/Wnd6Qrkh5Zb+XGW9nsDCFX0uq/AylS6A6
FxA53xucCoaZn5P+uRO9V7bCXIi91SCPDA4iM/C85U2PmAACj15VDubiv0QwtDNdr7vm5jPm4uqT
SAI/wlrmAsCSmhxtXx0y60A7VdhgSykoTTzvieNQce10rKCnnm2dfNM283Auwqr0vOLO6yz3eNyC
SYtsK9unFhqXpyopPJ++i/wak6owdal5Vm7lJW7US7J5hv0u4msrSt5xVvAshnJv2pL1KRrkP15v
x4V8WVIQEJtUPKvHPyfavq27xc+Iu3CvBmP0oahKnpkSr11G/CWk7Tu/XTv5eAPLRJLdght1CrJg
+Seujw9+K1/N43cV8E2Rpg3J9awDHmYkqILnbUC5zW/1+MfVTQPqwmFveIZaHjtztm6nOiF3At0b
IiDMhUjNjdnA9ALoG2aV8dx3yC6dtorrF7A4IXxn8qsMRJHuycYuIWv4F7zl5nkfYXsK1cdlqutw
feDxxNBmDCKRaji0t5uNCoIetVHQPOyJn2F1gSExtAf5Kg3LNpJeL7WffiVz+SG5njtWGawbcr6m
verCtK3upLE3XKQ7BaCiEQleFAu8w/qiyj5OIyH8xAuYixJbbStZAQG0DOWOf3nYfJ7xGr1unQsS
a6FUwEkkWba34Xouw2F9jNlxr0B541RckFhdVN1ItGZZv9APrLZVCtCPVx2IuaiwTRJwdfGIQftO
nhBf/is3PykX5qLCghkM+iygLJNIntP6WFCtqRNPJ+niwqTUiMzGEhtf+H9LgpEOGvtRfTMXDnaY
GnQDC0B+JbVBKljfpQGYYu+YqP9V239Rq3EBYSaKh84suC1XEFK6XHloBAdrWUrg306tTuJ3WkXD
x1CBL/mkJjmUKWjt5FO7T+uJTP3ueW0dd63GfgkDqaIrT+Sb4LDZrGIvXnzmAq3KEuWFYZ9pNhZx
1tguI0p7Lu2mv+U+89YmcRYuwLoF4HuPp+oenO7GW6PX7Ow77wSbVoZzG0eZLedzzM0TORa/zNSV
/Z4ssyPAkVGGRupDyYpLsbE7S9+oCPyEZaYlGgoSJ80724Ilef8Wj6w/H3Vk/BJfF9PcR2VrJhpE
GQLpl4OMr96vzUWHddVahQ1mBbKpwZnw8L010vOqRD9+TYJAQG7LTrI4UXMqgvJCDv23l813gWAh
K621hOwwb311lsUsUgNRer+6oAsFC2IbBZQXYWa36Os+9OiLlHc2fuOyuECwaIZonJiPIysLuV9s
c73k01Kli6SeUZiLBmNmO4rZRkfW8b5JpVKfbSXv5dE3qpouU+kwDG2pk/5A98wuH1uqq/dm7YvP
bCv1M+2rwTMrcKFhB4qPVLJ9QzNAftj2AFjRyS/QcflKVdQAD7myNUsWsz8HuutOYhZ+cyDMxYaF
Ek0M0mF1GYvzlIz9oylD6nczXWzYBC2SGkOVOJW5WdNgkm97lPPu+MZbd9N5sIeZ6+FAEpmVMDbQ
+m3NM7SW9dNS1NEdW3nDwsduAhyj+5q0xZbpDlgWYerT0EX3sutb+3c8ahAGJrJ7uGZiFyDdJ7bJ
lInLt4ui9tHL7riIMFXUPcpi45pBDKN/HgNMsVeoZJ/9VnecKzgxO0zI43RiwBFSE0WfYzH7xZqu
ynVvugpMf2bD0Ep1NoEU6QDWtjs358ZndRFhVTT3A1i7tixk3fIYgwDrKWxW6+dIXERYE0qS2DpZ
Mp6056Ec3q7teMcc39r49e/fRRxLH0tlm3nJ2mB/l5giOUV6Hv0uu4sJQ7lunKgNh8xMwXlu/wUt
lFdTnbkC1xFlfDHHNmZUEpD9tt3DutR+DWTmQsKWnk5btAdDRoNOn6hO3gdV4cd0zVwK3l5AhbcK
uzEr5Kc6bGakPbXnebuYsEAuIQYYsPZMu8+lHv8IBs8zcal3TQ2tQ1NUI3AdQZnOILCIJ+P3eFxE
WNHEKH8xPSLDBDqiiMJTwPvEz2G4iLB9a5urSDw2XizHyXbqlU9x5BeXuoCwre6GGeCOIQPHYF6H
4ssuqw9eptCFgx09bfcN43aZkhtUXuPpXSk9/b+L/Zr7GW40aYZsbsL/1MI/hmb1gjwzF+OFyvFQ
rxOWVqN5o/Yn6Fz7pYsuvmtmqrASLPFZQWZ9NrYkJ1C23GtW37CD/+MF/M4OGnCq9xZMytmILlge
t4Q/Xkv4fobQBXmhSNcZpgOb7XL7GLUkL2z90eueuGguGkIRxHTaZnznx6Npwq/BIfyGWZiL5joO
29cVpgCzSW//FwGYMk93g60bJ+7CuYSSEiqHZZdtYs35YE/7uvkVvV3uz4oVNWg3tjabwXB6kVwu
LyFpmF9x2gV0WeA9ZgrMUobQtjxh+vBMN/B0+n3O+Ed/HEMfkEQo1GftEegHS7v5QSQ98dy6E+Cq
1YCgZYv6bN/lC2NZvPA7Icq1QvGLqpKL6GoXGlXoYbSZVHUwPfRLB2TPGM7dvwK81u/JUiTPYjWH
n7QUc0FeopZg9CUTzony8EGJWZ7qcfji8xGoC/KKWHNUMRcmE0Pwb9+KJk161Xj5DOqCvCDdZ8gR
yCbTQ/eJgJ+8lMQrmKMuyIvr8OjLqWuyQMzx8zyys1GH9Ir8qYvxYnspIzVNTTYyYJKnAEPCSYiK
od+RX1Oa7+wv7GNiu7lqMtaE9twtA6Yvwc7hufrVBn23+rLZouFibLNDiy9Nt2eQ1LjXGPxfNPvz
1acuzgn4o0RiCLXNcDrzM1e2aNO+HSBQSpvmjVa8fGQ9Od4Nq5jzqRr3h4Z05IW1QQXbJybQAZam
OV+NoUxXatR4KhbeXxTUcMkDG4D6ivpmx2nLGNMmFOFAV+klB+G0H9yfuhiqcAZfW1/i9ca7+LpQ
8tTPu1etAeH4j0dfRKLaCcgbs7FXaWfBrctm6leGpy6EqoGSdU8q1JFMpEDA179Vtac8AXUxVGWc
LDFs2X5ZuubZgAb7W7F2xVev6+6CqORRrwvEPo5LUC5fm1Ge10j6YTGoi56aqeqTcq+PSxHGusHQ
H1UnTCf5Mc5SlwSi2+pkS0rFLwAhvAGOck2rrvrT71iuRbfv3mnYbQBg781xGUfVnzZMXT6Nglbv
/VZ3bcyqgkSqab+IeYsuikLcCYwesxfgg7rgLBSRk8Q2jF22uT1eSFyVJwPhIa+4gLr4rEoqNK11
LS4BWz4KFHXSQqrAzzy61KcC3GS2YJqD6iRm6YpIMq00W73SO+oisqYGHcmez/sFePL+cR2L+nFV
frTN1EVkDSyozChIfFmZ+KzbEtJ79l6r7OodfmHYXUBWFc4w5ayOL90wPO7yU6s6P1/qgrHQBoDe
bJtEl1ji7YtiiE8oK3slStTFYi3xiAADfKGXoJovagbFfig8hwKoS3latVy1SNejCyZn9/MoBT1X
sV+JjrpoLAjkyK7ox+hy9GQ4bR0qDNBQ9JNRoC4iK2kxx00WtV06Wpi/myhZx+fiCIvQq9JAXXhG
gHkwcGyY+CIKzLYlZdqEtR8QmbrQhEJ0AXKBA8fO7ZCStavTwvjV1BEv/2h1wf9o+N7a7RKuy5Z2
xSjOAxyUn3FxwWob9Oy3Box8F+gdQy9bm1eT3EOt3nqhTj6j16GrDhPAmHclRFXs+NyHyycvb+FS
lcllpzFP4ujSxwWFnhuGABaJooPf6s6ZJ2tcd7uatks17dGpjqYXFYx+KGTqYtXa8uDHrEV04Sez
xzblevC9iE6FvpljwQ4lo4ve6DP4ssCW29xrv9z4mi5WTe69SOqe84uZ5cd1Uo8Y6btH3HZrbSey
WBorat2u4kKK+B0mij+wXfg5fpcL1satGapWQk020EafhiqC4jw6d9SPH4i6zGT/z9mZNMmJa1H4
FxEhJAFiCzlVUqNne0O4PYAEEqPE8OvfqV5181ydEWx64bbJTKHh6t7vnhP6i+/3EccKYg3kBIPP
ytafd03DLTpEalOEMsdBhHRMiXJaE0LMNrxljffGoG/RIRUKIGsQiMwCiktQgbLRs5xne9n33V9T
Ef8IFlVLGTMNIrnG64ckasVpVvs8p1BN+Pezi5qtwhsszezsMn+cLsu6z0Gdb9Ghbg3CJV4czQaM
zMnjFiVMMZF9iUy+pYficQYE62PM2wWAR5Mz9UFEzNs55uzf49KtMRuq0MxZPUbsJBDyHis91/tW
0hYa9AepIS/ULdlY+jxBnX2Cfz16ufbNl81NFJKKClrQcH3W4aSAetD+YlAc2Jcz2gpHjTwa66ls
WEZI+Wgnd11ctPObb3GmuCcNXUJvygJH4mtcLu4CQw6+K2XPt8JR2sk2tHM+ZWrVwXWsyvoj3JFv
ubS/sQdskSY/5i1ySYrhwBCHMCdHruiuVg++RZqGKZJcDnrJVBt2iYe8TlrCFX5fnm5LNeHWEnbD
gi8e9x29i8WijzmUIvYtpC3RxLogVgXHoJOgkne+tH2W6/WWJOHrjfYPN5ct1BS5qWQ1bnDYBIrx
5JOI/azjUL9ni+1v/IDXnfBPH7EJvcjYw06rCfxXD3XxVAjZH+qwD4+zFh7OELYPbuVb0Cnu4FXQ
TZGfRU35lUfdc56zfRHelnKqPecNneE+ULiKPDHBTFKMYbgv8bUFnRzluNbJ16dP0QuJPZ3Ynvy1
ayvbEk69DFoIXE1zBtHi6qOuy+lpilh+66Yk/vxut4xTtFgSgYWeMhi2L+9bfyhsAl339lhX1Dus
TPfPsi/Q/6DLUn/675/05wIC39Y7yxlHFYS7bNbUfnBePFxdpeedCCC3zxD0Xp5Hv0Mm9L8/7I1N
actWLSNrlqrn2FAD9w49AN+jWO47w7ZsVReWU9DCBD0zk0htM/xVtOvOc2BLVimYAnQcvdtIG9Rl
6lqH2oFw+/a7LVkVRDWZ56VzGa1Ce0cLzx1x1+z23Xe2wls+562FhozLxh6iE6+FKDh871zIW6iK
1RHSBOBtsjpoWCJ8/KeYb8zLt6bK5qIW0Lydvc7HF/cn7zC/kix9pPdpPfEtTqUI3ODgrmgzXUAH
Z/JcYsk078t3bvW1+nmauxrq6RkusOoiIy9P7ALz5/9eQ28cAFueah5qNLm09ZQ5aKp9GCnU5pJa
oY7rjyW07Ea1U+qIb+Eqb/SWHJ2QUyZX+nUMxiR3yGv/96944/Vu0aoBtFxlTOgyJ4cggSpKBY62
+7Lv4a8f+o8bStsENajfyeEIKEwy8/hhtvO+LN+WrXJYSxreRjaLo7k+Gt43SFFGP/d98c3hrm0D
kMDZKesLPpyHdhbQ0PCDfTvNlq/ioE2gad9NWVfAiomsTidEBP3Op28WbJPDNwGFOJetsrNJNUD7
XcfNLQn14M9H4xaxsoONmxoK+RkSuPxEsCPfF7wRlyXMq30nyBa1AhtdTq4ohmzy2COaAX5Pfsj3
TfctamX8QsF0D9Odtmo8BpYsCVpndpZZt6zVqOMxH/N8zDy+NI+0Ne5SjUF0I+J8Y6luYas4LgkO
qXXKlr5tkpnG75XcZ/7Et0TU64Ed5qNy2cTJndLfXLGvy4VvgSjBKwqVYTplzbQ06TKuNFmZbXa+
z82dFqKVTPsTxoSR2h3JMsoDD9g+kXq+haL8ylGvi7HxErqozNgSYvi9v7O8soWiJsv8aHAVng71
8ZNchz7txLDvOr7FouIqrmaPSJd1wv8IkcnHaCX75uEWisIUt6ZSGPOGanNUJn82BP4hu3beLRXF
jYSyFWFjJtFEnxakN2lnbjz7jb1ri0XpwFagNmKbdWM8p7rt6/M8DtVBTmpnTm7LRgWcl7IY5Zgp
JshpQNb1LOtgZ9i+lbsyhSEzLLDHTIBrufe89bPvTHMDKX5rdDZn3uoYrrQRmTNkRKvqApm/+qUi
nbobChre+pA39rAtJhXZxrQh98eMqvFifP55icp90d6WiLKL5vWrwUfW+D1Lxt7rk4osNx7+5xsh
2xJREuLNJKAl9kcZoL++d/Fxmm10mkEzv4f/rElpW5C0y9Huu2chsC0mhY4sCjVq57K+7WlqQ1If
SbHukwpgW1KKTsHiQyqkz5Qc7udAPDNlbqTT/jyP2JaTkrxuKRmRNg4N5XfeBFcha2l76CAkdCNC
eOsjXv/8H3ElEYAN6ggFO1HS+VdDYnWcLFZd0pv4Vhj15/s420pDCchhNXTEPTbulP1hVUmOdmDN
QcnFvyvCgV2ChdS7AmW2LW96Fu+4XosqW9bmp1GdOoYEF619M2mTs44JNFhF37pMM/G5aCeZ9AV6
Wvc9fLNrlKBYPTIHA6qEwS/0jV/RNPR736M3Z3ujONJ44+sRBp6nSZhx9V/d0Pr7TFHYFp6qQln6
bRxNGa1p/VTk5fAQuGZXtw3b0lNGtTKw+TBkYk6m1ciffZ2TH7sGZgtPRfDicNrGPdJTzWdN5Uvf
iH0GyWwLTzFYBYAMWJrMymVIhiK46yp6IyP4xia6VZ4qx9dm0y5oMjjpjikrM0qMTFxb+UkVTE8y
ytdTUO+reLKtFFVuQqSWIR6XgZKTKfPLIAlFLXcFQWxLO8Uk1tCQXmxmWdF8Q0KEXJwPRex9b3iz
ZNkSu8Y3eAtDRPunfKnys+/m8saG8OfMBdviTjPh1nmxb7ORL6xJmkmwNIKDTAGwAieZjqi3b3fY
ok88GATUBsmQwX1PJA2cpRKaL+ZGTu2NY2DLPoWh9lzVrH1GwiV/L2HkmdWt8U+jgATIjc+I/3jf
ZVsGyms8Y1dRTFk8134Kt9MiXajxHiZq1aGKy+LUIPOciMmnkHfErXXfyG0JqTkqyFiFg38N5rw9
rovpj968j49gW0Kqh/NsN6/Ov3pFyZJ8DcAz7+wkgaDrvw/nqeYoLQZ4eF3WJoG8XxOIfSfClo8K
exbCShSPjkPonojR6GQE3rVrzW3xKLOszjURdVm8TgglGISas66K5hvFujcm6xYDWqQMi4gDa65d
afOkG5ryvjARy/Qs2I0o9c/RNdtKV1UebcmskR+fQ/kbtaJUjlC3+O/h+bvP6P8LXmzLA5W699Ht
PfQZkNcyxsCDYl5eawel5tURXYLtJS+q/m5alE7HotUn4nR+ZI3Wv/77K7z18zaZraiqtZ3wlrJA
QyVViO9h3n3f9egtMVTReR7NMrjM82d4Ob1T0T7VZhBT/14OqlthmshHRDG6eobQB3P7aEH0Y/z7
yVMAZNLEKFgEgfeC3Od3Xuwzo2P/p21lyhw9VT3WApG/wwi9yIOo/to31Jvg3bi8GbDYugw+J9+H
+YV6484lvAWF6noydhSlf9WxRkA3H5mOb9yO35h7W+o799lcm6XA1qOBNUTtlPLJfN43IvTfL7KK
h7XkOZ5dWAn+cDBogAj3MSVsCzei4UMxv5FVZo35ynSQSUb2AWtsS08xS7w2j2JyLe3yPubex8hW
N2LFN2KULTolm3AyZvTItWCdvXgrIgfetuJRWxIcoGi0ftg19lsFJpTNTLNGOblCNTPJq/wR6tYf
9z16cxAOSL0ruFH61zw2v9QgDxbWsjd24zem4xaiUt68BOEkyBU9ML9IFH1Z+vyWisJbz37983/c
rr28DQtTYEgK0z52mgYHeOKGx32DsolssTwxDym+eKfbZyk62GjGwz75ILblp3p4AqsuD8g1nvqn
gtmLXfapULOt7hrk4WItKjxazDIVLPhehORWB9VbA74515qeu5YPHF+boTQcNz88XJP2TZQtOlWx
VhRSMHINRfXB1O0n0ZgbEc0bX3vLTcmJQgGqx9dmq3/nZHzuh2Df/WcLTfXw04pk9zoi5femX67C
hDdSR2996c2iJNpQV/sYD9pURzGms5anXTN7y0uxXHkdIt/XnaT6RKo1Wdp9PWRsC0vRBYqhvcRw
9Kp4MnWVSFbvu8duSalisWUAAzCdDcS1idDzeljL4ZbJylujvTnZVvRPTLZSFC6MxYfSW6Cfti47
L5dbMqos6cRIL+k1tvlX5eKvopr3nchbMsqKbpqZe101Xf5oJpmGhuyb2lssSjdlPLgJ0yS3uM+N
hYRiWB4dds3BLRdVx0W1FGg6znrZygvU+9nBKnbrLvzG29xiUTWQd+JpHws+tl9d3R/n1u4TTWJb
IkmIVaqmWivQhkwkTPO/2mneF7ttkSQlaZh7hfaBpHrJ6Ox5nfTOR78O1T/OSqPmXArnqYzCD4mr
ZB6+7nuTm3Myoo2O8xkPRlMHNtgm1Vbsi0u2KFIAnUm4wtv16gLHEhX2MzoloT6y74tvsrazR6s8
8GOVOasefFX/6MJuH0TF2OagHPlaRTJXJsMCAkBFgNKyBPJg4763uaWR4HPhpooMdeaqcr2EBdOH
0O1N6WxxpLmohjgYqiZTqv3Ws/ZHH037RP3ZFkaqvVzXejbrFVYkYbJQRxIq+b6YbcsfrV3jqIr0
etWsPXCdf2SsvJVWeGNP2fJHndCkB9ptMo9VX/MVbe+DDnZeY+lmdZJBiKZpLL3acZ7rNOhVBLl9
5fZ5S7Mtg5Q7ic3K7+ss94JvHvQ2FFE7I/ytwtNce6T3i8igkpxD87Ed5hOT8a122gD70x+SOVsE
aRrIACGzuMmWtm2+TxUn7/rGyveFi9l510awFXoS0AjlYmUmW6flW630A5VkF/vFthBSTzuS+2gz
zuJGywfeRuSuCjp7Y7r/PcR/GJwtgBSNgZrnqTYZlL31IZp1d2INX05FvfgpDbhLi64heeLLcfy4
hmI9T5jD3ydvGr+gLFB8oTjf8wN8zfNz5crw+9wjxRH6fWnO0KgcUzjo+PmRkqA/FHIIT+sQmMOu
Ud8CTqy00ATEuF9RfDrAsK9K+rmi+y4TW75pYXIJ+ATtVGHXROn2XI23+gH/Pn3+NOivM/UfJ6la
OQwr/KbJpIctOJWgoQ9QZrTRRQGTadMR7jBBSlQH9Te4fl2AvHpt6nn5nLq44Meh4sgKBqPyDrQW
vkrQ0jF8YLVPsrxw8lwWjhwqyJqcI3SSf7GdiB7RpI5GchnH/SH3F7wY/zWqMYz7nyabl6eABv1D
T1Fe1nKY76BW2GR5192qX7yx922hq3yQleoGDGeof/ZTnBG7z0CGbWHyCB4p1rRDg7CEk5fOjXNC
xzjaV9vcIl1ydG6MC3xvmMc8htOXaifIzLYaVzF8S3A/QHdSHhYHND9+FV6wDx5nW5irqWAmmQde
lXVz/z4uc/hq5Td2jDde5JbkqiKP1mgiLLNWTVUyil6d4d6zr1mebVEuTefItHVbZ6vXsYc5amYI
qOx0XWFbmguYUhDnZSyzUEWPMJMDalLvi2G3LFdOZqZriHFl4CL/yr3+4+rzfVNwi3K1DvavnpQy
w9A/Rx4ympGe91niwjPt31uRVrLh8DGSWYE7SbJolMfaQu1LQGwZLpDofuTpybty5X2rRmR80Cez
c4Mmm/t2MWpvKdbRu7JFfqZFk/F6H9nGtuSWrEteFQ2u8mM/qIfZyLtOs/B516m1ZbcGb6nDUrgS
yO/wSIx2iRrafaVUumW3bD4HEENoi8zQcj7Y1sAyoVh3XXfoFtNipuAF/MtQ7fRlfkQP5JJqbXbl
CuiW0jIMjnQesrGZrr352NBcJOgGe79nzOmW01rHVqwzVtEVWavxLhDretA93VdihvnCv9fQ0oip
tqUvruPKuweNwsyF6HgfvgYzt38/XZcLlKZhM3bt+ezSRgUssaXzdmXy6FbQyjS9X00QiLwOflyl
g78e5q7cx/XRrdTUUkSDH4WLuHpNIxLFo29BO443aIU/H0R0KzY19NDzgQuwuEqPlY+5x7554djt
nI2b27cY/boTBLIBYane5w2bjnWw3uq+ep0X/x/+0S0vJcq6h/R0Hl7RVMlPEWflFQRVd2ha5va9
1i021bW+V80lCa/jbP2D39HlQzz38af/Xk5/Xyr/9As25Vi2rh0jZR1d+2ig0TfuR9H7qY5JUq7S
v46wEUlDBtE41+XVMzc97JkGf3m/lNy9jDCa/TnCEKI+8QDqnnlds1OghuldRHPyxBGsnmD6RT76
Oq7OLlzj1EIh+g4tAbDHXuFN+98/4o35s+V1gtL53HVVcA2Ybh8hVsYehiaElMu+x4f/XrbQ5wY6
k4fBlU/5l85r3vsIUfc9erPf+B6mzGssc/Vqf7muopvTIoxvRepvzc7NfmNEDKG6bg6uUOfQaPvs
wjWlYe+/86UzuwIDulW4GmkAZ63ZBkhWFMtXYcVyjOryVlrudRb+aXZuIoOGwNvQwFfqKlETf1d1
xXynsHkWaWfjgaWk7SE2FHJ6S5/y9ZX+6fM2mwWKn9Y1axdcp1jEB/S0LueSedUBkibyZBCm/Ljx
3l8f+IcP2gJaxF+rUU2oD9Ha+u59w4Xq07Y3/kHUvU4bqJAnCwua94UOCD/AMZKixc1vLN7g0MOt
IH7lbmkf8LuwUvyzDObiQ1Ut8QvQr6FJeOcY1qMmIDfWCeU/ONC/BrUvgtTlkxq94gwFrulDDUGV
O2v6ckhIYcIMaYOPq+LFsSmb6qzRUNPXiWDOP8eLWc4d88zHmjXefVOH45TA5E4lTS2HzwWFJeeN
wXljbDbsiYHHcC27fL0aa6Ck6Jv5GEl2I1n6xhveQmSsdz1yF1V4VVjVZwgRqFOgeXPUVd++G+Si
blSo/r4O/+kNb3aNchlUZ+IWRwP0icldq6cOhh/gJZIJFkRHME7mM6QKuh9ojgiOFS1/+bTiia+X
OpEohJyHchE3sIQ3Nsj/o3l451cFuOHr0Kw/B6jSJLnG0O56XVugx+saaP/xnl65Db/NOqmH8ca+
/sa72vI8zCsqFdYI3oln5sQZ2aeETEESrVykPYnXfRNuKwUEo/RQ+nlH8aoqlnr5eDbRTl6b/h/9
NxQdpIcj/4q1FP1uI5GfeqhV//Xfg/+6Jv40yzZbvLUL5Lmsz69BHcefIjLOV6ZCfc9V1ByHomhO
UyuWa8TFtCtBSrdEYE/cErqq41eF9OuVY6oe4KmY77pS0S0L6JfdUq6j5tcu5v1VGuMnvfTj9/89
Wm+sgy0MuDQhI0vA2NWsszFJ3yAiKSZBP/7349Hm8saRG20OECS821oiZXxtSFgWPC0V9GH7tCHM
4zSJIXRC3q2TC4efEnns2CRqVTOUBqiaPIgJSUGDvE/WCudBm8DazqjwuUBx0dVpP/jWlfBFDwXK
dmszLH6VehGr+afx7yWYjDPKqL8L28XFnKCMYNdHFVZB8QNiBhVSU3MB4wg/aVetzCOVU33sl5ie
C6ioe8eBNDgsZmflRaPRVxxLBoXjMe/6M8r497RaFKwIDQydXWsCknJdBgfIN0IYzi9xAMcjWuAu
nSeC+xragi++JDk/kFWWU2LzqjxBMPl3Ib31Z/4qsVPbUSUdicfPeTTnj01Rh191PNunrjTkVEZQ
RZ/WXKvfy7D0TVLPYZ0/9ZDP+KKFIN65RJd2/RTZAdMjGRD9aUxyqbykYn73FMuqPwyaqATqLHjH
S+XEobeBxl2XdffSlyWcmLs2qcL6fVut/D7Gb4BgdDnOaT34+SH0KpVWyuqXqJ9hz0j7Ljq1eJ3P
BBIz7jGu87lJ88AET9CIz5+8PJKX2mrfSyy0wNNqhSLwZa1m2r4Hjg2P9lLHXzwFSTcRFSE9ME0/
8kKSHzmnv8Olaq6tkv2nIBZFk6AdicgU/Fh1AMEdHHQ7DIeej/akRDEAAZFejmRyBEHB3g3tp3ao
KTxA6hIup30ZU3uZypWSp9ibAeGXbuqmi+rzmX3smraLjl5j8O/tEsyveWhuqtRFob50MvTv8AIa
fEujANfftVMBYZh2QvZnTCSs+dSnvBATlMeGKl7KI7bNRo2pZ2ph7n2Bf5ow2bh07QvyLHVBeFqj
o+qUF42Gl66duPUO4zA1xd1Y1bJ8MrPtTxLz/b5e4IBoWTvA4i5qo4MZJEsCXErMwdS6b1+iStTk
FAxdRE4mpiw8qWCO+/zQ6hU5gQRJ9KZ9MpFnxUPQ5V35yXRdSJ4a4a9jmOSIHElqSlN1Fb5JV3tn
JA/palJpUEq6htzY+kSXYepPaKAt2Hc3Ork+e7mBL4wEtt9+oW6pJjiDNYxOXUJRsXBJ1Tpn7ikl
NbufUZiSP+Ra+PLelwP+qsaYBC9wsSFesuBlBKdSBiY8saGPxWUyeS9SQ3IAZklL4KKTumGJxUNu
orj4GoGN7U8g3aHLIxr8g8OqGw+iBNPMx/wFHhCQ8wLsHU6nsmu5/AWRrwG1PFzOXPHUMkzEs7DO
hdemaRVc3lotkW9oC4sq9wiDWfdcCVscVe/lKOp2ReeiZIinKfxcM8bar90C68gXwXWAiIUILE9u
/ZZdVsOj+beipefQbTnJDoLus1fcMQ0phoNfKlXejWHZjr9Y3Cv2IIiqxq9VH8/iwlggvY+F5i0C
yGaIZgEiQzGeimhq80/4V8Y+t12wkiiZmCfMo4zIYM+QXAztkeuBmA91xGf7EPmY15AF1l507Gi4
tJ+hr2UD3DTrEvMYNhnxua1s3D2srBjLS6yU7r6QVVD9sPB2KPzU9R2xRQKTLhbeRZAgMD/7XL32
kzToKjkrH9okl3rWS5G1QC79S1jGiNzBcc/1ejfH2k1FWgVBIw8jmfnr7mp9z302a9iMp9Z2Lbun
2I2W4NjIJlfXSqKl6rPjYQgFoNDEIU2MmXJeJGilA7ZTY6/QdzN+k3rp0XvUHPM4H4I7NCwH9VeT
L0N0LWEzeZJ9GdTnesLfhwj52uRHqIGK7iWnsKiqE+VXtLkgjFkmfQiMI/UFDYdyNqc1FpBUX2q8
mEcv5KgGwmHW6vCMgwh9A34s5Xg3NXYyvyK4fIYX2qA1MpEQriiSoQ/7/tAOVe3/XHvn2bP2IV6n
kr6P3JKEZeAdisGXnk6Jbjr7vaHRTJ5NbSoD63I0ShfQmfJJVyBNFSKNNNSxImuy+g0OqDjQMv8L
nbyT9y7qfN9eDZR55jPXdSTu/cp34odqqO9/HCFpZE4qZGP+hfn9RB90xLvxHVeYpL8d9Vx0V6J8
25Gk9ajP/+KEjv2Frdwj2WDcbJIAxH/3K3LOLWXCHAw2P0dUDv6pkcCmH6qRhPP91DFcjpLaFaL6
bkebx4/Cr4fy64yF4MqER9OQfxSLzL2Tyicanmi0zMW9RAOBl3Zs8YPyoClnkN7zJu9c9bYLsglV
bPkduSNad+hecr4aDrmkMfIsBIcJ+QEnPCIP+CBdVYfXxTEsac5RCpoSamhPoiMN/aC6lxS23zJd
ocjhfq66G6rvygRq/D6u0otwPVvU8lE0oio/sAaUyC9bS7Y0h154oQ1OoWTIJx3HsfXFPRTkdP9C
lUeG8qKhhyemFL2kY3exZTez4tLGuVx+aeDqOB4kHOTyIxo/Yy0TUYdtMCfhqmUQQhgZXcc8GWnr
uXsqOpknJs55hNM2z4e2T8J+7AP/CC4gFMOhZCZo+DmybrRfBwkhneA8wREBcpwLByn3TdmgG5c0
tA7Fcr3kaARLxGIKFyah8T3h0AYk53Nei2aozjn6Agr/IMNYeOaK9LxlL9RBPHBK2RyH3XeljW3b
hFV+Ka9N+SoqlXLp13pNajFFFXqXXLuGB+FGE5VpjJokOSvjwUsJanVMBXcQmVyqS+QZ3/0OSBtG
54lKrz2XSD2JQ7CG/ZQOkVYImGY5lIE8+U2UFzWKMi40x1C5dTnX4VTRr15emuE4W8F/qzUy/q9I
O1Zd2hmGLSPlNK1HaZ6pNwckCStf8TNclAuRxQUlM4zcAjEvl2D12VVA9XrBeT3p6pT3niMfDauK
9RjGXh6oc0HnyrtfBs/5P4Sm5ALNNq7OAj616ggF7iFwaezg0vcgS+LTh2ZeoBWUIktHQRN1U/5c
6MKga1w716EBgi13nu3NsZgs5GpbC4VDBw2Bc4wwqv+GMi7ANfxkNoi7voqnLk5KM8fRUTAB8ilZ
YYtg7iZEltg1pJI2iaGA+SLAYJkuQVQ1cXNeqpHSd/4azoV3YhHp5qsOG6lePH+AhB2HwRjCNSxd
HxodETNx+Vfhsa6/CBldfcGbu5JCYAo7bNx8ndoY6mTdsFbyoKKFirvAH3qB/zcYb0g8ZOHkX9WS
o/9idaVXXhFZh+zL2OPkegLkp+m7vF1JdedGgQkYgk9AYWNUwajP8CLv8E1ExVd7wfubq5c1DOB3
Omj5E0UnHIYqXy8F7BV/R9FQ2iGZnHHtM4Mut72P2nJRTwxtScHTMiO5+35hwHAv4BS1LBNXlwHk
qWu2LCdYMgzNr9j3veBUFyMRX7mN7PQ+sAC93+eF7vMfCt8V8U4VRWv5LR8jWKYDGF7L8GnVsWrQ
OlnXI8EvI6FJSlJLNFcMfMH67Qc3+ykytnJJGsKj4k4gv31ScwPiCfpNrTzTykUD9oq5Uk95aAsP
EWVN4HIJrEHGGsjI0QkBI+IgJPB4TInUvffeNp1spyMKE3nQXupa1ec4EjiqxygXcZn2sfEYgrM1
iH7mkGBjXRq6diKPoZsCeUfnNWgSCp3r86q5eh8pXcBkuYpwjzs1quFSJBOxRD9w0Zu2TColdPdI
86pu/MSGMP/F+ez1dMCL8wq1PkCxtLRNqtplSfDnHuCqOijty4ADAtsfQNq8n5NikObAln5ufwb5
4r2EK8ftXUNmLzMI08cVOxrtV+TruFd8wKyF/mkEWcvpbhAIohO0ki3k0R87gWJsHgdxcR/CDJAj
ZHCNsEc8uL5UEDKYP5RRG0/zQxf7bfc8NfkSHWpb1+QFgYIkaKWslrE4eZqE0TsbI1o5mT604qWP
23I6DzbK77kY0TYcB8UZIVdRofWEVLE+A8Fm/tOKMFAfW4p51Rx79BgP3Z0LmqDtEFG/5vdK33kP
0qrO/R4mNUZ/TZBa+DSFVPzC5RSb2SleNISGHc1ne2ghNfpzgUVTKlFKPI0DtGbytBd5wU2KzYe5
5agmNPB0Z26RyejuChg6d0dc8ONKHLhlevpQtmUxjQdUZMeuOHh8FQxOALan9jmIh4k+w8zW+yq7
SQCXKXAzEClbjKzEJ9yMoSdiqxYegnCggjdtlCqvDz2oRiG1yoNDyc0I8a4xHh/KmZHvAwu7sk1n
5SmaH6hrPT9KtEInwJfO59508NhsbAXL8Sl3D938P46uZDluXAl+ESNAEuBy5dKLpJZkSZaXC0Nj
ywBXLAQJAl//Uu/mCY9tNZtAVWVmZboBgS22Qye7ge4iU9KuB+/U76JXhWtHnAj2UuBDbHelzh2b
alA+thm08ltF10JO1RxlX9F1C1xxE4y7ato/JDY04rMvvhJ56vyITPSOS3bODGbXaPRtEIhFcVVp
koOySisYK56zUTBx84dJ04tDCumG4HJYqojK8hl0yxrATLBXpPuM5mGGLWZSwgVwQyXtSFrlZpQo
j8AI7rLpK7WUwpmxLdzGmiXladKYkRy/eldE5zxJ6NOy+ShqogP/Dew9/dTYqlYnO+jhhnclu6fF
WIKEsj6q7a7S65z6/W04Mvm65Ww8KviZlRjXAGTaKgZb5CsCuyBZvmWUHqAhFvWZDmvqAK1DcqLN
EaqDl9m3YseIhZYENnQxxsJzj5sWUrRAscLnxuc1Nbjhjy6kd72czT1O1xrXElE6ALrLcB1hrVFn
Nlh0326/MGLRoBwGQd++mGuoqM15UDtvYhbWy5qy7pzzzt0NPS6oIt5lrWbJbnEMwCYWakDDBmFc
QTsD9/tA2nw1cQVPvrEuktTVyDyU532n6te6r7i04CzWDF0et/CiytAiLHmVFu6HseWIsYyicbIY
ucO0klYMuDO2JA/1aDNXFRJRpj4F4IEw8vdU7BavHITvuCi6NgJ+kuAZRN3JjsRgYpL26qPjD8I5
M3SNHAPbnOPn6eV41PGxdnj+PInXeh6tvke6fYIpgG7/tM7i72rC9UH7aP81ydXVmprsGfFtw/ch
Hborwha7u6HQC+4TvVZppLN6HmLe+j6Fe0uczbyFahxtkyh1dMGm8dZ4PaClQyCG/b35oahUB/n0
AJ3IG7bGwDZlKT8VCC2+jApNIIR3R6A1i+YOpn0Ymz20R2dovLL7BPkRqmK4Gs5c7hnyddPUivbo
aDHDvood/1Ft0ABjuKXPepQ9xv/8UJ8QT5LLSiP/QrH4eZY830esPAQ8NN6zhg+atFOq1Z9ld8X9
lmXrKz9Ugjc/6UGmZECSBV6Gk2YcvtuDohc28LmFWTZedDMvl6k3PtS+tO40R3oUFdGd+OTT3D8N
Zcp/SjdmVbJH89ymIpbv09Id/jTOw5rd9USOp3622dbEdFpeGefqm6IT++hi1f9DnluEaKkMjVlZ
FN+DjKL0hjVc8bSbpbu6RJRRdcB5osFiOnoAP27y3IME+rC4B/UlC4C5mkHw7jywDomHVE1E1KHv
/KUrYy5aSaLIVTkZh7hRUjKAW+vuDaCjYVuaEeWr7ULn41/rfKAuV/3kyX1M82DfE2ZhuV+yPerb
CXPM2mJap7RaQyke05DzWxpn44bw1nwCiDT7P4T4+VcGvcEti2D2hu8OIyLGyh14Aupk1Nq8MK9w
UYPHp9kQdfKv64dR1QQ91CMfkiODpNQiSjwfw/rMY7SYNgzbnd8SJH4tcaH5I9gwNT4GtL+8HS3l
T/DlXMomcGT44qdHf1EXKPUfWXbkV+j85CnJIvOvs8QEYJ6uu4O2V+TVgl6V1Xg7Bl5PBOlldQLR
+VOaOxwjt38FmeUxgwnAZCLHTsnBclOZvCxhDLvmasYe55Dq65Sj+rXznOovU3LVo4Oc2TeR6DW7
RcYWf0neL6LOEG2FGQ8hxr+IojneYjAApIUgBm1Kjm9VtlPh7W/0eOsPxL51n1KblFVxEfGkzhxF
ayy2ZYca/MCUWfu93DcclpX87KXbHnEpxB9GC/dpQMs9uwLLgxUhI97JyAV7c67M7pzg4k82WfYf
Wrb8x0LmHDMZX/bo3sP9/J/o0L9ViaJ+aDj6pMc9rCLU9EjL+5ivCS5zuyYvo0X3VhG8/6IK+8Tv
E3QgotbDkqyn7ljDcuIr3eU1i+V8p+MvCCTHP1ZW+CsWi75zBqgxaTHVKTYh8h9I6aZTw9kGoXGC
JQNWbw4ZhI+WkRFeobnCQtrzeuS42QqK++85hK2Lfh7o6u6YOWw7wtwuawI5gLjC+2gsWwg87Cts
EuGiT+hRMETRdLz8FsC1XoB4YDbDpUg6AEPFJB+0JUTX+eIjKHM17gshdZb8EFyVTyE55JuM4SrW
hNx2pqZI/DGN1d0aNpSDY9WvU0bDH2thxHaQYqVt5OflJUUM+e9IzvlZmsL295tO0f4xTcf14l3f
v2ehT/eGYJ795mCm+TmEcRovkNiFrTYHoL1TNmNtEwsR0/xrghz6CctXy6PKsbXTdkwK0wKzyPZ6
wQzC7zhQ+e2CP1HeJZAYLWe4IGRDQzMj8T2RXvP6KIhRbZZBY1wLkgvMHNB82MYamn4rnccXir9b
6CoXS3giM7TLlUSxQJhHeqBkSZhlLveOD+6jZ+tqKu0n8BmZpsWZUGMBoHiPJpyuDirkvR9dDnCW
i0YgkTm0fXpwedeHCSd1hFQjueK58axlqR2ufQmGzy02JtcEj+4j2hyg9wmNya1MsZlw6oha/TUf
R0mvS0nzn2aT+/icZz0i2LcxLDgQqGyZvgI8EGNrcgBklxAde1bTbS7uO3F4bJYgpwSwdrbv8RN6
L28xJexW1MV+kB4j3LC7ptPpV/1NOlmWF275+IP2RKhvpY1F9C33ceJrNOjyOEergkf76PP4eduX
4WO0AYM06z3gTFi6jOBWYhr/mUSODgQ2PytvY6sgwibGpNuNEsosZtqdHE2v+/xJDdH+n7FbD4eu
UZYtJjwAK1jtUROCoMT0wfYhbfKwDQledb+LZsnQGRgMZvJUlE6cDdYt82rsWfQn7Hl+AyJRZGef
an/9Cq4c/qTKkJfd8BmzkOnmB0W2WT/nIiVXQJDPYnLpU4wwyjs4w+HJSi+xW2mSLgfYuMwiPS/r
Acnq0m/8lyonP1QkTvfrnNmB1kl/8HNI4GD/0yKQoCV6NWjwpXtQdKCY0t2x6IYdjJNzlMfqh1Zr
Ujboeo2Edl1u6qz9PqIkbxjMKjUmRSsBVJbVLGMEhOxUqFsSF4OtVnSWc0XT2b6IBYYPuF3cfJbx
FP6KdAMrPAkYvD6qZDe2LUus+94xjasfKG+B7oL1y/rlGRShWSOJhuFIZVlPRXNkQe4t0uXL4TJm
pMhqoKPpfIId0+yahWR9WTuORf5sdRk4D595WWU9EJsqJg43akqX8pEV0VFHtOj/HOk47pgxerKf
BmJkjlTIAz0P8fyUJUs5VFGJLBRMDjDhq7iQs72GRXndLNKLopomZBg2s4aEDRbuarzmW5o9Abdm
zTCl/LHoKN6TpM/fM5sAryow5lawvujmdx5Z+CKPRzmh1RvK/8dy0WFsGOjGr48CEUjlyo3rysWp
PafLEkg1r+nUHozNv7pN2FPiNgz9Yp3Bs+yledmM9L8Z2Rg262cQCLUzaLnbre9xEyQFK8izgLv8
2xTCCA+uTo0v0Yg4pkddIE4Gw7qD0YcENeFb1kUH0FFIlNVZImY5rXHw8qVaFdzjK1Bp/kVy7bcG
mD7qQLIB/6usIspeCZ/yD16KcfkXUuWGCuMl0AKiJB7Sgpzc+86kQ1IvC12gx+1EFJ51xrvxbGS0
a3TItnyAVt8+dxvM09ps6Yui6SFas82Rl2OoTaf5y4HNjr328Fh4A7NmPlWce4SmDPFwYVM8nFHn
UZm4nu9m4GJYcsLU+MUs7OKpd3inYFbnJ3YvtBPrne/zTIFQA85w2Xg5H+00+OlDA+xuuez6n45m
+y9Ywvq/HoPNHQB4vHWpP97g3oRdwQnLOsVp7DR92jDaXHG0etf4lOqpXgwWljDdTHkK66I0Wt9i
SW12zmY5qeuXRN7XIAfc40KhC7gHgbWUv/0RYrBxBt03Lgwzfypl/B8TRMJPjuzx28DBjvFex1co
F7L7zcUdAkYVW89H6Hp06CBjPm1m8Bbw4oghn0lVDmI405h7OyS1sgzA345dkbfCuaekY7SZGR33
CxoEWQ2JF+gptP1bymPdb0hbXZJ2yXi4H5HQdi10ah6sm9lZkALhw4Dl4INWeKQpNYj0Pa4SXzQA
UvjoXud8RYFDN9ev1XxQA9gBcClCHLEocYa8PvkrNEiVao9Azth+2P/t2P/pcdXvYyV53737SR85
Xq81lw2PzI6Lx2l7Y9HR/5tpiSaYwfGdIUuBgmXJee9uyi5aXqQtxtcjEiA5sTT2/UBpQzFeQw8A
86AggnWx3HVzGb/4KIVDoohIu6tEtjEBVzbgjsFFl6IzTAuRt2lC+F1Q23JyKf75mFhxWnsJzK8c
UWRmkDzVkhfiBFhY8crle6+bDcjayziWmMRgswnq3ZDupnqJlncfD/uxD6NuOsMYqko0zZUqknDq
ejj8gbPiXS33Mrm4fNnf82Pbptoa3CHYOMlvbs7VJfXdQsHt9NkTJjDw3SDN6mViBiBAx9Nf69Tv
Jztz/g3KgaKxWe6aQzH3Y4tW3ySgnF90Hk1PM+JSasCc8iLyLnrHaYdclMBDvwIaFp+3zpDWrQAQ
UAv5eUq3ESeo7zCWFAhEq+e5x7mcw4IWzmPfI3PiI4411i9ZITG69dujmaH3LDr0vXUMauuSrMAA
iOH9bUuXpAIkemDktDBLPAw1FRKu4Llc0rTxs37ZoQppkhSrVOzI2WWW3XGhMcjYZfH+AcOGPx04
Ec87i/oLJEnsOk2yONloDme4jkwPdmJlu+jhz4JVthp/FEtZynR9tckRUate9r6R5VE+jwMj766X
SQNikjwB1J0eVT/Hf/Cyp02gQtZpunddc0gCloMnvJKpIFW3hK7txn34SDkww3Qm/LL2sWhyHlbc
4lH0AblZB0Cz/4h9Np8z1xWnvYAeC+8F/Ztj9XATbUgBDzYDQrK/iby3JyDSoEW742hSk2/n3Po8
qvpu/w9We4Bmhi1ctaR/0XB/au6yF6zpIiAZtgKPxwDOygGnfyOc5GfQvknTR0d5LUoTPa5Of2RK
qnbUAuwK70okfILawwgyoFoOOX0DsrCeAVqNd4RhaQ2iQ41C7ofPhFp5AQ6ZfZuMfVvzqX+fSIZY
tg09ADaU1g72bON4D+fU4iWe+rwJBnjEKcrKuRqFKZNKSj9X3uak6Zb4D/bKVjzPnTWhNDP0K8Jn
ebtga9fUULIsVenY7moB9YRAscfqQqNHyJr0YfnzEfW/kgEuYh/CLekBp9CcLBltObId600EMadn
ZzcUwjGLwMc8az8Q/jBva5JGJ59htQqolLU8MByAme0/9lAeywVtmz9eAaUOEmSVN7T8Ltad/mGj
l+KJiCPXrYwLb/71Pg12rA43MtWIVejkFkrYKX8UvSbyDo8b6+osgZIANLdR4imBVXz6EMw8NpTv
c/LDp3HQd8kYz6AbU+uEfimxUmZQ9vYYVZJMOnbfy80I/VlELtO+WlQfG8h58RvoNmB46Sq4T2+i
3ujAgen6uPy92Qk9NM0L/gj6c4xbsy/d/7cRhzbJrX0Tbuvnyq2Fidpu14OvAermaC2phXQcFREh
s9CQKpmID69HCs6ri2g2Pfa80+8YKBV6pAnXzVz3U/DvBN7g5lvZF06cYGwVk7qctLoBVEkgZxi7
Uf3bod5b3tTA/PISw/Df1GWPwn8g/cOZoepxWIcHuSo912UMh03MnaCxaIWyvCxPi7UBT5oHoLXV
6AFY15OLDaiGlEIyc1eWKfUP2Pfs+E8bSV88odsi/bt3LKgqbFS5937ReJmSBNRT3KbeJb9AvBbx
8wiQhf8TsP/7t+VQYsNiDkL1vtkZKTDNSiAMV2m2OK2BNIXoGa2P5e1aiOitdHhL4H9LR6EJhAl9
PnaIzWYM4dnR1i9IdLM9cGPLdjg714UotuPVCpAzTb9C9RRVuYTQF1paaY8ZtC/pyPYvdgoKvhZ8
nqTs4ZgE4oLWrIP0AXXfmhbZxdH2c2TR4j5LQEpFAuM8cyCpO9ng5XrUGmUdmDLKUw/ybz0U/5EO
ERhx+IOkRXSdlViLuRkU5GZ3UwLJ0QgyHmEDt9KzOb5A72P8dTXROssmX+dielwPc5TnXAyF0lfE
R3G0RQjdDb/pvs28diTFtixfNjBNzTzDBfe7ALSVfjsQiaB0c6z5lnUwy0D8OnxT48AeEeRRbiCt
Eyg0CMUT2ivWQTCgqijix8Map3k632MmxbRbLQnM0v4yzxhbT+me9QHyHyEBWdxjsZdLczr6HRjY
Rng23TT4sOkPCKwl/FhxYbF/Q2wJiMmsn1xPLgRroHRGr5BDKwdua8Rnb2wy90XchjhbFsxOwkYW
DqYhjoA2nGd8mXy64j7BAIeYO5mEn4TvuWrS1Rb9+AKywDv5WJAkn0kD9xEd/stinh0fU76JEQy3
z6b/DiACmz71acrFSRX9oVW9JizoGw8gsOE3nWGr+AA8MJ/D1+78iwrIGgQBv1tdgw/lmIxgJ0mw
FDpgP6GCc2LyD3j/mLc4fVOxN4X15gZV+rTcYobRTJ5QS/MCyb8bw3ziU9wTeNLzpP7DYR7ojdik
15V2qaOneLACp39ERGu9x2sB/xFb/uOC9B87+p/DgucSrFhrJGeWMz8rysP00mUrynUgiLHCZZIN
V5BbM3sdi37rnhyZdnuLFNSpdzCqQHpat5q5gWadtUiaZ+hNdl38FeUwltWRDhpHlKOtQMuobfQ+
486WLT7/tLU9pNET9ueLtI0zErbHjgLQ+WA8ZOo3FF/JX50eoQC0AAIVsLYr6AMDSY2ZA9RGeu4y
A8FVLMvppVB9iQSxIyNZ1uwTSQzsBOj0U0Bksz2VGC98DWI01zchET188inOb6tKkMBVuh1BJbUW
kBS/O2ld2pYxOdYK80N48lK6IKsdCx6hHgbgr88RVC/sBIoZwSxD6plHQ3Loe53o7ai7burEBZ5x
Aqyk8MjLweHBNqdMjhfNI0d/EJeR44Mg3jpu/IaBHODo7t+PJN4NmmPYNv7a41KerYNiLeVZfi1T
C9iPQVtaJ+OEgJ8iIThKADIGHPQ+B4JdIkWjLlHHQiMlVAAVCyKHhT5egOStGxlQIjVFExzoh+l5
pYXOnlZ0u2hahN0OsIXDfDeOfR6uGXbcr5CvZ39YeRDRQrBBfiZZvr9yfLOwHnTaw7N1zqAGzYl5
MdAI5H8zYPP/dR1Oy+UYF7c08EEAMpgTtILXHOw7vYMoYf9Ge+oB8s9LgbAlRvZHN0bDeD+MQqLb
SOftg6oyPR7JUarf4PKOv3OXz2Ndqk7QSm6UgtXj2BOJoF6tXdntRT3sg5hROJCkApgRv9zQCYNq
wpfFqz5E001NRdYufN7PrMiPAV7zDjAE+TrIMinBhnhlfgtnA3auQKejVuyK54BCk/E9WXf5OYEo
/AsHZBleA2X6t4+wdvBtQBRSd2/MGMFj2Ed7eerAkJsWwsmgmnJZZzQmLhXLI/OwQ6uXHiDKCTtf
Q/SSQd+BZa8wmv9AyX3pjL/g+rU6DrkB0T+EAmU3cmI6MDF8SGvXb1DAMZ+WEhFeRTqioDLSPQHA
xa5XBb3ruP5DthSPWwEpC5otUm7l2CzMz/E5UiZKfhLZSf2OU5W7r/0HAFxOI0D0qQSMbSp8cXP+
uZZq/K+PpY7xDoVNnODDqbJ7aMhQqvsVe19ZOeq8DlGcXCBQGlbsVgJYsKtU3/Ys0QA3DaQK/TNP
JOUvAKqyF0CwI/+brZgpyDbsPyW8G79hxfRY6jjD/YCVqW3F3R9tU/TCcXd9o93B8zrPd1a02SFG
yE5zHdH+3k0qnX6MVC24LrmI2MVhAMsvZQHI6JRngEdOUHj1W8OJg0Rl9gV2dxjX0Pjk00D8q8bv
HqZC3gzFvZTTpfBri/QB2G2knOvkbT4A7h7nKZlD2oxY3HvmFikCLYUqCe9VmN1cC4TUAp51SQnh
SgVj+Fw+CT+K7vfEpoE9ABDau6LOVFfQCiBS0G2qs5zdCo7W+AnZVOY6yz6lIKGNxr20DeV6Zwvv
3tQaNMKGWbKKqtQzWAcJivM8+41f8xk3/WX32+oQxggBHwgO3EP3yq9IP4d8lIyvElUJovaFenw8
rgBU/mRhk7R1paL4MXa3m8aFHp8i6+GAmm3d8loeLn8jZVb+SDTe5BpxbiT65w8l8Gu2dJ+JTc3v
guy5PB1gsPZKdOrg7RQAHdcR2rLsT4K7LxLVVsJl5KVwGQvtPotVv1Ns9kenCd4m3d8FbUb+Iyi2
fzM8me4jtDovqyo0NCijwfc1dcyDY9i2vCIRHVYAx7lf8dZv06LFM9XLRJ72GDrUh6mz0YOaoWhB
5Vz8o0LIfAJ19jCOj9oKcCpQfmLhahbT1LI8EvABmGxgYMtjnr4t0M1dZWwz/rzMRtQOU0KlMEzv
lWNZeTEL9J37EumfiA9ay2riiXhSMax3nhluRdGEwcpfmEw4BACaouuSAHGW2zhPBpljSDSaoFsa
B1GTgh64xJakhC1MeiS4owoRfmU+ljVky+v2JZdPnqd1JfzbvA9GvhYI9ByuRkz6q/fHUamCTwEv
+T1lL0dme2ivEwj8zgLd/2yrvPMB2hdgla+YSErZapPsjzRZ2I2rTl9L9AsQWpRRkr5A0XLQBsPW
ur6HKYG8MnfZPL31qiNL2/MDip0YHAwQQdet/JEgHeFpjMnCwDCM63jirpuLy6J21j9AxDcAIN61
7f6BUhjsL11OSr51yIhmFRopi28gzOutAyBLT9DA2wLQ477hN1cr9dlAKC9QiMAxXUppd3edoOx9
GbZkTE4qUd3UgBr2/DkOHahuEUGM+TiDDIPBzBxjNq9SmRD3EqINr70aubXYkkDlYzcQ3PgQS59A
qDjgVGFTnq1ZtXTB6lsKy/z5QscgAggWCy0nMPJwXmU0nyZofK7a4aqoBuxb7DUaVfu4IvP6zhSw
5Fmk5N/KfJV3dk+QrltGGdRAkYd6yoBrYS1DuumNg/+q5RYhSVObLk1/oqPwWZ1HVKZXGlj4Nyic
ojcXpv42HYn+vWLlhFeDRMJZjXHd+Zu1ZQZ9BUqHrUHEQvmnPImH+w3skGtnHa1XB5dD/Jha5s+s
+7LCjbZ0e/ST6v8zZabO+WEJ9pNsepALJPzMnEoXcrgLBjTJ9fKF8twBy+yA43QinCkCTffPomQs
r+nu4qXeertcIUMwL1pGVKDf9NSXDZMoXTVkYE4871uACgEn0WJUy8k/SCfmerYyGVv845qCbtBZ
ep/qSJXXddZmarAOhny7bsQM/gdv9fabB29b6LywjkCzTppWxTNmezrNyX5K+KrQEEbHE9N7cRr4
MPp63zZYgtkYl1UjNbFnHVb5Fx3W2O5sdA+MxvMJG5Nbc6C9e9g4cE2JnYPfrpQDXkg1wggpKNnQ
1c7P8dCp+Tz1fnwCNTJfRHzMTzrq0xZ3WQLO8fD7yaAXqoYylBemBv+Mp2y3Fi3hpKAmyYitMeFC
XZoqfto4+IJvCsXG4AtE1PMrOZARREu1NZBUwMz14BvEqtSUUHTLMTeABYNDvVhXCk5Emhtlgf9i
ih7J98HENqZnhy2i5KcxQ4/QgcFND8lK2GsisuJHB+Ubr7Fj1O1VEYEkzrG8ulZmHpLPA+qoUJFy
dzfBpLtM6QgRzBxA0C7mCzaAe/o9DNQLjmdv0j+pHDN5ArmK3QHQ29Nc7wus6a88QD8xxwlXF9Kx
MkVLkMCxinD6gG8MbcBhOgirxljD15jQxw7Jxzheikb2xLCd83QIb2/4S35CtgVjExgRhFfsHmKp
dSzMGNed2MglMKiNWj6NkawN9HIBrkyoFUVY+ZW76KgUxq8L5OPrqxxN2gFTynb/khcLgIYAZz5Z
jSaP/CMEs9CFo+mLvmd7Cjrcmf2r1gd5jhNW2DOILn+0C0oi+SRk+0ppgNJprAFMQGPo0nQKjcWc
65+AC0OshotFM9VGIZ4d3KZj1IqAxR55PshCo0aDHRUvIJeQm7RFJQaLCuSeRmM5kDIq77pBdAZi
nwnTUQnFEbvP7QaG1KNAX3ANQphlF9VhwHRyf8Y8Tz9KtWZYOaK7OBAcTfl7BnHbHckj/czg5kVb
GoyMH9Fubl0TS0jkf5B+jAALkqhoc3egW8ZLW1w03gn0bWiwRc0wPoIWi5EX1mCpa/PVnGfSPIfF
iQ5g3hFrIN8r76DogLb2FZ3KvuHP9hwrGZNc3mBTmkd3TmHia9cy1t8plUeDC4W/IT8CrS2M9Xq0
330oM0S0gZISFXTauAgAJ+IWJyABHuGOh6YLrPze4juOPwgGk1ZslLETSiW0ChyyIXBeIzrpyrgR
yhPnobC97WhYsxrV9FgfYEavh1MMEYh/jje9xiBNEH9z+rqHkXsDWpIUFZugYqixSxKLlochy57d
gd3wSmXqyJ7KmeXhCUI+4a7QRXwlFxCcqtuAozrf7Tlb6cVz1WP2I4ej51J2sfhMsHIAv8CoB9Qh
QLi6ioxd8auUBc2ekbK7UhzqSCTYNJITbzJBEFm3Hd2Y1RaXwlIbZbFmUmlo3/Q3b1F7cfXzCSKs
Gm6NZKlXFBCQEVtnoeasfQqx7UO5acMgogWYHX3H/7vT64G1YwTjpsXDbKTsbrFJp651y8Hf020R
H1gPA9xNBXN5Y4xngG9LSovtHWwsXe5nl4P0AUwJ2SbkrBq67FSvJ0UwQVc7VqYS4KrQADQj1PEA
i9b1e4KlHXWa17wn56XI908uVHkSWVjVxaaYFyoEo/pTDtUnBzuzbY9a2m0+hd0X5mUJ2xhB9NJz
BEV0QhnR7uUy/olA4q+Pi+DF2lJa+nOWR85XTk4iqoavLQP0yzM/+a7vsTyCZeU6O7LiL3Rm9EV3
qn8QMgcDWogEk23heohNQrD+ZNBKHDW2ZIh6A2+LRx/xnACFh93zUPFpT7vLJtXcPaZRIF/bnnZJ
ISgnUIvdKAwKl1/Srf3Tsiy5R0hwxt6YQvwoZnRSDA8Jw9bkza0gJz75mGPPKywifzVfMi4QdOCQ
7ygQ7fn0P87ObMltJMu2v5KW76iGA3AM17rqgeAcZMyT9AILSSHMk2N0fP1dzKq+nRlV1Xk7zPQi
C4lkEHC4n7PX3sfK5IIcZczLmRtJcJLOp2XfdTK6LRbQyoeSgv3WYdOFIcBXt45kNy8nK0tzb+sj
c3/lsEWmnlXxFE1XcM7Li9nLQOEFVJDXvrZHWv1D6qxya5HcOHX7pQvaaq1Qft7d2NQcVciz2xvj
lLwkU1c9spoRLmVk7QdU3u9tKpeHeZbuyaq65ZtOs2JLJlJ28kzPZaIGTAPqA4BhqrLvBF00VVhY
UmO6lvPJAMzrwkG1M6pfrF5LDA2Ups3gXZc4Q9kh2DuFUZU4E3Na5J7VN1+C1DWQ04rlGYhxvllQ
Hw+F4eEdLKMg3WRE2V8Zc51ei2KkMl4ig+6X1xKNQylmeRDm8bBthTXuQEf6r3Blxs2UpCjskJhX
GEvbYIOhrfoBGmWGOGbo1neT8egnk7qvdTO/kco9nwRmldvZm485N9KOs1L7YI4te5fpqWEHfB4f
/VGpQ21Y0NVGzhmT+C9zI+T4nb4EbpwuyU5QYbjArFkwvCWQXwCHG1J85uCyMZZAOUx/rQ9LLM29
NVX67PEUBjgp65c6Bqo1uCLfkzGtf1aFi5ll7o3HGWronjyD6ZSP83BwgEBOtp2pH7m2jQPNvunA
S1HZcKxOzr6bB6d4vBB9XSQKSEKBzVNxLi7GRq15kvk0HkUVI4aZeoNmigoJkC1pj80wN0GGNomL
HhdMPLjNPZlM8wgC5hvtitKzvLMsAEc5GdXG6tPptRxLWq40t5JgrUeV7Ltk7imLyawPVUbRN9pO
um680mJLNYFOGUzbkXkj6XCHccGcdlpeaoAB9Nr43BktKIKK6iI0c/HW5Z5xYEBFdIz82fsyG45N
U86XZzSQ/pvOjAFow8yeJ+GhugyTdUJgmQ7GuAxXGGGqdRQofxMT0HhsBiNdGxljz5FFCWL1zXnV
c/K9uA/FzqZ4JYt03mKQevPga/f9Eox7iln7zW+b/qpbZH1H05Duq91x1ia5LjQabyyQW0yHR15q
7GBjc6wJZrCdMWES6Bkt3xeB0yzDDP7i9pX6FuOguUMax/A8IVQ2RjHuGNLWs0NyG0Efq2FNA8vq
Ql15yzP3L9BKW/tPEfpWvrZGM/6p88rYIARQs6JZXwvWHOLtEJk9p1KzOnc6lyKUtiMeYkO2M9K8
WR51nDcU0tlsnanCzGOD4MlmQxwzEDOqDUMXmDtPn10+J1r1Yd4OcbpixBgWaX/iBGEt3Tq3BiAg
uir6oTeGxt86uS5efNehC0sLbkM9BCvnjV12CxNGV4dGgXHQTVDuaxsNkDF9GId4RlcrTv75Gs/d
8N2t3PQVf0aH6OFNBI05+bmJk/I+6LRb35UOLoIkacrXrmJO7SrQpLWskt7xKXDwReOoKyCKrD6/
bnIbhAuwbFfILDsOZUTbm8n3MxrgrI9p45hXOLTVzkB7KTecffPHmUMh/B8uN8wYRoHCyCAyaTX2
S1nnXyvfbfEd9wMb4eBmTAUgJAVh0rWtUEzA1ftMKyDdZLBQoHFtrzlVjGuXngL40FDunEzLNwso
77rDS7K2/IqdlsvqsotMlEAJ2kTIqTgPucvmZxPIbFghjeG/c5kKdJDmDEzedlToiVGl2wkaAl87
eoN3xA9p39WTq+7iZdH7VpT5iLqcDFBNrfjJCN7yiEXdhOcvDbjDwKEAA8pqg/eWzmq80hfrXyhs
xtFazpCfScDpvSvE3Uxizac03IOoa+gm2KJsxWGnilYTprQ9R0H/3CYq2tAMBidRjR2WDAn4hq8N
IRkSrN+YXds/RXgwxQtRBsHdLDSgRtymQ5GtXHvCA4gZZdh6ZS8OpQLVwfI5bPUY4/lK2jIawtHs
vWNbxKTy1UFdzUdBNgFHs15Uu76bBem4ZrPcSpdDex4047j23GJ5idwkCsuEXNZdThzP17h2u3cO
FXKvKam2iyzMDfaZ+tFafPG42KN4b2rcK3LwI/alBclvsov4a6JGKwHvsZxTUlb9hjRYMGP6OTJf
kX/Im8YTcbBBaogjxMVEH7I3vvYBZjwazF7+1E6lcyj71HijxeBUe40D+gpzGSGxeZkeJrNVZxkb
FZBnULen3Bi5N5ghdJ1ofrdAcrZlRdGSIqU2wcPUTcGK7tf803HTboPjQPKZTPk4kbyfrpC80eWg
dx/IAIvOJvDKdWw31Y52W4MfqdXbnvaBszLisUk2xO/VD2PdUqxlBa2YJLPra51W9bcqNapbI3CN
vfTa5bGF/sL/STNqCftgaDK8LhmdStcNttaQF3fLMtlbhmxLmg918O7iTyLAYDEvMDaDgntSjBiN
2ge3tvLTUx7p6fmCxFxbKPtPnueMr0XC6QM/1fJDiQ5YvB+pHVYUsMWRFpoObTV0RwP+/+5iMsT2
YnBThG1gjue5KzHT9NbyPTFt+94DtT5Etl/eZtYyfLOVPdmYN9y85mmP1ADpS5eVmLUcEYCirsMC
IXgQOt4QbZ05Gq8h+Qg5JFatykKny2hmA0e4kFGxXz/5I57ZDTuNvon7Ias2HfMEH1yTbSLH3/pt
HhzQojlAiL428WJlb2kk0JmEhhIP6J38NCENN44aiuU9JYps2/XO4N/4o4Ar6o1iOKkY38WRyUnm
c9fRptok0mxBAPvGyw5JDGNS0xSO+3wddRkMTpoRjbfDee2XD0StBGLT6aQ+QwobT1ZDE3obVE6b
bGsPBTvM4R3jLWYi+aNJIrfe6RanzCrx2b8JQ7JK8zkXrit2itlsVqgLLgKBGuO4KBfqr8KVPQ9G
dOz0OAdt2LANkFunpYh0SME3tScoO824wEBhp6KdlI0Sz08yaGpQTNJbZzDsjH4AmM28VX0vD4an
W+triSAf9kUkxns2Qa9/nCY/Tg5LbU3OHdFqy7zKW4OVSzFnX3n6N7y8i/QN6JdfnMrIKEhz4yCd
ddeya7OZYb/AGFuSOkDCZ5U6/tpo2tGot7Z02zUQusUQHeWZTcM/jWs9mGudeOb0BTj/IhdS6RpY
jpraJ9aEkJhTQf6e/VyhJwWPaLN5zZOxyPVLk9CBTc+N29kwDVU7iY1ZEiWod92iqXeRZXN5Ji3F
mkK6Oy1sZACUP97PfU4ZlLvAL2VkOs0cZtLp1BkZzfdxm5RSxXBkHvTdSsaVWq6aIbCr+0VB3t2Y
rgn8HWI3XNSt7VO3QzlLGTyalan61Tw6w3yi26bfZB0Ag6zwyQzbOkHnDFYqAmfjQO1Jd1wNYEL1
3nHFtLY6A8G+XDrxEOCaP7uzjz+DBuFsY5GovSeakf6LLhd3h1jYHm2Khzs123eJNWd7r6JzNijP
CVtPOt9axO+vMQ6W49A6zkY7Hm2BBqoKqV2LL5zzDPYOUmtSrJe3ohQcJCW0ofQVOMrUu+VGljnn
ZyuLBjCioDjrpPEf2SKCndP07FJpzkZs+d0uxSrwSvoMT49WcuxZlZKOkkcYx9Gx5vknaIMIM3XB
ZLqospC/3eK2Gv3kdmkMj4EOdbV1C/j2rssKSTM1Kpw1WJJ1qxdDn+kE5iC6F7/hinHw3RcVeaBC
SSOTN7trsINX6bxd5l6v49JtnufWhP93xvkFQkY9uZaBllPISnwNWnvaB/YEj8PBZ3gk8bDDI5+q
OUROmbk36mm6vozYfa1tnIUhBWWwtXNfX6XtUDw7RTN9zYkrUmHCqrDR2HmrhSyD0+IpEERRls89
K24tGRLHWO188O5wqYrvRsrwHtyWzuNipeU5N70sXpXNPLyUGu4bs069k1TZJ5+6dd+1wNIrjcfn
tWEu2X07aQX9T928dXgcUNVhEGcub5I8mkYdf62SSXBq7wZnnQtG0RaBLR4asxuNzeyTW6liAwNO
Zbc3eZrzsNGkG3xx5gzvTeou8UPrd+0RMHxZj9Xs/rAMk84BrTM/ZP8A1247+zghrJ07YVmvtlPM
t5UHoWxiGzopS1oCfr2PgFbwZ9zFCoMqfshsM7gqI3bFim8DPuJ15y3dT7yXOC5tcjCUxtCK7dSH
Y+jj+MptiIxb2Ykxv9JqUNc9rS7awNWwJu8ie+4xTDzFo3DXpBfqrRvHJQZzSFtzpXyp1KYwLLdc
YwXtrlPyb9xr/AjMl6HRRlv+3pp662s2mbKGNgAbWmOdV+ZWG/USinwWj2WOHjhxn8xb07Ob8QsK
qiv2FkBSsyVcon+lvfeK8Q7m08Z22K4Yg4dVS3qJv86r2h03JqVhdm32jYzPyaVECaOsbdedzqol
HKOGFlCVlM22siHMd8Oiph2B0HShB/IRL5BEEHx1/dhItkYwYdqoLT1edF+nXvbCHDtwP9JPrhvi
CvdOlfjb2gRVPEZGj/UZzOqeGB4sPNpuOAAEXjoux76u7G3QUeSNqaGQx+hxUWD0A4/ogXPV4JN8
VPZlvlfThaO8xG9sVVm4dL4CJx9CnmvDekR/2DfdNH5LNX6TWfZwUihytuCmDmi1tURrMJZhZPan
UbfwpnY2fYNoIbbKoh/EgQLa6BKpm7Wh4GwGZO7lGiNrlCgiT1Qm6MJW0I8lZyJjVMSwEhS07Ntm
hCamVDryueBAR30xWZhYmOmSNpvIi4qDC058JDppurITfLFzAm3ZmTP7gUWBwB3W1AyIhwOCcY6C
WX4HCJw6PKh9+zTS3vxRsB19S5jgsSktu7xRS9C+KMrfzawnHdJmrnaV6eHmzLPGqNa6iI2HTAbN
uy6tcgNqjwI5GqoOLY8mvLf4lzESNIYcnLBRi9xoVD9KclGelshDDZe923IsWQCfIwlKnidCbRJ/
BPaKLAPeyX3tGMSJGOuLazINc3D0TO46BJIt+1F023laPwW1U6HXZNkT7Vj/cShxloGOpGW5HTu+
PwARpLUUMuC+IVuNlY5r632ieNkanQPBh1P3+yLzBULNr5vQA5ikMhT0kYHKUaYqFWfhmI3G0UR4
XqvJ5AgMiyEYEW4xaplB9WrtWzC3O9MG4jogS2J+sWbbSOmj16hbqA3KXI8eKNthFKrckwRb3Nkp
3SOyvbKQSgBfStCAHs5GzOl2IMTqbVgs6KkAdCRlBu8+6y2yaRbUkBs2Z/3CnAt1b7REOOA3pHir
RIOtLLCzeUduZyC2lEVLfMizSibc2Uqc6che6BBUm5Nk33smu6JX22bokh7N0y1fzclfLmfNhcTF
JVZWfQfw4p9kkPbZc9z0Njk5dhaqorb3ynYa74tTd0vJcwcjXZimdbNfXFzrlKEkGkySwRX5Ug/z
fQbM7K2T0rSWtb2YqtvLCiwSKk/4tGkTs3dQLYrusdBDVm77S4jPrm8XsvJIsfPinWtW40IN4hbl
ExMGxizs0lhdQLcgi78XU5RyJ1etQp/0SMKKHkZNdIoZat2kFAZ2VVJD62AuHZKZaLl+H9OsLX/2
pQcqg0KWFwd9efVj62vT2NO+MMo1NomZzqjvK6xRPaEw6uQGrrC+EgHgeSw9r5LNfVCZiZOEDn2I
8Vg40+TtmDMclAxf5RsJE7ZZN0x64V2G40ye2pPhUd0jTwb3qhHjYz81s7VRnoZg45A7l2ejL4fp
ikZkdlcxJfJlGV1dhAyGn9Kt7ZZTtC1If9rXjdNcpVWOqEEvDRWTXBdxnFmaYZK3/nPaK2xcDlXg
95SJ5tHRrjmyf8lI2XKxG5HlC/yq9ZtGDGkZPDR1bzgoyCUcB+q2K6mCyNuh4sho08J/n+NcpG8z
Dr8H29DOS09BAXUCQ4YzQSapcxxIKtErRTwMuWKUj/4DktzUPmRRHUJY0cMteRg1fnAVEdix8bMB
y6iP12neEFyIRQZmq7+v0US2Vr+Y15qkjzPqvASvAh3qdzgSg3hV0L98ggrK2AbyOOJckkw/G0Tn
HT0PmYblIIdDFgk5rKaJoDwSG9Ifg0u/E5XMn96QdrIHYhqmm4C2f75uJd03flmnWWurlvtI2Hm1
QitvngfS/Xajl7hXZUQeS8FQzZ9Dg4qzi8U08Zg20LRLXu866H3P2hVL310LaPl5M7ugZ1lgddkm
iSjR0M0zjOEBPooqKO2tD0sujyBe/FueRrW5Ji3Ua+BMgD9W/mJkUG80qHd2X8n10GKMIOSJwytL
2yZSpyl5RAXtjNmlR3D7liwY0FbEE8w71XomqvOiD3OOpIdWENO9pHRfkds9vrVeMxFVkffBdBgC
7W0V5dtWqqy6gSckyApMrDjWGbOiUMin66LM26MbRcl1VWcRQFpvP3mlIfJjVpRkIwxofNd+3wY7
OwsIBDPkozBrfXAiRyJvR3lwzDmZEMWkp72XzZ17W7VR0J0R+znIkBOSeVa9bvVMNltgJB7zixYM
S20T3eK0W866Y2H2g19vu06URO0B/hBlVB7xfTvUdxUOjYSUpnOKmooC3rviK8H7nI2jNCnfo+Ti
f0tm9TV2+iIMLolQYdUW3hfqALFBBlrWJHF0N3STNASaiMw4FEY/iE1sZ7Q0GSWWnyZQ3F1tEcdo
trJ7nUmIMA8ZmylnyaFZD42Qe2caVIM9o+j9de3lBmlGhbvB/vRSSNzcrmhfSqsR14LkNLJ/lmlX
BYt8HFKz+86IdXWrXHKSWBv1g7Ms9kOSEK3HtmnSqmOuk5euWpqlO8/KMz5nAdaCUOkrCYBeficT
RF/Z3TxtpKDUWbGYBE9VbVv018yIyD1Nys01NOzohUDY/rEc2xkVg2xRjn7+rB4Day63HIdoNTT5
1H2ryfY6afcS5NRP+kEKcqDDrmFHG71+3HX50hy62QkeFqNyb0iNkQ8U9MYJTdG5Eth+aKRzoauj
2dPebWkE5TsiRzyThM+8uKpwoYhwrjwvPTlF0by1Som9AzhGyRnPqEjkee0wrrLza4Xzm5HKw2pJ
+2mfxH105VfRtPZ56H2XDBR49N1qpiVSEf9hoxeuGSrbh0k5siNPGvtylgV7i+ln2AejAscUafdf
OtlicWlx260k4P0OkYHVF5leozcOvZ1479d5++gpK38ySTJY4fo0tpbR4HntCGtYK6CyZjV2Y3qo
O2z1S2V292SKypMvfiOKJqvF527wpARssKhre7O6zny7h9CUtMyiBc9Fko2EUjGIBgjbifqrOQM/
qRo7OBZkFz0puuxqZSFf38SNK07z4E2vXWv+0IudvgpXJPden+Q3rpu069ii9jPzodiD8bhnYINu
y4w5l1xxP2r2DYLIDgmNcyuBhZfnFrompHD8NUpIzdv01NXEu2a4kMBQL7opixJO44sptHyZusHY
GrOTnWkvkCoghmLj2XDKce2PpBoSJ/aDjdf77hq4bjR36g1NDYEfSg7TdWIo/TYYc3w1LH22IVVF
YBSraWq0e7KNc06ZZUq8sHMoLPLa9DZgnkhGIknKIIFvWVZbzSljs0qw7k2y7RjshB+lWJGwV07W
ShmejK7NJK/pHxTMkhruIZJTJwvJDioRCSh7eByynAO/BIwmWo/VBT5X3lJFLZLQoyjpcZlSPS/d
NRpRXvAksKgKbthfiQJY1W4BkHyGRWGU7nYhjyfm9Es6+9ZfQEPvDXjM+v1/Dhj+N/nFbkAK9O+m
jfXxBLHmMZvbiqzrAP64Jfzhcy/9IUia0JPSm3RjHflyvrTdfKyU+SeR6//uU9t//NQUacIrikoc
8RPjn9x1Rf+5EVaW+2E+gCFAufJcySMtjrvOWdxVZ07NJ4PNP8wEjY2IRqHKrWPcDTfUui/sc3+S
Dv/vvpIPMdE6giKEYbWO1D4kG8QPRo474lNX8uN4e3cyAassPEV1GX1zev3V41b/5Gt/iOZHkgMK
s72BlggJV3YtDqnxyUEt/zTT3sbDbCERHRMMKGs7tWzymnz1uYspP8Tx4zXxM2mSG8JREUdgvoUU
/NwIDHnJAv/dqizbhhSTVDaU1mTrvdqZ/pNv+/IC/yLcXX5Yk0rUZmJmXnN0AZUMOk4MvOYY2G9T
0pY/OZRIflidjkdfEqSPNxH5T7spbzDOrz93J35YnXM++FknquZYBP7XXNW3AJE/P/fSH9dma/d5
SZ/kyJ56Y1LC1ePnRmPJD0tzbgeF+prqo8nUBn++lTr/3BSGj0PtB5JSiRWI9TFmAOjaEZdRREE8
fe4G/zjX3muE2dInn1n2vn0DWtQewJOHz11K58OYoKQDxO/8YTq603jViXhn1tndpy6l82FlciWX
VkGAHivOGsw6+9J5/Se/8Q8r07dJy+xFNx6jLm83UGly47Xa+uQ3/mF5pqMgGgLS7Sh0Fl2rmdKV
GQ/p53ZN58O6zEk6aaUN2N1dQhWawX2PIvnJT/5hYWZ0PdSkiFeWCZhMYNTUBqWT/8lj6/L7/4vH
lvNhbSqjbDhMLj0RrF6Pe4F2bZSIT17SD8vTD7okJ+K3ZFiSh7MlPimnfvvUjfhxxr0Rd34+xqo9
whzhRylyb9UK0u8+9+oftk4nniV57cT88wAnUcWIn7I5mz63BdkflidjZxdL5kNzjIS4eDc9DrM5
uWOf++gfVqgv4K4Wr66PcbX4pMqM1whWdfi5F/+wRisCwzJBvXzEOZWviNHZChzhn3zxD0t0KLq0
HEY2t9QsHolCooqshj+bdS1/m+D+L+50+8Maxe9o2jqTfDEYyh8tI9vVzvCM5E68YMNQUiGM+kL3
e4fGW45zjQDRVctJ+kG5bAlfiZ9x/+aHTCKbeVEXUOtceuUUOjAN3Q85g4PBOw6X8QwqhAu5i9SU
hASagF4ZGLGVBuAdQHKltuSx1cxCmMbv3kwvAavvitrfv52qIL8pTFBfMM/5GutSevRIXlsliXEo
BuchVcFNxji3YRpfZp3QqFpyIFRKvaXibRuvMqZHv6rybe+a8QYGLdjmKri0hZu7HC/WpogHATyf
jAcBTSvheRg0oK/m2Yu3C3Ve98S0jL1dqKle4YE0fpCX7THCRI7gQkRXjw48upjsXQOQcsK2XdNx
ykhdTtKboI2iG8JjN2bcjV8ybWEH7t21ZpLyBvPLlfDV6wLbcHCG4saoxm5Lu96gPq/ntzngZOCa
VyVdhtaMGm8vDNKrMCDTH/LTSyy2J0ZSUOYRWtnoZqDDCloLY3uFm81ZlUl0SuMBurm+Ek1xoHCt
HmY/inbSICnexfNxTc4fPlANDzsSn+lYt6O0b0dfTluKwBKHtTdjfeyDOayQozbIP0PoZkHxkqUw
iGlv7AQ81W1OGhyBhddNQOZwWWdPS1H6IaezSm8Rg/eE+zw2hp7ojuA35ry5Dgo/12vCyG8dLGsh
BDXJYGrWe0I2mPuQJ/6JCNMJJEefDIzJGEVlKOIoCn2ufmvY0kOHdeddRAzv3rUFjpzK2wIrds+0
FGF3RhRRBmQMAoMffe5HgptTzL4k1YWkAJlbd0JYDLGhY9x0LXXl2503o2Q7LXHkaNq9zeSCptX9
KQr665qb8ZLkvPEDMi13vuKURejUJMNy1Ht6TKcprp6mXu9E7g/VpkZrcZ3ALe47sJaTluY5I7Z1
0xGtHSZegL9PkDM7Esp8hRWwD/vWfBLgU1uTyHhutIyWu/TL/Ijw5O88TCiujy3eiXdMl9ih3V4g
CJ8vtBl+BkjZ69IjvMCjB3UY8A+uW1TOVez6JeNfFkK0B/N9cZa7vmdG220Qex2Z/50iiEvMJ/Re
Tfh5xRJGXrVAzlZCz2fN5ECCg3S7YCZGKkNs7Ef7GM+FfHWGAcuw8s0HMlzck5xq9E6CnsuXiWgk
vgRnClE/A/1A0tNZ0tewnqJ6YCpIfcht1zyl5B/T9OnM7WAFt62RIbZM2Yn8uzWZXwfXBoIJ5nHb
XcAMvKBi00q1Gpw84xJovfPTmDApwj0IF+GeDi8+OAxj811ObNa2nNJjn9tXtNi/efHoX4vMIuqs
V6xsvTTL65IWBRkiaSp3zMmwwnpiuvzYJsfStN2fjALR5LGQB81IlgC3hSu9dNm2Y2qfpIXIv7aG
2dwSbn6WaWD5a4L6oTiX0duAIEXGutLN5WT1NUmYAEMkUBFKxP13EVVGRrhR+5ymZr4XXYVEiDn6
NC7Rc5G6FzPlMpY3Dq2frVXWR4AV1gZJ1cFw6WPVDogtDpMVIVM8ZiJnjyXnDTexeA4Mijj8HYxP
RiRv1wbpfgCzsOb8fTRvJKkwm3nSBtBKcyEBPWUYGx/r2FOCtXDjd8pb+7kiWMqLFdciwYmqU7M6
dbq4gUKLzsw4uTF4hDcVTUDbNnAyAJwxeGcij4/HgSBv/4twm32Vqz03mHET42/bRl5CQniEFjAD
NdaqBKWRLZFzuGJZzlG7/GgqKMK8s/MHaEcL9HaKX+lPER/mzqkRqmowzmYNJxxOQ4+aXgT18N0A
HVFkUFXtY6SGdzBP44qkSMhizbVEHxmOsUGAo+aSrtveW+45VSxbQI5mWQPMQzgihX0fHUVBPbpM
LzSwa5klfjntFF+F7jUDgMccq2ljbYIFEiQJVMV8A3XbT9hW857BlLbTx1BZaubSOLUbEKQffKWv
GO/Nvk1fCtPu6+NoOKMOe3jVUzaNgRfaQf9FdVDTNrH7x7GcgE/zztfoNG7/NhDXE1ZBvwAxOfIR
8z48VY9dF2G5XBMGhP+SRG+8UgQ2CeGTTUMI2j4A7dgteR2fxmI6jFKoI675hCSC1rnNPbNc2y7t
YyMwDx0Toza2JHo91GV8S+ORcV6LM0zwSpmdbF0m5Ix14HpXBhn77VePOT5hPqt4JxuP8LtAPY5J
IV5MrikUbIk3kfCW2mlk80TS2TKsfdRLe+1nlvdajAESWmua/nVbLnvSy/XekZByM8NSdm2GNkCA
ev4W5wmkB6moFdKo/ZMQGv++VsiifZH+sE00OBhUUb8OujKvmjGIX0fVl5sWN/y64IlMKkudeNmK
Q00RJunQY5JKSYnJCjHeGAPMwBCVZLl5vW+jJVmP+BnFIYat/akZk/XktY2+MbISrbaSJfy8M4tN
YGHZtMseTYlozJusH5dbx1yoPNC7eKLFBIwWQCfbpiu8jJkv0E6IttbchqVZKPas2sa5EAgcJWVT
dVdxMhPuxhiz4W7CIvxY0yw/4fepnrAWDpte2vEzEHfDCWFopn7LDC29hy6a62MumJllCjuRzGbr
0OOGpOIhlBX1amqono3Fwe7kJAbIQbBJo5bJE66211PtnCdipZHbMfHkU/HkdNHEYI/oDkHFEFj9
VLGz2Eo52JHsZA+8AxwSgFvaPkWcxELIy+pWxxlXrvSMv0+Q/Y/v8/+J3+vbv582u7/9J3//XoOx
YELqP/z1b7v3+vqtfO/+8/K//t+/+uP/+dtjXfLn4z/5w//gdf/xvuu3/u0Pf9lUSL/6bnhX+v69
G4r+t1fnE17+5f/vD395/+1VHnXz/tdfcaFU/eXV4rSufv3Hjw4//vqrT2n3H79/+X/87PIr/vXX
7fuPd/XWv//45QEH9Hv3S/3zl3P6XdXVe5dS8P39Lf7rdd7fuv6vvwrX/otpQ9PYnBpM+pTUGtP7
bz+xvb84lu3ZbEIWCsClkcyAhj7hP5l/MS0gXbYoyYEeHvLXX7p6+O1H/ASmHmeSY5nwp6b16399
3j9csP++gL9UQ3lbp1Xf/fXXP8649XmBwHUd0zEJ2ieI1PpQCKXs1mWAHnY2uxTxrd/EgMEj8WT4
jFdx8Pi7b+sf7/77d/tjcf6Pd/MczxUML7Rs80NNt6RaGDob8zOpmHsyPjaO+b9qoPEOHoOYSDdx
PVeagSM+iBXz2LaE+ZTOGV7QQnUj1yFIi+hPKrt/+tY8CzuvlEIKj4gh+0NZXfoefLpf9OdGFgwY
GqRDwkA57KYBmrxdwHf8Vjh/0nwQlxbGfxd8v/1uLr8gM0ou72xbH+ptgkzSC4HbnTtvME4cSRjs
qbGO1wHjbqpJX0TA+IAWna05KiEhN7DMYTW6w5+U5Nbl9/unT8LtZ3Om8h0z+PAtB5Y9EStlq3NP
kOm2XoByI1uJVyP34n00ESEGOU68QWpHxN8ZxLGXXrKb/BF53RzFYZ7zfKOxXV+hlBHhSdt9U+m2
2aO2kofi1OsBj+G6agd/J4ivS8FinfHKFUQ7YkRCjCazkF0i8t2TiZHu7n++TX+7S/7595OO69oO
C+Nj47HAB83Au6XD2BEoIOnppfYvfhHX8tbAK/GWqQT23UAWG748L7mW3BEhDrnoJspsuSYel4HU
ln6MgAVeVevo24jxCGsMmqD69dj/Sbfusmz++HEdnhSCDAI3EIwM+nA5SvIih5InzJmeibubvMHb
kq5vhxD/wUYq+3/XkrnciDjMbRHwaHKDAMaIz/M77YGpr1XOvJP0bKaMAeMkH8/9nzSsxD/fYn98
jw9LzGZShW4gt/4vc+e15DaSretXmRfABLy5PABNsUpFlpXUukHIEt77p98fqvcZFZM8RKjn5rR6
pqNjJriQmStXLvv/9/U63dPrZ2xqD9T2teShF67iaWv1Q3Wbr2R3SbvPd9NSHBW7qjs2f1tC+oYu
EqKRyQjvgarEC/tA1xtt2IQfIHhe1zMNKy4cHKI0U8Ocy9grkSJZpVhexaMa3gO+vg2fohfnkH0w
4bRylc/RB9Jp2+zDcKDTYlNs6tfjT+feedwX+3ynHsAm1lvP+NV3rn9YShfOCnOqUKffJSgURLtZ
WMZTSNX+jnr4usjMtQS8it/Dy0QSJSBJEAX313fj7HGwVds0wALFqsi0nwpJVn2SwPZrw+G+KbNf
dLFtGaEJFnb87GzfZFia7cgyd0abTew7zVXaupDJtQz3ZskUl115Bsg6nf4wxD+vL+bcWAuS5qN/
J4mGmQhMNiRpLjBkt8ZNtPpOSOjVhyXa+LPDQpKFt2CYvOQMLwj5wCNhUmL6SALM1AMVh4ZL8OLH
r930Kay7Nby4bmkdri/v7Ha+yTR07gm4BFBXnK5OB+nI77JiuHcYiYhgiffh7rUYuXWe64SJy3Lh
WV+SJzoOUqM5nYK8wPdBDs3vu5n2QfllNj5xABjt8YLAS8qIY6YD5YW7xT9OFyirnTWUZj7cK8TT
u16xZ8AsEBSub+PZ0TkmhluWHdlQdJ0GplMpx4TkS8+Izt5iECYIambl7JUjEWyD3HZsj56dB7uh
qxfcl7PdfBOL54fPpyqyyHc9MXrAtEFZ7iUnfJQlUqw+dtyq16Waf3GYAT0Sy//xSnWZxDQmlSSR
LPZMlBZZMwb4y30JBTw9AjuGcjc1UHx04Xq+mj62RnZbO7vrUs+uO4GuxaNs4zNxMRzhESGx7dDW
ao77UPdXwPSs/WprkUeMiuz7dUlvCvHeZKoy866yquF+WgZ/hKOEe6vSA23S7vV76aDf9vv4FhRC
8AZ5rAJP2RbrbA1Ceyt7mrFwnPNPn4uehSo6MAdiiXfItXmSz9Dup4GEF36gETFTAu4B84AQ38j/
RByPv6zIAE9gcU6VFtSckCFeSbs/2rIX9Q+2asAIy0iOto7VkijpP/HVw9+ruBYxvG3rO2HCCZrg
5Fth8Sbszpa+KP7Tn/4+HELW/BeXXLfFY1Mtusmh1pbuIZts1y1Qj8x0SPaC9s/m8PSEdH122PmP
qjIVJrynulIpIVnB4z4rnW5DquFLnsQJA9M0hf/xepCCA07wiF0RqeBzXZchXZzCfcOszT2FDVKc
tH4vqIB4r7D6pupomm6pcwCqCCpwVEZg36UxOwSSZm5petVepq5QvoUBQLqlnHy5vijRXiEOrDjH
4I0jpFNFj0yvALWcwFc/AB6xUoLg0KeaK49Ahtbqc1+A99ItXOcLCyRMfTsu4nI8tFMdL8pgKmlQ
rQ9gHjEuqzCLf6QpMj1ad7StLujgmXawPPxMFR4301IdsYmizvPsCPNjfWgwx7oGygt4HrfMAP+d
rTlJ1ly9Szw2msJIJ247xQB1XvQ7lwSk6gwi3ro+tEl+F7Z3M1P19YMSX00O6kSCoBdjE0fx4CMB
1htvkg82HO/XJVzYK0dTMTxoneGwW6drKPLOUrtjUx+g9vIkQAjqnRQWq+tClPl4T+7rvI7fUt5K
r+92KlVoqIRxuz7or8WBNuHpU5x78LU6jyFEp27ys/dXebSwtHlzrgkVfFOLdGHO2F59CIG+ZUJL
WfvaCuRcY+m9uHCduLuypdvgTOu2+CrWjlTW9qxv+VAQk+YPug9pG7Czbk9Zg+E1oP27H9e3VPR0
Zs2wLF5gm/dYZ2zm9NxAYk0oNU/VgZw3o3oW/d83NRVbEJECr24XrOBZAD+Ls2XdAbeMENXQ1VNx
JhxzMZh9FQdo3BQP5HqZG72D6OMevqBtvNNundvpCyVhGAR/5p+ur/XSLXgvXDAeepX21dQhnAF9
T8vJ4FcLCnrpBJnxsGcrzJt/ln/ywUTsGIk+8J6sGOpex6THtSOTNJE+7f0x+5Jn4YIRvnApjNlE
0XihOTrpL0E/SejZaqdJ/WFQlFUydQ+mowJlXoOzpnud2pM61DcVsExyvDZzh6EXeNCyBY/u/P4b
miWTlQFSwSTyEPSIkclutKpwOihAMVoVIBXDznB+XD/AS0vlxZFVB7wWXScteqo+ZWUPIVs/HhTV
9RPXgZ5Yc9Xv9udh37vlt+5j9ZpJCz7C+ZPDyt7JFLSmVmKoNPojK8sY5ss2aQoSMDwJhvGwsLr5
608NjaExCKjwbhPBabqwh+UUktFk4PEAznHTMSzqpvZK/WF9YbgVOKr6g/Y6WevrQuffvCZzPtd3
FhV0RPUYy+N0CJhRlRkFZyrmuoS3OPeaCOF505SQyhYVngP8tJ52V94PrrRm5NeV76QdpAQ7iF62
IxP2jK3vqm36K9g6dJisrn/G0kKFJ7CGoY0gAbB0B6J3dbiBhGkhNH1zsM8WOqdILHwGy5KFiwjO
V9wy6wAe+y2YvOY2/xj86KpdABY2aFPb5Nl+3itr6VH+7reu9Cg9RvvqY/xSrpy16fp37YJbcZbq
oHRBQkXVZYOSmq2JNYSJLKxVGimouB/JOpCaK9agbbWM57nWX0sh3cW7+V6acMy0lasNJVGk/ep+
GNrOKLcOzF+5y4w8bzO8E+NNHm78hUBEuWR53ssVDlYLbPije+Smv8InYxNsGO7fmQ/WXfAM1t4d
A6vyp2Hhqp7b+XlnQaSwcH2Ns8QujJk0G0K/fQBD1gLz7CbdJdozj7W2IOjNYxd1ysG0c4iWRSuY
YH3a0sh5tczxMHym0/ur9TJ9d+7ypxjUyjv5daxWdcq8rWu2nv25vfnzK0M9CKgo6hq6JvbiAtHq
QBgGfsmkAokmeSrY/tclXPAHCIreiRAOjzHnwpInDLp8a6y61bAZfxUfsg/qtr7NdtFO38Y3pb7W
9hnMkIXbLoi/ZBPeS5+P+Z3xg+2UwfQqmA7JlEhuMUgb0CvMfyLEQUNxjsl6iJMMEGTYSla104H2
Chf+aq8uF/yaSzcAwtn/SBCWITGnJxUJdqeuPk5hfJeM9JCk8oI2XHgHyRQ5DItQW6KVWbBuYchM
1jib8dbZO+Om7T9V2VopFl6L+cAFfTdRdp5BwiGDEt7pkUx2GeXR6E/741HfQ43YRq9Z0DzSUOdI
+sLbd+77zt6SZcvUCk0F1+VUlj1FI3OdmbFXI8dTuuAVwio5vHNofgrSgQaRbMVA8MICL9hJUzFt
fBdOTKOUJZxWOTJUH5Uz2mir3BTTRGO+tfFt6VcLDJ3VrNPmDcVo00G6QCOUbqtEOt3m+sU7P0xK
aJbBN6iySewuPPtmAOTjzPYOVxMVFJUhX3L/JVw/9Uttg0J4XdpcFT89VQuyBwop/Lc2l8ME3SmC
uJb6QT0efEJRdwAPOIfzrkkYZk38bUC+iiGoL7Ia7OwjpKTtumCO+/o3nF0SKieKTdkei01t354/
8d1d97uIciigPPuwtLmDQH+vgeABuC4+hgsF4YuiYKO1bVLUhMPCCdM/NfQhzvreN+hvpE0S0N3a
B9UjZzr4+qrOVJhIm4ySpVgU1W2Kf6erSgBNp4VVHg89ELxAKm2H4Gc4vDKr+EFOQbdUDkGzUGK4
KHKO8znOuUImmGy91NSKRoLxAHge9CjZzeDAWaZrD2RQvFGFlb6mnbJfmjWZN+3EMMxZf1BVlDmz
ZZEiP11pDjFOAsxodejUEtAvqevunMSHXDygqwbOmz2Docqug4V14apcUF4kk3aA5IP4ShebI6h4
lUebNlgkx1vQIcCmoJ9UISxnvvwbhZ31MaJ1EQpDQ93Cp6G4JhCi18/5wurZU54PB71RdFk855pO
3sAqq0M8SUy3J8xnrGF7KDzqyfUPUzaOmKtCeQA9ZCkroc6XU9h5cgNcX8wWoZ0lyDa6gAnrpK0O
FYSHQDSaQFAyve4cDCvP7pVWHe8sJ5juxmpMvaJlkhmSGmXFOkhaWHQ69wy4j1IEXVM1ah7A7zBk
Kua0CXOQsKCUGXYxXA+uVaTl9vq2nT3wlmbxWMn05ZDb4AE+VRp/yqagSvwKGlYHhnrYdyHlMZ2F
G6HMFVBxh0jcEfZSZECKsEN6WUwD3YX1gRFy3KQGxB3TgC0Nhtg7ECXglpymR8jmKq+PNHsd2dWf
jUliZ1iobcg67S9Ucc6esinM/AB8tvpgdkW7m6ok29DFmyxs5/nVJyE6XwKNHAeJSnGdDi0LNt1r
h7qG9BAy1vRr72eOZ45j/wzOXOsBDh/eAKXV76FTSJ6un+alS8A9tHk3uY0UBU5Ps9IhYm1Tsz70
ERRLZgZ+UpR3zAlQjFPAhd6YnUR+TpdG77rg+YeF88Wca7auIpq9FtTIlvwB3Nze3McNFRzw7cqt
WtO476P3nhTJoN3Ezvc/lGkjkE22FB5Mk/t3utiUqpYSWEeG94xvAHyHvQ9Kg7xSko/9sV+wLmcP
liBLWN/QZylQub56cMIUhgP9zpnquxy+k3+ypLnSqPBmaabgb+XT0VbaWFcPOnR8P6GbBqdcuW8/
XZdyeTG/pQhaYgLs2sgRXhPoFTd5bnlhdxvAJXxdypkusmUOFpH+EI0CplifIjaKfXmK1UNfbUyw
obRb2CUZWVTyh2ZYUL8zZ42kJU2ohJxANei8fqeqIDUjAzvWwIoAK/cMQMM/HrXd9fWcXe1ZBuyc
FGTpYKQl8lQG2ApO3bBxhwBMe6Ad4lc47F17HszRa89n+BjIHnUH2NXquuDz5/VUstheQnKoVUAS
k4mPgJJoczh189qTpu9VGj7lMggBoDozC8Oo0RdnBsCMtIU5ubPrPX+BDVmSBjiTfObR8Lrb8XEo
lINjJRtLOq4D59PYA8uXPsJduXAJzv3/WdpspWkVxP8X48EK59QKINU8JAOocJa5LaJkTfv4qgdE
Sx8++4n6Ocifjb5Y9TDzTW21G/Nkwam5pFI4cIDGU3ZS6GY9Pe4spfE5goHgYEzSqq6/aDPJWP1D
rqUF3b2kV/Rp4EFhsAyClVNBU+zYUQVsy0F7jrpNW30pw7v8RwITtH6gxee6Ll1aFa2yCvEMrzCl
yVNhIUAidRwr2gHQzCfQfe/gFblvqvQzKHUL9+WClaFH47co4U4CwDKEzqBq1GrUp6OpbtpmYMSt
X7gdl1RzDlpoUsaTYQ9PV1QCOct81YRljvTYO0bOZzipYMjS249a3N+UkJIu7OF5SobYFC9PZvvQ
TqLwU5EF8EdhzMgRFEmp/RlYIYaqqnS61dRg9ACurHaYw5+JDP2nFes5FB7tugu6D0YBr5Qv81T5
Ybqa8rC8H5MpuC/i+nsOM/M2NOru0/UDP0/+2XOQpcmY+7e2ROHEoU9SFR/mYV7JTvN0O4PXqynW
EHQZ3rHCJOu4onedCvskIHLyOrGKbs38VQtuHEDZzIVobtpC3JInjrq5/nHnZ2fTp8gzIYO4RSQ4
e43vIs6K56EHVgZvqbMdmAiiD1EV6KvOGKD7NSUA3KJFcJJzmeSzqOXRbUoDI2HSqUwnUJs+nPtd
e3+0vhztNvgB5XTyPPatdHTJxPdfhhR2Rm+a0vQvEKw1E+Q6KSYtTP3meSjtcG9LOnx0Od2klTsG
fvQaJ5H0pShlRh0kxaIvWBqd8IsWKtAc9yiJ44J0qD5GQQM4HLA50y0Ea8ajXoAoC/xhAqcrYMIB
wEqAfr+AnS/xw4D1M6jK8N4+k6BDcxUljP8iez5GTBFJ1hc9UvvHWBkBLWuKtv8GyBeV3S6N0heZ
tDb9urApfaR5JP3W9y0MR1mZHg9DTzlj4UbMe/be+6MkS0MFD7AyJ9LB9j/dU7k41nSOmOUB0706
DusRGnYtgNq6315XGNGmiIKEy95LMvOvJYJaW141UufZsF76w8Jy5s+9thxBRTLyPHmXIcWQ6aEt
g3Ve5wtWS9wxchLk7njjTNr+cZeFdI9uS0qTKVF3SNJofwzSXRcCluxUkQmRA9m169smLohSK52O
3DLbMhxaoIVtA3dRgfaz6w5hQGZnlIvaq236/a9LOXvISK+SYCG+suivVkTImA6Q4Y55YZo0gm5d
1X3gdo311JQ9qOWaO3ZAUTp25o1h/IdaQZyFYHP2SyitnoX+UFQOEBCmBJe66eYQbltl6Hb2wvLm
TXqvFW9SqM6T3mA7eT5PlZx4jiY2LSPJIXUrtT3YzDrmdPBc38Tzo2It76SIRxX6zaiYOWFqlGTr
1PE/UXvoN9eFvPUsnK1lDhGRRAgl5pBbY+rlALCZQ9/4qySyDmU+uU3zkzquByTdOjL1mwKGdMgx
Al6sEcSvYeB/6ZmkW7oK52qD70P1mPIbZWvKRaf7OqZQGAy6HzwMEBtnjnkb58VqimmRgpHON/RN
2TzWqrNwJc6eAYZf7HnYhnQrGXtGkU6eHtCM9JHSUfhgUnhzNuFwa0zeEaKHT9e3+vw8edpIPcxd
4XOCVzhPPa1Aus6k8CFRGmkjTyalcUNdSv2d5VeIsAh/1Lf5pLeew9PlQK9uhaAo85JqDkOhMaTU
edSPm04B3rG3ZI93C+bYtP5aj0Qs4MwuNdaJC+UL3gofeHwyGTBdWGjWg2ueZTCmdLRee/mY9u7U
pPmCU7kkRTDNEDbR35zDTjk4x4OR0uBvMZGzoBuXhBjgCc17Ss5YFXRj6NMkGcjhHqDt5tmM5ax4
hddOXriF4hsw7xiPpUHdQMahFFXQwumx8/DtElrZpuzDapWC77dSB6jNSxD91n+mijye0DrNLo+G
oaKqc6ojWqFHRqaB/3SELaBrfpXG63UB8xG/typ/C6BbGUXAHos3Gd/czOXOKA+JBeJhiB9DiSj4
+N8JEV7OocrQAAUhYdZ7Ufmpn55LUDeuCznTgLet+r0SQQOyGM4GOcQDUPIvPW2U4bSEUSZaPXGv
tNPDSMsAysIAHP289IYd+PPgjcpQ6rSu36yh+7i+nqWTmdf7ztHOfQggaLIqD6n2osSFm/d3JDAW
Nk00qeKS5o94J0QptDGL5uMvvrOeaVfq7gCG9VK8vHQ287V6J8ZOu7ZhJKk8jN03CBfccClEWNqs
eZ3vBIDe7ugA95UHm1y+lD5Yxoti//rvDkS4i0kipcAkIOM40g9sf9XSj0a7MJW0tI5ZBd+tI8zN
CWQHVCxKGTVTaM1KPiWL5eiF4xAbTvupjuoCUqrDTCKs64Fb6uGCYs0nesWuiO17Sc0iilItD5YS
wa4K6T191DOYQPHt+qlc1GDGA1R7Hvggk3i6Y3LjBzQ/cu0JLdY2tRqj/2KN2tpynnxjoSRy8XTe
yRJuix0yfgnVA6FM5Xit9UHpXs00WF1f0JIQ4a5UkhwmvTrbMfDXE+1GtiXQAf5B+MdswO9tEy4M
kExOVb9JUUHqMEqvluDKkEOvzf5cpWmgpLxBIpJiuSasx5TUyqklGeMPwLJetDAhz/wNC1Iu2GaS
SXQTEdCCtSpOIpTtTJBQ1eVBc6gYE1wDz+TCTNJrVFWBFHH/+JAQRwxDTxxJibMSHFR31ON71Lv8
ayJ1FQOHxRzsdSFnSVWs84kUUd8GA1ThGCllup4jl33xED8CvSkXbt255ffpPnhUlwLPC/qHJ0gL
BZ4UFQ1xGjluQlVSoQw/hE6y8v3+p9l2Kz3JFtLTF8W8yz8Iz7VlkyGnEoHjEX0d6PVKpH3c/ri+
gReM0EmOQ3iwVV2JG5ivsaZ+spH1x0p5rZsQUI1kQR0un9S71QjXSQN+qGtqzB1ctZ5KOc+d7OG+
6tXPM/+wlttU8dotBeknA7T7BFrMztK24OL8udk9WbHwRlk5hMZqP1uoqFmVtrrSGqbXZaCywOK/
vrlnAembdr5bs/BWKXacK4yolIcaUutqBUUhDIRP1k386sP2na6og+WAvWz8P0PmpUR1mrpyhOgz
hngzBgkHCxklKzCp3W58XFibWPsWRYgea5uRMpmzY4AdOJ9bgK6+xSV0lMycrRxo3IwFBVrQVEe4
DUdFyUeHVoiDNhireLxXw5j20gxOkH9kuX6fmth6GYJlA/I8kkLIdPXwtoy7jRJ/vL5/C5fbER7l
NG2PVf12QtlwY7RQ89Q7OVowjxde/ve6Lk4F+1Kt6rnGGclpv1W6amafnxkC4dPeV8C3Xl/SxQfm
3b7NJ/jOM1OKKpSMed86Be8fpso63xZTvnL0V6vhzjMp3BpLMc2SWghmpZv+r1D62DErh6B/tYdP
U70wbDFbBcFZYyepmTHYPU9YC2tzGNzL2gb3HOKeTQxjCKlo16TJ2XKKDXm6fTt9ur6blyVaeGyz
10b/5elu5tTpSoD/eT8LZ+VH0YciGyEdmug2sp9ixwH1fanZ6Kxx/O87/Vum8Bo0x9DpzYBYOtMl
r9c+DzOSmdZ5EwQzeQ7wgrpTnLUGSeXiEOvZOTLtSWeiqVKPtUktCcuFd9dMalUy9k3xl5aUq4ap
3NzIV/TWr/9wYwVJwiIdJ7J1yHrNfSU/+KW802oWGBGqNuFrU1grygub6xLfUisn2iOIFC67Npq9
qfiI1Lcr9bb+qE4eNTNIHsLapZHEtW6Oa1AO3eajcTuaTzZjQ3fhasmhPavwafNn0MDDCI0y54CE
V6GUsinpJj4j/Fh/7X9Vq2pXP1XPx0frCfTOr+AdPucPCKeEtlosf1884HfChfdiHPrJN1WEQ0ZP
yhz8EMWFMwokOqCkV+nDsE1ec9gwfy7Bh5xr9bzsufeWxhpcTrEtM9ZSza6dwNwP1arrXCdYjc2q
ktYh+HQA6K3Ue3NBxc7sriBRePflBB7oOEdiOTqPavYCfvB6OHaryv84gUx4XbvOXpJTYWK5UYY6
sAzqWZ+ZAgMp37ag2nXkBeO+JEU4vplr1a+Aldvn9eYIy4xE6S5Xvl9fypnNE5YiGIGezmQtNWcF
DdKt2uSEWs6NVg3rKgWsp6ygP6oWAtaLaknHOYoB6Au101Mza5dTRV3MN/aJ7btpMnhGvJKS22Bp
yOvy/v2WI5gAQDLVbppsYx8eGXvS9oW8VcuFgGFpLfM3vHuA+zyZlDp3sKH5C6QyK82SXJsBq8xY
MGjnju3bQf1ezfwl7yRNvqzlNfWyfVy58qPzvXnOZDf8oO6Sb+33/jPgGRCptEte7dIeCm99bwyD
XFEH32f1OqhAnZw6T5Ver+vgkhAhPtBK5RgVsCHsdclZ22G4icDai5bQ4v8fRun3DgomQpJpw3FA
GN7X2brTD1LhOV/tH0Q+5idJXrXhxiwWbvB17QCU+vTM8poObkIBY1/mW825S6yXmoGDeKmPZEmM
YCimsdCD5MghGcfCU60jXcCfs2GlOkscHmfu5okOntW6ZMawIm3koArwk49gzLrzYPgWzBJZ8oLc
u64WS8sS7EQD53Ue2+xeo3/3Tf22KL8R/Xt9pa2uCzoPlOlisvH3HMNkbuhsMjvVoQ+s68HYD8zv
RZ2XPg1glLnhD6dbme5zsl2apJtNj+Cd0NzA/D7zIBS6xXEvfaSNvKI2vHe09QjVpMzdvb6mC3cK
CXOdkBcYyEVB2R16xTUoHQ04mEqfjF1Sb8Z85tSMjaWnd0GU6ONIqdnpAUNG+9SMIHNbR2rlaeGv
/2o9Yp8DpN7AedLDspfV3I3ramXWhZdaSxq+tBbhOVSh/s20jrVYAFLrFB7k8GsOm9b1xVxWOBpd
KOnOg4ZiOst0pjQDNNvYK8/p3v9YDiBFEM3rK2OkDOFWpas2kNAviL28uN9SBTubT6OcawNS87k1
6aUxPptLMHyX/G707rcMQe/mASgYCyZjT6cacNOuvs6erT3kbM/Jxl7Vq+5X9NXYal66Ub/Jjev8
lX/Lb67v7sIyxS5X3ae9QilHYz8qLfGpsyI0TfLX60Iu3+D/rNMQbG6uQKaYASy876WPY/B1av76
s983uLo2MSgtzwp9MOa8yHfPfQxqfgNKePtQR1OyYljwpzTIS3OGZ6c1G4e57xAsONoQz1pRbBoG
FRjyuodYyuRhZQ++9EUbMvOlptB30NWsjFa62VafoJckHZrqbU2MOBz7j0Hblt5EL3MKAbpCg/mY
qP0XALSNwaMRAya4gpnWT1oRlpE3kLIGcR6YrcxNpbqBJ7MrmwVPVowA5rXQ76taXCraP0RID6fV
igY+qOYhUJPppctgmY2qMiWfaQUw8qa7Gcxz4UaJ3vObTOBDeDVASqfR+PSUtKRN89LRmgcsevdT
6aPeow82hPAR6Emj0Ka/Yrl7HTRjd107RBVHrjUXLxS65OauE8G1RSTEkrLcP+SOEt/l+QRLZJOU
HiBmwYIPc2Fb5x1FB8FmJJ4TFH1M6KjsJ6N/8G0wRwO/+ylxpXRNfmm06d5vk+4Pn/15be8FCiYY
srA6LDWrf6B6Eqz7RHpxUrOHOJthrLr2/zAYQRqLAuHUpEdcBu7o9AQVuzCjozz0D/ANql48VtGT
6fcf88Tyf9RVt4RaIvo0szgQjujPRh49FIIJ5nlRzeSY9Q+GBS6QNrbN6ggMnJfmsb+CptxeOL0z
p5chOhrp6FOlp42yjdhsdjSMuggkW3tIrF+hdnwyQPCMC7D3ZTw3X10Nhn2n9ul9VBYf9GgpHX92
P+iho+wFhggdKiA/C1bMgWtWipize4Ct5cug18fdKB+hJsqaj06hlS5YwTMZ+hIG09mgA6s+kTsf
wzvr2ftmn4yDxqojBWoVfRMY2h2cGUykFtCfNG5NM25V+7uoV2iCHTRGcbIF2yC+EMaMmsIMOv1o
M4Kq2CVTJbYshZNlPhixDAetZmRuX49LhbGLUlAaEpY6zuvbTrxbqcLpVvOQ2kMi+eU2S7UEF48J
juv25gzab4bVpbLILCio24YszuBYdq61eSuFj8Ngtq9qatuR5/e+fHAmP8vdMs3Mr1lUM9qQhHkw
wGnd2MrMYFO8HMHIfJSrcNhGY7M71nkMP4tc3k6RFP39BPwRFvsbFnmd/2pEpPUTaPZD8TN7bqqf
P5v7r4X4//z/EZOdm/MfzMAZ8v0Uk736mX0P/vU8o6P/rLJ/fc1+/Ov/ZM3X6nsTfv/XB/61PgFm
58f+Bma3rH9jHPQZR8U2eTZtrPvfwOya8+8ZP2rGqsI6AluF4v0vMLukKP+eEQOYgcN5AF98TpT/
LzK7pDv/hncdZCJHhWXM+C9w2Rm9ZRSDX5qNl82UqvC4RuFIln86BqBFBvVLrFnxgQkD82sn69Cu
a3NtpYnlBU1/GyB9F5rhGs5w3mDS0z47Q7oIpkMaanBkdThumLFcle0e+uDE+lY5H6boaTaQXUUT
6VMJZ24KEfCRcrQSvZTZsx7Gq67/qzV6N7fkXVp9q9SStknJBbNE9XdMle1SiJrM9jGru03nR16v
H70w+qA6L6Vir7M6diXolp14WuuwFoxttu0CxS1kQqoChgPHa6wl+GURY/psufPz/85+aFWZM8fP
cq1n+z7cY5LdFLReaZN71YHOmMfkI44fdR53CcVGeBvOJAtPYT8wXu0PSPbNtnW1oT/41eejEq0h
vvjVDsZOrxdiSNGKnYkUgpPcMIeUkYzIgyt7vSnXG8rRLlh2G2Pr3+Q70003z+/u4cPfevMeb1Dw
nkSJYlMTIXdvgtEWecEuXCeHydM3/cJ45EUR4P2DGCKD8CLOzCttNykNFGjeYH2f7JBx6IdjWXp5
/jGNFoISMV74eznvZAnakhiVVXbYbQ8Yz8wtftjb8rW6Ge7ybf852x9/Hm+ZOA1d/S57DLZH6Npf
BkbUP13fU9Gnmb+CeIXwCFA7Rs7F6FlPaibfowRoCWkNlJb9sQugzabgvi5MNwCuR4Gge+E1Fxy3
M5mCtqZKZcqNGiNTi9dd2G6zZoJqe5ibCeJps7DCc2ngpBD8gaaP5cObP72V4IJIqZTM8G65pHtH
NRkej47tb+IxMFdZrmlwdNfNJpuK9F53inqF+2V/HcuqvalLrbwrUpiTQVpQD1Joxz/H2NT/TOsw
jxQO8UwxlgBv6G925Z3dUAzYWHIKwa5uQJpXgQuwAsHIv9Mgt4AXCVwT/1gthT2CswMwAmB05Ms0
C4xvC3iT021hKspJFJXBXDheahDbjtVGke3w5vruz1bg3QsAGBxrAowN6MT5ZbTnw3m3tGTsuyi0
6/HGtAF+99TcbBs3MjPjpZLl4jDko3VXpcoou2ApwEFHL/4SJK+YIKLXiUEGEpEA9DD4SHh/+g1K
4XQaUDnKjWoX9tpQEod5lL640eHeck09zdfTsfgSmFUGkIxT3UVBWGziUBkhFW382641l8hzBTMz
98gxDzDnI5g2IuoU9n7KnSY71sdi02jm5OLZlndRUZY7vbJ/avDQ3TTMgSw8xqIfPwvlHWbki6Ej
QDpFko1cy6NGygKEjkP6XKStvAlbJ3611Ci+CTR4mV1GJaeVDp2cCebzqM2Vnroa4cbrCp1m1Thb
QJwRJyT4JtCcaUTTLRxuOvsEG9ipcpD35VRuArAFvTAd4zvfYiKyjCt/I/v2DziKbp08zGmQHLtV
45SL3BxzCPxOQ0FBwyyAeWM6WAdalAXtMCa/VKSqHDbQGYKsrfeZglYkHTTYgZUHT5nJRN9mgoIv
uCmKyX/2g6r8CmJcbm6crAfgORhK/9v1ayMOiPJVTKegJDRtzH9MYWP0Y19LXal2GynU+mEzkeV8
ioDbvcmMOn2yjAamdVkHIxmYznH43qShYa8SSxsVd6qq6MEG7pHeSNWS8rVVTtMrlCjHRXwkwbTO
zyQcAURMhIgMF4jZQeqRjdVbmXmDDfA/DAkjy0pP58xAf4IndaOyiTWldm3rKLtGpEi7cuzzdW03
jheOauvpvg6ub2M8cOPi7XBs2oWSonj3374QhBHaXnCiac4QUhLxqEFuAyDQTcZgKXhzsW0Dhhuo
G6UqwOJsigIMdzh3csXXgPmruq1tV+k6AvLBC3TAj0i2LQ16CZb37ZvmOgL2FygGAsFTe1RQx2qK
o2zeNNHUeE5Sm14xKPrqugrNNuS9XnM2cxYS4w7KA0BLQq5Jbgz4bRto+Zzp+FOupmbVa5W1Tm3Z
XnjOL2wyQH/AWwMlI8/A+MJ7rjAVM5RG7N+Q8fnOjG20bVIlWKlaFrthkukv4AOVX1uNfiOziatV
zGi9Z5SRPSf4As/qy/zx+uLfplpOV0+TG7k8omsQVxgJP93jXsOIWYHh3/hNE/0YEk1/dFpjJx8T
yYtobthi5PO7JGicTSZV6qvCpLHbcx7gzzAGXvhSe1eDhxS4VgeLVdU32W081em2yaPoqeQ5Xis0
b+2uf/b5mfHV4HMQ7BE3MSB++tUJz5et1qF/03bW9CEM4eIb2lK+SZj2W1CPWcmEDQKsDnAoBtSg
+xD7m4346ECpaDg3eaG3L3YVHaNNmavG57Hwm8irLIsWhkiJb3K4n7JNlUWG7V1f7VtmVfyGOWOI
+QW/A2N3utzRbOO4zlX/Jqv78lPe+/GjPhj1YxEMWrxKfD3o3NAgr+c1Rif9yLhK8LnCMLieyAfV
m2aKmlcrq/rjWs/h2XU1i+bcrpfqchuVwVB4gZY4MVx2nfYBBuXoa2rACXhjpYZcgAVlABet5Ea6
EKecvWqgnvDKsiIGyAjtxbC3CciXH2PWBWu4tUnb0ZrzO81N1Jbt2kgBOUoLK1rX1mSum4qSxFG1
2u31zb2gSgTcVC1BPSIbK14As47gi625AM5gdZuwSKat3yXmXarG2sI5ztdbOEa8OyDyyGOQnxRB
viK5M23Q7KWbgPL8qtW6YEWqoV5H42CvBl0OqDEC9NXktAdcX+QFJZ7B8eYECrNzlH9PFSixYSmL
4lK6qeWKEb22gBQTPFdPKydlzUhVtpLSTF6nZVMc8qLKFwzfhT2e3TcAC5hVZQJZ0N+wKpIYNMbj
rsiPxge/HeWHDOUDbcBZuiuix4hKnYgS7NnQBKkM2stxx6W1b0o5MKBxNhPq0FoONIPfrsCqiBds
xMX1Ua2wFcrn/0Pdly1XbivL/sr5ATgIzoy4cR9IrlFLak2tlvoFIfVAgCQIzgDx9SfZdsSxVut6
Xe+382CHbbXFCShUVWZlQtv5LHmX3ozzY6qgeFjE82YcyJcIYQBe0dB4+ecP+eHjQXsYaCcsQFCH
vv+QM3fh8akoHg9lSR74EFmGI/ULJqXY0YP36QO82y9QYn/PXRD8MBULEBUia154dgpX/hJr1uHh
hmQst1NEvkZQjtg2ZYVCCJnohSf8ICis18NOhBASJB3PJVEswJGKl6I4aD0cxeA+waB8ep2cyt0Y
b0YW6fbisWJNs10C1W6BL7ALt/D7Swb8CYgcTUj0GnEL71+ysauXNPhBB2gPNwcSC8xkuLO56aM1
jRQtg5C2lZcysHUPvo8O2BwQ411zfGzW886jNkNbhy2uWphQfx1pIbcsnCFEXrsuDIBtb+Gw3Fkt
D9QhASbVFCXmELuMHusF1gIXXsK5RxqyL3RgYVKJpB+WXfQcNUK8Ng3kfZJ9F4cq1/4g97xHLhry
bsh8hJMMZsxgVdYkOCRDuRwrjkItLMi0Y5HTpfNcsztZVU42woN2r9thOnaY6n6WUdlvhsaBwZzx
wisBmZTb2o+nA9Cp6lA3i8lrlGCHcSnkLTXMux4Xrz46ECTZYLikO5olrjMRj5c0f37/7oiNUE1a
6yt4XAT++++ufaF66zrJ3kzgDrg3tndT8BWa7kbMl3yZPrjWmrkguUVRACDXe38tU6oIvs5NcRAC
9l3dlDxHtHBgOw/UMWnrx8HWlxQuPthZkLhbNcOh+IzE6bx9Imp3tMWYYIWV7HtLvWIfjoBN1qD1
yTrTsJ8ilqR1klR5PHrRiamFXUjcfg8muAWcAqjaVijyPAOGaFA5WhfasFWs5hQtt1cydUUeLtbd
hLq6ZO3xe2CGnwheLtQLoLEBBaH3bxk0+sZriwKys80yHSHv0cGryZ1PIO7+S9lUbJcVOsDYOJ7M
h//P2REL7+sJetMNbMPi8Fgo1qdlJKPc94d6N+BtIpln7CF0dJh3PrQM//lcOG9PrpdHqETYgqgT
Crhz8vNKiiazJQJHrIqzZhHxoSs8iL8kHiyVvcjuYdBO3oa5pptYMfupUeSLCOcouXDW/76wV74e
NA0BvHrolK4//1sjK67LQBqeiEPj9mgPdCanktgX+K151z33nDkrl/nCNdeN+T50rteEZyScL2Dl
cH5Esb7Ug0VX7BB6tdgwCotE5K/6wtr9fTGBsQelJ5jGhVA5ORcImJJ4Ig0ElA66cSD7C5lacJat
l3LrjBcanb/na7gUFi1UpKNVWuosEkGHU/s6qstDrYb5OLPgsXZCcC4Yc/YUNVXmz6o+la0DxZjG
Xy5MkP6+Sder+xBC+NOb+GzXtFRNFYvb8gDPdIgRsk5tOxippzA8O9g5Gi6wIX6l+eefD6kpWiQI
v2hAnpXF/jjqaTGqPEBpk+c6jMwG64bk8ByBOzesKYejU/TlFidVtXol8z0fR0x9TnDrGJ2JpeUk
xJsz9Us6ViraL2PAcqS2bKNF0h4UgaSV5aA5QDey2BGGkVtmSZwxNGJfg3m888Jh/HxhQ65A4W8P
hRgLwHLtUJ3jBUVF+TA1Q3kA/lmmUxzKTex2C8gsTbEro/4KZH7nqM0I53eDHxqxOBeO8F8NkvN7
WP1UEQ7gTguB4fd7ETmTXHQsqsM4YXTaoM2dw2fdi1M10CdQtMpPBJQ1OCAa5e+DiIwntwniZ0rn
ZefMMd+7qnuZtLTQLwxFOoShzkKwO/Yx8ZIT8Ys2j5BnHxuKAhTuMNMdm2M3nQjxm9Sf9Y/SvJgB
KgdeVAR7wLjFhbD3UbCBiTeSfoQc5N9nK7WTrSg5NyWMIv1yC4HkZmO7hW9IXXi5OzCMEmCc6vWf
P+1HcQDTSwhtCQSrgX+9f6s+LWFCjW7JoQunIHWUUWj8ai9P+uBfspHXqI5+PDhCCfq+ICitO/Vv
wVQUw0RLyMkfXAKrZ8Gc4gpq4PXWhaDRrip1faFO/CCQQs8cOxAnL9wMVlP2v18vUb0P5AWLlg40
zD2/FykPukt8pN/rYDwVLGcRtIH+I8y8vwqxMP8jhS0PTIfzHv0Sno1i0NlQowIfnSa5Ia5WMJwb
2IUk+8PnQ0c/wpKBa+u5fN5YlHNbunF5GGg8XVNK1JNWSX/7zwvkg/iJyImzAlnAGtDOcrulmDja
HQTxDNLpG1U47HpZZrInEanuQjZc8lT4+HogDqBkWav8syMXs+Oy1xPe5yzKTRAPauuG8DAFVOan
8XgJlPzo6yHTAASKvAp42Fm0rqD8WyQRrhYNVF5xPVX5GDR2byoLPfoFDr/muSCF2vwHLxW4GHY5
GBrOuUofXM/DnjVBeeCty3dlGXXwoa2h88gWch0JJ7j7D64HJvt6OVi1ngNy8EL2Eznz6hC0MNVx
4d16YtAKSaGjC3qn0pckvT448n+ZR4YA1bErzs8Lr6lVDO/n6oDOJ4Yy6VTuzYDccYR77YE4EOJM
FqrQdU34XjuEX8g4PghqSMohgrhqH6EVd/ZVS9aEOIPD6tDi2XDmBubGlP1XM4Xj/p9f7MdXwtLx
I7TAgGy93/0cWHZSdbw+0LlkG4yi9vteAD1HI7W6sN0/qHgQrtByR0K+utycnw9LORs6oBN9gDgo
f6s82x2WpYu2nS27gwinFsV2E19rZVmGjGh4DubhYtm1hrOzU3h1OwG9dG3f+r9u8m9BvIXwc8Po
UmJeJWCZEw44XD3CNp5M7JZHM4VqqaR7rP0iKxtMtBShB8HziLX7RJJ598+vHwS63+5nFW5E0xzV
LrpV591kn3gYD+ks2YuyozQdI65+ytGnnyJIgtsdiE6Lvx/byv9eQ1u/24U+0yfT6eBlGMGq8+HD
8BA2pr8eTb9AD2Ay7peSRPMx0LP3tPi6ctIFzOBbCD9gYMep+MJTmEfOh7h6mcfmHv2M6dPU2ine
AvKUPxjEsMzGbU3wYgpviBFGyhzVI5RyWnvvTrS+acZ62DAkFvfS99tb4vGyBOFZwo0dU9pLDd0e
ZKd5x9A7SkWhaZV6thnzOWxAdvJ5ERtoOXkDGvQAbGsIYNfDbiohzIMDrpKgY5ZDjIsGY/1NeTZ+
klLgxJUGyqRxu9TXsVPzLz6xITRiJAcMHWoPc+5TBLCeT0q6edF04cnpaXttOojB5l5p5LM7IBr2
PVo6O8CPuLfFFFOVLj4fNjRmyWu3qOFJWhJEOQ3kHGBUeCQPI26bp0NVSJpbIemLdJriYTJKxCkZ
wypKO2cUDwQNMLID8gZVFzsVKq1pGZx03P7QonwqIhIFG1M39LkbBeQH3AUo7A1a7vqtc+J6Uzks
9FK0i0uaF2Xk7df3HX2SRgxLqnkxXcVo7jSZnJCDZcL4cKr2erF8iau5eou4O4+bECfNi68iXeRy
DJeXhI5hdAQE7tf5NIvoprWYVAgqwZJDTyJ6IH3vwbocOlg3dlRDkiYS8vSYPhE92zWBir8JJQ0+
X61A+SHhxK4TE/YP0OenQdqDCEE3hjAbp2JqIhx1BC4/ORGJfZC+AIg6MRVXm2qMZpvVfG4+S681
GIULknHvc6XuMX4aHiwP0GYqQ+cawwrtPVxN0fVmUwcIIprn+a5tYESb9QPcSNPaTvTRYYgm+76e
yhOss53bEB/dTytmMF4QElKZFNPfDt+1win2U9h5S8bkMsU5HcJrtYTmGzwj4aAy+hGb0wJWB12u
XKeWWMDS+c4tA4UfPhKg7bpT0T67up3fiqGCIUHrRF2ZDr2DkflAqB8JBg4evMBOr9YR1GAxGy/3
x6XFnRS6/FSOxRJkwxIEb8GoeydjpnMwpAeGj8Yy5CADmqB/mLoKQ+AxQw6aNVMQvg4Dh2rUghD0
Cj9ZCKRDDTh5dquo3An0Hb3Ui0Urs0Ksv6cu6ymzoAv5B0cr+hagY1rtmDbxLZCnwk2bSvllVqG2
yZOR+08CbOVj0y0YV6gFnVhGimbGaLzrN18TjQZrCj3BYEpbsRRi47m1d+Q4PhT4FB1kxvqu8oKN
j1P5OVokx1RA0mIn+QKgVTY5vIeXVDMty6bmYvJSvWAGPhVlWN9KyJ7ewopkaVLPREWOMNB/U4OR
X4hXQjNTJW4JWWOwPNOGzcMh0cZ7slUzf9foA4PZJYq5yCBfzCA8W1EIhVlGCChmvJ5eeg0RJ0ye
ecPXovSaPnU1PK62NHHYN11O45Ne6hDWq+iI+mnh1RApwn1zmXPQT+EdKvylOyTQqHkaGi5vat1B
JCbuIG2dFnIM7kvHeqi822QteJve3HJft49iaDU+6ISlC8116f7gvQ2+OwzFT2rbYrntIUVNwCwo
4XGFiYIAS1204hYBvIAKQuDZGWttKV41em42w9KbAYzMY3WaYST8NrOGv0UL1W7qzGCdpKx3MJXo
VTa5XwaMmeSDAqR0herIe6ynCAoHiy7QJtfh4NANdp6Bp+0yVRkMles76WDuJmjLq9GKL44N/Gnb
VuD1oKCZIFoKm9bWyVuiu1yCh6pzBt6bTuvZtH2OtaD4bct9ZytpFzV75dq5OA6ER1EOCIvcTdYL
y40obX8/iInfJ/GcvGm8zMdCDicZJF9QOpZlHk44bDLMj8QgxzbTCWIcdtmUWMAv7TS3IkXMSp6d
uiAWRa67YD6ikTAgiqvJFZupEuKxhAzhC7TT+RN+fR+BE5XgO9lqYUdbzAmUSQk2CwYrY/VT+cyd
Usimys8SDMnP0wCLITxUbcKULoa0eULI2t5okIukfAgWqE5bL7iPl0ntatO6p7qrfKxtQwKZQpWE
YOZfJ32RdgFjWEy8qgXWxLhKLysJUx5eVZulb1qIHUTIr6wc5ig1HR8hhA4aE0YYE11w3B580MZB
0Zd5LoYd7EZgghbSVtJMFURfYTF7gPO9NprzZtItvIrVaCLMc6rxZpwSUIaXJlQvsoNnUosEEQNv
0G2FoSlH1xmT2hUU+3RbgBbqdjN9JjyIr+PWJn9p7/4r5v3/Nk49Rhn+lq/9Rqp/nPpq+EWlz14F
gtB/HYb6nEn/61f8SaXHgfnHapgFWhGg0tUDCb/9Ty49idw/VsYRBqaRAoJqvza//yLTuxR8efzp
xAHVHVnpyuX6i0uPH0E/EHJukBEE8TFA8fp//887p/Ph7N//zkR+Xyuu4BlQFGi1wqQJ/ZLfrIsX
shDGATpsXajUPy0SVqFUK5WHtV+lECD7Ca5B++RR9a9aNH9dF7JU6xDKipOuxdbfUm67RI1uiVNs
8ebcfB68/r4cDPzvnGb6d83nP68F4iToXato7G+dd7zKCQkDrAzruKiyWIpiO4SuvdDLW+/4f4qI
P6+CtgUIumjorR7b759oGPxIwpQNTxRHEhCz1NuIgXUyQBX3qLmRJ6LYxvV3kC6Xh78twds/r/L3
r/i+y/br2hj1Ae8ZQ0XABM8ZUoGeChvXuLbB4Pcm4v6pJ/ZaOVAvABZLN33rX2p8vS8S/7okpuJR
nqwN4XPCnBewclSIxVtAzyJjjePh9eKkCrqAX2g/f/BmcQAAUYdEOlqk54BFkvC214SQDRlwQrrM
OHliG3FgQVRdkWH5ilGqKzA7632NWvxCw+1MYePPBwXAuj4lJl7cc2uxkAwVrh2QDeruOONthAJs
6WBaMfN4LzXtwbIGzXzFr7Y44+CGPc4kpzGsaG31nABhy7gj/p285193hSoQd7aakpx36CzF8ItS
Htn4fp1sw87WGXDyNi3E1F1o4X70BjCtBwMszK4hiJ37kVBgwqL2BYfDXqKuFMCON67i+mszQ+K5
m505T9B2bp2yOUzVicD4NPMmhhMfXLqtnUcLFwlGL8lbnIESv14BjJLA58B4L/TAkrPeOXLythgH
H6HLeJC17FGjp8ZZYpWLNqGYPoPx62NdLPTGm61XpC1c8DLJ2HKTKE8ftavJlyk0+L8WWvN88EMo
tDdN253cyd0ujRfBQ10WyM5i/yQK8ibXiUDOedSkxIh6jwozeGBmTC6J9NPf9zPQ0CjCqJULpzWs
+/expAJbdyVgkE3Po2obzHaCwV8J1eNBOQbVguLOT8NUCFEZYgzawCMzWbIAA59M00YowvhyLZGW
jFk7t8kXKYdwyTvgrHxDveVS5++XbMT72IfDywErwsUphpHgs94UWMPBokzANlYxlaMdjilw1YAz
KYNegoWu6P1Qg2OA4NtM1xbzrrcl1O8wir0wOCxhal6mke+NHu7fRT9UV8MI/nKN/zDCOQYidi6Z
nTT2i4dWWX0rQBu661nBYDanTHQleBXcCpPU96KGZhZoaYVw4jFn0+jvAOO4R+ikB/ciZLHJ6GCg
9kiXJNVwJ/yMCTL/M3AtaOf447SlGCK5EELe97TXhQpAEuRs4NxgFCBKv/+a3hzMQeH5bMM8MX+u
28XZNXEXXDh/Pr4KZkvBuoSF2Dm+3FpeMoKiZpMU8ZBrd/mh2vASeev3dAGPAjIuYiEavXi094+C
UWQw/APNNlSHI5j1NnqGJ4tMC3gr5mKGLvvU6j5DjuteOOI+uDKk0lZxFMBIFLjr+yuXw5gswh2S
zRx4MDPnC7o6Gpo5Sz80aRF91gWk4EncRBc+3i820/u1vcYYLG9kECsp4izM9MDVCC89qO0paC2h
QI3Zkzf3w6s7lJUPT5WA5BKEH8xZaFllzuLYvTKyDbKpdNshNXHUnnjlLN/LgZ06eCTkEGA0Y1rB
jvKRuSW5mnnkPVpSQAY4bBp+D0EE+S2sif/Ja5Py1gDsvdBj/P1I/TNwArtG0xOL8/3bNJiyXtrW
STYcIyVbX8fJA4SV74dqRICPzLSFuMENgCG+S8hF/4OPXyk2HEB6QK9A6t5fvbK+T3wISG1U1U67
sfd5xkjTZ/AhinZgQcK2hkiVtovG9HupcMLSAOPBtePdSpctGAWMn6qIQbiPM0x5uBbWpQ4qz1b5
4SYZdJcBbnHz1ml/FF4A13LZv9Zghd2MUL9J/zn1OuN1/Nrd2A2I1aCFgTR+jiUVxsC4eo6iTQfu
671FOEmZn4grLkcYdy26d9FboMlBjMzP66BLDkb26pZBdPTpP7gVcIegdYERkAQDF+/fq2lqzxOV
wh7pqx4H8tS/zpMt0tCbhkNsKfmE9rGDTmwBnhqaDmm1QBjc68f7CzeyRrSzPbOmwJBmBjqDFtDZ
8krwNWs9cNxI15+ayT1YGzgH6oXihAwN/Tp4LGYo1U/LQPy91w7JjpaqzlvhXjLP/WClg5WNzwQ0
EflSfHY0cc9lkiCx23SD8j6jJI+vQ+zUq4E2XV77RbSLCvqaiHG5ItHQXQBtPgjKHr4IouXqxwRj
jPdfRHVsjMoOVzfwNL9mQxJvPen/Na77r8rs/88B9/lHP079j//CfPvwX+i3fX8dhWr+F4y6//IT
+X/Put/8aF/rv0+z//rzf9bgcfzHWmNjHgEzk+gir0TJP0vw2PkD7qEe0qz1b6CY4yd/VeCe8wcG
QTDtDYQfFTIGa/6nAg//8EASxxfFGNrqa+z+mwoct/I+3SNr+ADrDy2C96ujJHIpRl32+wgjtHeD
7KCay5k89Am1gIkJuYOsFVpIaC1iBAqavkmyc/uB7EqQme9VRaA966gOcz+S7QVfxAbmvdNPICNh
XgVL9aa9ad7HVQR8tCjL+Qc6r8HGGWWdKT25eVQovZXQsNmhyOAPHeDTG65m9GzB+68yWNgotDC1
uY4lKx4AsNpNYanzowIkn5f+0vdpDxfCvadEdZc4UhzVrJ1H25ZAZkoY299XMqYH7Pj4eUZScSjh
fPNmA1O+DNVk6rwjXbcNIYyc61HGV5AYKJ20cLBHXeycLBgaEB17gvrZRNHBj4Q4dJJH90wWy43H
MWrRuaDKpaNOqgLuELQBSDP63tZ0nfohysbcdS5H7TtNnLxEGuKj6dyz9qYTS3cdwkxmUwoZ3I5x
lMUK3I0Bxos3owzMvmN6uZ/Ltn6GEXDxWVRdGKSYvYTlY+JgmNXnnv06q3G8kpJQDmkLKZ5ZVHVm
g55OvKtqfzxNwm2/mkDrNFjC4ac3deSm9OX0vbKjcyqHxAyZKAJARoY7cACsZnroSht/Ac5L836w
3nExbSFSd+LQTlqi0vXzjvv9F+Yjy8vQ66Df2m6R35Qrm4Mdh/Z7BYEhJwUDxkvtrIHBNZi4AVnE
2w6gi2z6eXigTSx33vjYFomXKlX4aVepL6am+3DhzSb0iyRFMx1KTu1U3hdOc9f6yYEGj01bhjl4
e9EGftNyF1UQjydFkodVte0K7u85HW+8lU1l4WpaYKDrXomF7lkJ9g1RPwsgnjvhiTqbPIhDEW/a
NKV9C5dhTxO5g6V7n0cB/MvnCoLDUKedJ/9+aDA7viow71lF4AxbrKSxVw3H+ayMb90lDH6uDnRZ
RA3mPEGRd75rd2J5E9OfbTvrJ0ySDhv4U2G31AXa6vgrNvQV2gJinwA01AC4YGzVV1d9jDGP4S0E
MTLx+zkbSbLDWCDJWjOkjvs1oLitCkoMjJODqMpdRJLmq7uYYBvLe4opRsxgwbh3BknXeZy8MlcS
/ptTHB5qDBNWIgIlO+7SqJnvMKIMuXupbwFTVimi9q4Y6r3Lm29QOohTGsuNpOwLcNyDF5Q848KG
oI36czrGzqF3uk9+R8SRRyIvVPASi+J7REvYffSwX3KDHwIaMwD1dCrXBjGNAHhCjqpNfcPjNLIs
ziGidEXG4iQtwBrgJnhofRvh1Oaryh0aaSnta4xywwXY8ugOhiL95y4haMSP8Njrp3I3UI/dBLPI
DG1yGbZlPloMekWJzusJYAMOZqDXcblvIYKFZrzf5KOQXxxHYmBedls1zVAhbANgPH794HbNz6n+
rGOLEjfoprT3UKR52J9uDV8zMVJYntNRHU0lYQCyeAdgmU7aY9c9RrMb32qM7my4+RHaRRzjiH0m
Y93coj2PRwcA24oo3iZE5iNibAUmE8dAE0BK76HpSKb64i6ORswrQFLtbumL6CeG+RkqDbaZZmny
oK+8m8i3r8D9HehTtDJ+9QGjy5SDoSSykgdhzowv78K+n16Nj48Ghn7/SfsBSI1jW0KlsMXcV9Ha
8arFfHc+t5TBj86BTwaxln5Ws9PmwLmcq4Tj+8KB+BsQYe+VKC2+WZ40PzyJJLjoB/8gOjgfskQB
OYr9NldaPwUjGXYqZMEec/hPteog70wBoEclCdI4gNx8mOj+aKsW6Dv4nF0WVn74MzbeVV8oH2Bq
4WcYSMNg6zR+hYRxPi5NmwNUN1fUk8WxAdC5gQ4KrDfHAfUBhEVHOfuPLRCzO9c3V00TtSjE59cJ
A3e3jRcrgLXOALBCsU8sCuU3plj0rZZAXlNvavybpMRWrZhL2nTkPfwbKQReNjHS/jsDv6f14Fpg
WjU8Ej0vmSnonSzoN+tjvpEHgm4DHrqPM2nnXCrqgMxQoxoAS8ecajfmV4yjRB1N94CulKbQYBnZ
K/S+IIxWoq0wlxqzurCFVVyzFMcHQmohg+1gY5w5Ca336PksGALWO1ABvJwWg69zYYYA9oHAUsKM
8bB/a8Mm2gc1XK/G2beHpo71DSQaGiCQZe9j8VlN2w3CWJ37wMSTtNIThp0qrLO+v6ZiHPGLZijR
1c52mpMiT8ouAIQzZXPlnzzA9jfT+Fy3vXxTfetlqDvpxukM2xinCTbgImB/yzHlY11t8SkkDuPV
vYzATdsvyR4fEZ++WjaKu+RTb/CgqeOtThHAwrrYa76iUW2bHAR6W2UgMH0peQUSamwjHA2JgHBx
TOI+gznOkAJCVTD1nSGg2PabIuC3BbobWZwU143PshHdlx0fyJTPIzgJBto4XThsbdzDAxqTu8b/
GTvAqnD7dMPDgeHtzJ+10jikbRddC+JBtBhbKd7WIUmZ7I+thx6RQDJ2hd7knC6ycrNwsEvWBzg4
7PpbiXypkGxvlfudROO8kUXyaiLcJ/QZDqgK8Q3BE5FVd4pVFGXSI3Vuav1jNph6SXuiQesY9cbV
a83iOyIFNg3yOOgbkAETWRgtx7jSWQKYGYQSkvtdmAFDqND9bpMMfDvocAfO0dZJzkV9aNr5yVnI
VxN2zY39JQiAnOFqmbUBGd37iSryky2mOm/QiPRQAiVVeQ0PjXQ0g0xba7q0CZ1vUcXKVCx2TAE7
ZCLAP1DtdZvIG34uDmTUzacw6F9m6d0av1h26Ad3x9mhKYMjMI86+WOEpQrc1XPEIgHssPuKJGe8
mjBiAsCxErskxsCU9fT1NAfVHfgkDhpyqeyMm5a8vYqWx1XPEtjjgLGi7noIvfkZSPTeM/d0Qp93
Yt8gJOueCor5T8xIjvVY5Zw0mT+MsBVGy9iJ0I+bt8PYfOGASDPRyCfwaDILNaTFvY0n/7oel4Mz
hM4RbKckxWfJA85fhSPjG1BgM7U2YcEMuwtCFIxC3YCFegtOQZNy6e/RXmb7wK2/WFIl29iMh6Aa
rmMR0nkvMPR39KE03/kTP8yQITPIAI5Rw58GdFceGhv/dNWS1v0Dj3mXNWP13BqLCM3ZNzAo7caR
p0obiOjU81toxZ2nGdBdicVKKp1Ovvwag8hz6rogg3QeROSovePQJo7qiqaz8HLoZz4vMhaAYf0+
X19T4Jb1NpRBd712QW6q8KGry6fYNIeA6E3Xifrem8xPEzKa+ko56TwQe9Cx338nIrgaQGIAg6b5
PAvnUYNFmzoA0bFmYepk5XOMmXWEAB1nSx1b7LJq61dK48iz8DUI7G0cNjQN1DrFWpdNmpAKbC5Z
v0S1hlFTD2qbP2xpAGIBXbDTUtkQtgsk97MFZKxN1ZQ3ulEn2SKpRbP5firCfQv82pD40QMWnVMa
8gfQi/YlQC/kGKA3CIUdrZZsEt/LOLidPAeYdphztGaohlRoCXX+E23tzve7PKTTbVjUV1USXHPb
ggk2FxR2j828byuMVuawuj4tFqqTRQE+TeF2+BghyZY2KHNMTPubwFTRNpm/ldhV2yBqbeqahu+C
cDr0sCVGXbP8QOAnsrhakIsewEk5ugVFTmX3ErkpuI5bOMJCgZ467QNgf5JFlRN+JpV3RHc0ODmt
ukqgRZHW5T1oxktOfWBPSQdKRXxVEuexR8rjdt5bB/QUsTL4NA8Ioi3kQFxLP7GgQoZbqhPOpJPD
1BMxtssA9x5BKElBTdgph2IEueZZXMIFnn4SsXtAB/+uKTGTC1E9BhKVi83q2hKpXAulEfLgO2Oy
AUHoKxmg22iDdNYQ4kazJSACcbpvH0MAj12KvltzM0ML8YWZFloWDsqwWb9hweIcXnq+EzUUx/g0
bHGA/gwCPWY4Hk/lIka87OIG1oVAu5xnJFOM426DvBQTEp/E0Zuoh6wvKGWqccHz6lX1NIcBFibm
nRGTSiwHW/tpqNxDMy9b1RAwa/rvPaQ184XiUwtuHyKcLRljT4TOR1iR+HtZP3qmReJaE4inODhZ
QhhMswrsIVa5PNcFrHWb2I2/NZUwX6cwuRHkKMgIYAQuO1Z6JzR3h3Qc5zZd3Jig7gUTKh1BgONl
DJh27HdJpT4TE+516H6vJlIhFsz24FV+Rjp/17TF52ZY05Ck2ybDOB5iFZSgqrCVvDM+SI2xmJF1
Md4nsKMyDO+ayitTV4yf1CC+RSO5i6jdQ0Ja7gC0gWWYHGnvFrtucjIdxkiWiaZ8y8WczR5ehJxv
oFnwDB22LvNcdcK45Q8TWXHTYpIzhQTv24I/MjK3zueZ9duKuDuS0OfZdZoci3m4p4UwB+OAOekP
qBFEHZbwiki+ChAPNhDrnW9lLO1dzLGkqHCysA98ZIq2T6O2uVXdeC/gJZclcoIw2tycvDbsD3M7
9TlpgIXB1952/DXyqyEjGtQ8RyVzCgr4c4T59P9m7jx25Fa2Lv0uPecPejPoSTLJdOV91YQoOZJB
F/RBPn1/qb4NSCWhhDtrnAMB50gqZpLBiL3XXualnqEpwi7d0kfILZpGvgbGKK5RXiC6FmxFYthU
le3fOYH20GrlsicUz4E545/mQH7vsmHeCr1TJ8vyqjCxejxOEpKS0rLdOFIdrVm/48lXEQzxPHLy
NCx7uKZ4IfpbvdedkOVZXQ4D0EdhzhF4RorMFXzAzQlHGLoN00tzC7Bx39sqnjtp7DRtgA81TCfG
UXv8Xx+MrpI71ebDrjcrfQt3+HalEhCT/RUiEy5/17irhOnof00FWxzq6++1wJbF7OzIMAEF9LTe
z4F5UwVzOC6U1B6V12I3/KiGWrZ5nM4J38zUdmmWn1pRpgTa1rRswvBD0s7DeZ4zSlKtgaxlD5tB
6LyowIlSLCE2xpslC9Zt7jnjdtU7Y7/CQKpbj7azJQ/PXTCrn4YuWjTbQu2bGxdSc3+Mnn6qnHWK
tCm9tvUmXvt5DckHjhaeKjS+545dGsGOM20z1xXbVCavbLVXdpDcl2YgN60AOyo4MMxuHvglu24S
86U21c3YzgUy0bm/yBL/yIThSz7738cmxz1wMQQ0QK2KKc5vjdowQ0/4FBvw0Decq7E2DfAerfbZ
mKxHH81QSO76rk3GiPS9nY7Z1RbOcziUVRwo+6EaRhjJZpjPzAq1NjtoeX5jm/2XoSoeGSKEtmhu
QMvGMC188mLr/KFcylvsF38kSXpeKcmCSVfDUFLkUB01LYZKe9FmxY/Cc+F4W9qdpYkbXa6s9MoI
WwdfDnfk4Fk5+wpWj50lvLer9mXW2GvXRazsxqUDkDP3X3uD6UVFvnhqZtSjhIDrqw3PNGNQ0MU4
gvwQRh7PAwIlQ02PKYY9hUYxKoFXNmNDdyKX9snKzS+lz0kwyZ4/2ZciErp5XZGPtZOtrh9KdWax
6baW3brQYLcLQ9BzUO42ndYXPnFoTdVdVbXRUNgRs/nuOslkfbSwXXqeLAeJb+8DAg356+ivNwtk
56iz3Psm5SauptouOUWAmTlPkoR2wcBgW86APmPR3ousjLIkf8FXSu2qzn3oDO+yXudLkU80B9Vl
6TziteNvi6p+zjvzUGjL994JLnqtu86GIho5RGPL11b6i3GIEKW9VrW9hTgFeYD74Yo+lGz0UclS
9CoZNVNzMB1tHwhLZ6FbUeVYGfVliuojTY6ubIsNaA96F08Xz915c3HtTeI4zzkpy8ZUZLGn4fJY
rxe9u8adn99N57TBJcmeijGDwEjy22gXp7adrozRiGejvR3T8ZIWtrkq0vm68Vc6jjkJpZ0WOLHA
9CnqU4f5YBwU3hb1f6yXwQ0i3nLD2Rl6ptZBDhVqA1H2atT866A1BfVzcZ3Ydo75bbo/OyWUNmAt
51OhZ3flWj/bSumxOxly63gCwGWYN0sBk92v9duUHsES3RB6czLvJENZXu5Uv1c9fIZ6n1sxzDFC
X520CyuwnyVQ0P2qrwBiUS/0IRozw7uZnQIqauPsjDTZCTOB6t9RqLDUD5OFga84abZ/4QXNNY3n
Eabrt0SOm6wwHtQE1V8vtSdYIABHDczzenke03wPUYUaQN67Hm4HXvMcFFTaen6mRi/Wflb3OlTI
qaP3HxOyLTGmiwWy9rfSMN40vT9p8BMQXnRH0NM+bHR3o7rRYkzT3wyBk4ZrtjyU83I9DcORV+oC
hs3jNAXuZvbmpzqXgnEwAadLc3Jq/6pZ/Z3rDvUmWaVxuzQjZgFqCZ1pOPFSMK6uQkbOTwk9wcbW
tL0l5I2YuxchqdoMrxt3phtgHGkl8mR27anIgPkc+zp3rHvdLA/+6F+3hB52ZrFVovzujYBcwJFI
YMHIypbWzjz3yt2blO6mHF1gWXPeVelON5crZ6nZBfr6aIpq3bYwX31G6ZsxdTp8zgheI1RlY+PW
EBL6duVZ9H7V0m2qvg8zjDzFXBx9lMWbxCoPkzC+6pn2ZA21HrZyaLbwGb7nyB42XcD61if2uqko
l7uxH/NIawb5DLZoiSbZMkWfNynVeWalW8Smr940vJY0S9tSn4uLRImBbbJLr3x0QCS8HiEbiTg3
q+3SNZRZkPjtqsdyrLu3neFo5OWPuRmzR1d3u9h2vG6/Eg0IohtMt/VqUvrkC3hn33aRO/jzLqho
Vn0Bw8X0hg1xmRdWYuxr76Wg/YiWHquttfyaizFaGatuMMvdKDXtNJdKqZOPvpO8llVgbMFfNrn+
HpTpgz6pC39K4mq9K00KR7gWiGV/pFTqNpMJ37PezLL7Wusyzs6BYE4fFY727HTewTXdaJ3Lva8m
GObZYa3Ft4VnuziUK0N2r5m3Gn0eGoETpjW3yAOwZ3DxZPJT1Gcykl6/FzpmW4OhiQgf4WaDf9Ec
IuRfTnqe2pe5m89hl/EUAoCp5UkgUw8BrGdO3uCmWcXD2pU3zEcob32GAgnQUUd7F09iFBs1pw9u
BwztB+wpIEbsdwRltba5G+vsfdALytgk9oLSinFPeXSTbmaOYtwUShs3mi2tGSrzHOdzuSIyHpt4
AdKM2nOMp/9VybtutDFfz/k43lJ/5fSmJTyrMmk45p2ZpVcDOQ2F470Ps4Gb1ezEnl5EswE4gvhE
slhMrcp2zIbhSjX6Vc/K6l11TwN37bBP8Nuue+H4zSEg1BNv0C6GMZNeOFPpbTulvcG/vZxyoG4t
/0ZJ+YQNBWIRyZopqN8O2mKc+U1mQrypfsxgWSZB52LvmLgIfEARDQYEefDd9NmbvAyNXpbfumqE
Aj0ZzrbR9L0J+g1M3P0YwDo0Ts7tZOf1qWbkospxm1eNeduseb6n45enIKdEA4imwuW8hG8UyGgy
g7Cj1Q57SCM7ZnZoICZ33/tZ3OjajRwJp24QN1PB6PssMd1YtEPY5eabNfLirJa2zWDbO63jhErP
K8YWA29faTbULYur6ZcTDv37yhbgOWJ1H1CmEMKWY71zo6zGOSwgPG94oi2XSC6bd6cHRGNzS4Nq
0xvGGI9uNVCQ9pm97Qvlb3DMPAER3c7LHBBqhRJdAfYr96GU+jRstaSSl/MoSgaDejJhIWvY7YF9
B/DAHGMzz79Ui96GgdPfBGOTbQ1XfEXUddEYXqxEBfGuWC8Nze43U1Jue9+VV5Dm5ZdWJvWNKkXK
6yn829SGoqaNC1Ba6bd2tZnSUuxQovGsUrN7x4Cr5hWnBjZDvav6ODFyEz+oej1Wmic8GhhFASLd
djeldnYN51K/zzLL3rntomN82xhwkSDrYJ4iNEY3ANfdIPxTg2UkhhDYbSQeBEllivxcZhjROoz5
RYHbz1WGKGAr53EACHZatEG17L4vOSPQxemGyBv5jEU9IndR6zzsHfqI41ymBZlAuX7nickrwtl3
1kOCpQmnXCOTPCzG3nTPpMzhMK3u+CV12/Lgkra0FUG7hjreYokjaf41SkrZriwbDAEuuKNDjH2j
Y8aaWGsVKp7tfqDOMcPE7CbBhm1XmGl6bpqG8IjUTnfy6nqBnXSRaJ4/hKk0uh8qbTOYdZJXJpg9
8bhOePGH9jiBFumG5j0jsJujvpDNvjMX2mvshKxD1QYkQXbUVjGUMk4iJ6vzerP2tnHRpjN101QN
1EwpMvfRz9+KtdK+acYC0JJ1oxtbJNoeEqOSMQ6f/MVmDFoOUT94hyzDT0PQcuXIbI2Z1MKlBHUz
X1VlIFxcpblNJryrBl4RUoWTpN8t7iBPKUDQvlDVq9/O68NZFr6zAroMzqvkYl1adeVTz9yAYSwH
AfsqtowujYzSBmVwpI3tCLqTGRTrOhtVEekFENRU0sRv0FLZ8zW9DmM5f6hxNR/xQ1gPxjikIOq8
/V+6THhX/TKqG6fRgjvfomEP9drVLiFeOpHEGGLCoz3IX4cg6y7tzC+vZ6OxTwZikNcgSDqsl3pH
F/uGqvgCjL3HFczLtf7VK7whXCdFVdnosvqRatLayVRLVIxasc73fpoailmTmABF0oXxY30qawL9
snLCTbkqhpXWah4l03JTOTdsIC4YTdH6V6bb5tm+rFAUbT3Ir3fz1LhmbIJf7FZbS+50qd0lzO+h
s/psi4lRV8d1CNTTqk39sw+WG7UlYUmI/tNDKwt12fmNtTP9twr64s7tjSzYTIMR3OcrGdrKtGSE
O5MnI0xds9u+mFr2oGawMSXtqmI3ssXfJXNm3SxD7mJcSVmSXuBCQSs45wqs3Z9nV25UPQWH0krW
U2tl6IzGsWuN0PVBZGK/H25Mt0zCWozZpU8bSe6hpi3RVLVeaCUiKL/x/6T1VehAefaUNd2uq+oF
kCNIB7XBkgGCgz4PD6mFtQsz2dl5GmmunlvXmwE3cEk9jvaoLkDZsLhqHP2iWVTyNmo9DFJGTAPU
1nXZ+pmRXHZYG8FiA8UHqaaKwL7knTik4i5wF0linJT+iTAA+6VVabqZ7IpQN/KLb1uvhffkr05c
1Eo99W127+twWgVCNjzbOhBP9k/vFcJAOscz1jpMBGsvtpHL6jdat47a/dLN3pU3e6922erfR7Bi
pKkzkz7HZoICFYB+rcO3NZy9Kjgg85PJjVGS4rRa2fpYcSi5uMeAuS2PzCuD+ynHDmszaaDCcjmP
+bCy1nLFrqBqMa/bXkGGwFLIvluGszWRvdjk8DT9xvGHM0olgnFbWe7yzO2uLmYMyGmOtaQ46TS+
YbkA49Ru24WI2DKIX2uS0WrZ1que+cEzaj5gZruKMwE8lcIk3dagZc9jUHm3UDR070Bw7CIRKyPH
ztUwP1Rido4TjJeocBt6mdHBFo65vXiwmhFku2Vmm1sGnWPGTRWC8VBfDUi5NAiOW68tKtTItP6Q
sqxr1I39aSkwROvNuX9YMjzrinKoLpNs0ZnjmQjwtooQbbAjqDGYLxv0VAUjAmFM/pUszDJj4TZW
gZ/JiofSWo6B2qSsl8vO7oZuvzBjLDauXk036+ICnSaetC+X1SL6VquXeVvpHl6PtZR0Gy6GNzQL
yr6gzxuitK1vgbYDbO6g/W2C0Sw2jZWABBIdY7H3MUHxunb+kmiUhl6mputmsZ2Nm7jy2mmmOtRq
xym37MyLv80N6T1gT8SUPvBcnMNLDpZ3dyahLbJsaqOm6sFbtbQcsJQxWhJqdM4ja8oJ4TTLpnhe
/C5INxl8lculmybUw4Z5K0qDuRXySzt2WTAv4ueojaS7NEr9go6f0W91bdqj2+8JodS3Fktst0o4
AqYWZFder1lbQOL6uKCJ/eEyoNrMjbfemI7eX9jKSg861WmEWt/5T9L8f8Wge2gq/v1IhfstH2b3
vbl6J2X04x/6/zAaBjfmX0ibf8jYbt7r9wrN1vd6gNp4+Pa//9fPv/D/RGve/2BzCErAAUzayy8B
MGRC/Q/JFFDAYXXChtbP5gT/ocyRDQOcwyaBST5OP+5Z1vAf0Ro/L8BNGfk09pQOEIz9X1HmzrTJ
X/mliD3O7sL8gp+YhQbud+Jc7XhBj7LTjtohy2KibIx7k32bTtNtt6avzCutms4l10JbndTQkALp
upeOXooLi8RXBNy9DdSrTxGqBmc3DCnSz0oN2jYYc33nZvycFLuK0PMYzP1yo/8i1vrpy/jh059J
uhj1eLAR+fy/f3oDyT5FAQdHqbn+TQWEdgqCyhQhrLZ8O9TOayN6HBoWoeUbr6izI8giFZTEE2zT
2LmzE35WM1rN41VwExQHzqYF9jz250H/7I5vwFV3DgXAi8dMH7pOHbwlpacTSmOJeWsqARdKLWrH
ATudMght22QdBtS9JNEOlERXOgDAvmmwJhaeNsUF0ty4xQGMiINK7T+/IWcK7u/3w8TAJSDxxMPa
HIu+3++H0+FAP5aFFeFXruhIciYtK6aDp4RyCrjAKl5aHSxyM3bTl88v/Qd7G7caIoSwvj3zg7E7
OX+2X3SIdVlXqT/2RgRkSzcgguBxKDndsXpRsZQkCnldufVgkG+yaWJSVxRHRlVfP/8YvxNAuTbC
QfLt4Erb54Qk6wMRtMnkUFAEDtE8WcZGw6aKCqX8QSH/ZJvVytEHgvL5JT/q97gkWNVP/aVDrOxP
CdIvX3ySGeKY1htQLOtuaLr+S9Wiz/bpvz6/0J9P98zwRxjEIIbAQP9M0P7lQlAh0tpZ3SGyBfj7
ZnXWZpc0Dj1mC5lReR060843maoI5x/s6w/uMj/v69ltiXfsnAmDSdfv1054sqmUQMtFMjS7SjLA
Zv4Np7RPKXD07kHWCR7/ZQ9Bcn2qE+hG//2XP99oTC65CX/c5V5L3SKZaB8bJ3lh1PuuWvdFWCUk
fOaq82DENQXZ59f8yDnnySI4Ys8G3/E8PAp//9I5rSQi2nyI5Nw7uJemPTQvXz5+fpU/1w8252zm
BlEEGOe4Hyj+I7F9fe2RJe0VeQbEjJ8clp09phJ2Hn5+qb88Rq4FO/CsdfyZbfH7N/IYKBVtDy5a
JPZpbL3H1nC+a1ktkAufSRe41bagEfvVKLfm0D//4/J/vp14SVIocxx6nIUflVVgKyQFWFx+sMxv
XdFc6Kp78/ThzUrHvZFUcSPTZJMrqLGZd69rwRu2FODMK9gjbc2uTUGKRr8ADvBeP/9sf3kKv320
Dwt86IFDk5+IsRMczTq4CezhC49m//ll/rJNcgs83YRGz/bEfvn7E3A1ZrnCXLtI2OreG/odjeBT
aUEA98cx6jURZzrtGGPwjVkwXMNk5F/ZDH8uaz4CG/TZ+s6mNfsgpcgFhn7NqFgEfksSiC2D7YyM
6R/f9HzW/H4Wna9CWaEjFtFZcL9/Ub0h0nbWJ64ivMd08R7ogvGSwJVI9dHnN/Vvy4oXCCSU7RGf
tg+bvkC4q7fO2EXWKgHJU+8lb2hToXrbO+wLYaT55vKP/ehvX48QFjYH7LtRNXx4jgHp4q4SfRfZ
cnxI8RHGEqL7App9nDLr2+ff72+vLaoLF2Ovc2yR7X1QxLeau6LW6rqoBEHfVhp51uC+2NMsjUJI
DQVHDvm0mVEHNOkc6q00//E0/7puLV/n25LehPvvh/djnBMNaxNGDZ1rXwIYGaecpLIYNtRWLSOo
vmddIDrItypvdtStd/nU/dcKMZ4xsvHz/s/UhUPow4MugrRBhVB3EJOaF8RKd4thXi4G/HtDPlHa
MbUmO6l1ftjgKZb6l9XCT7+/j2ua9Co2KWosn1X9+5qeKlGNZDR10dQThiYm7SIo9GYHuTCLMAaM
e7uPpiIvkJEH2kYFZ1gcY59sq5laNAyWvakXIyxsyKJJqxV7DwPebdfU/3JD/XNx4pqA4ZxJQa+j
S/ywOHW/Rp7mYE8jZ/sxHy3/KAJ/5/nLjJJBm/9xqvy5dXKUuOc2AvENjtAf7ko/Y8E40LNGgNrT
t6LI7x2rsX5M2r/K25/OfL/ff15yLqbj6Y0v408h+y8VkBCwa1Vh65HRmgetlC/rmVe04HmkUupK
OPqwnDvGgeSlHlVqEhsAmWovKwy6MIjd1B66U5FBr6wL722AA7sfCIkEaKjM/eBQTBgZcuiJ52OX
FRwkU3VbOSzbyRrt0NPV15TMl89f7o/PyjtnunD4U9OcK/ePu/HMsMmVWbtGIw1U5DiVfwufBZb5
aifbfK7/tS9/3P3/7/V8fLBh2OF/cv79X+4hYkoBN75bo47q/NQI3CT7lJHP59/q45Z8vgpcNLx4
8WU416y/XwWTA6OCd7pGZkKWySqzL6vK3wAwL/pKjwKw1n9c8PwDf10aXJBgORwQaYDIU/DOH+iX
r6XknGHjDzPbTL30BfqCCdmlfTc74yshGEx7wVw2okE38fkXPavX/rgwNbF1LhKxCbU/fFNH+IMY
fP/s44wlFqyuyGysB9SKjNnm3jqak4yEIx799Ufm+ve1nl+7PgabVEBrg2uegSPXFGT/XQ4JebOE
YUDiPnsJ6Ogl3Q+HvKrToa95F6Kg7X3EFJhPySQNcORa5OEft+C8ZD7ce2xLdO4+BSxAx4ftpli0
cSgBONkD0zLs1jqF84PawTPXTUqXEK3IA7fuarwjeI+XfulDOj8ttBs7Znn4m3LOv3z+mf6yHHzH
xEaY44I666Nz69jaGdcqVCR6d4h7ahECYHrwdG99N63lRUCywN2tzOLPr/vHUe2hbid8nH/OwVc0
Db+vQzAb9nMlZubtxY/SXQsCZ70KhDRQNSZRGLtczPXYnNzSAnggWAR/Q7Jovn3+MX66pv/+SCgU
AAgNNMNsmB8fyVi21pSO2hTZmNF/c+CdFVN+PevmObFiQHc4ug8TtU0KLBmkd1gTLfuyXLeVGWS3
KBQORen5sHKKZq86D1aHhzHBptYazLxtBR1BW5tbT4OwJjF0PBT2ahwCGEsRTjb1KwZ5zh5vSf1t
kKu5S+wm2I0ZKbTYmLdx61W4y8GkqRbCecp+qq6aud61bQ2rd2lhV8+YHqD6+VJrnnckrcV67wdD
3Q1Vw4ccbVQdZhPXpvnUzvDnF2g+DDzOMcBu71y1EEph65XNddUP6y4D946yFptNitEy2aYzMsyy
aO2rwRegIq7e+SeFi+YjZiHC2UkP37TNPx7HHy8IByOxjvAheEkC+0PxhL2ibxdlN0VzNTrf/LJN
Hk0jqffVqj85XaD+UQ//UaxBBQMJodNiJbp/9lkBsbijIkEtkpqzbOdu2Z0DIK+cwix2ZePSVzKi
yR5wSoeqOBXfcpAdxg4OsPrnX/yPnYHXgC6ApAj3rM39qBmf+B2ZM+mNiDVx8YNGQEEO+nzz+VX+
8tKx0KlO+aogqn/swdqC1aIzBnOU1taDk9qPrNkvjSffxr5A8DKntJD9vvWsKF20r59f/A8PBoA/
F78CNPF4J5scdr+/8VW+1n5GOCSMlTR5Gg1pbiqIpNvKwxeRNBUX/o9CFkd6jLpzIZo9l5gxPmRl
551Sr3F/TGLixRNKOw2MC5ghlrk1hhCW85Uykd0bywt1py+BGQY1FlGDxw/SnV7fSasxrmyISLvP
v9Ofu6fNRoW+8ycAQjrR71+pdJYl6OaZ3aNLyciVXX7TBbl/7UvFu+JmycGfVBoNplf+KyyGwuf8
Nvy+d3GOQnfHnf2n7/aHG8o0cEiTBNglyUSdx4XA/sYga/NgNgQibKCAyVd00r0L6UF5h07mmAa6
lVahB6jqb8rP8+e0dgd6Z2TOde+omzVxIJgSrmQTqtosL76bWQdTTj/KURlXIvP7k1ngveszQV02
Lebb9gZXqmA/jJU6B24uzY1qndfaMIi6Qt5rmkylpY+jRjZXj2tQvVt1nbLPDM3B6nvzuSMR5W2B
4hKSUlJe1ihqD2XSeXvpmO3NUJrMWCn/76bFllczbFsyGtqxqiJZ2daBAVW3J+/VfGh0DxO5SbOi
lfpiXzujfM0G3diJxK3DUo0eOjLZ4v/JsfqSVc38CE4VRAV8ky5KliYPZUuQXxjApwkiFM3ciArf
jIscX+BrpS38dwId9IS0GOqL10/ruwZx/52+wnjoZ4vcCNViQ6TBQYT62ZtEYQ6GfFVlILZrO6vb
Qoxl7DNmPuiDll+Xib/cGlPShJPUko3Wmx5zAYHzbobl2nuGy/GMYnnSmXxB82DuXw8YGvct6UNd
CnoeF22dhNki1KUDKRPWhJ62sZBZiT+appnubkmYA9Yu88VqwCQJzqouX/Etk3HfVg3+lpYWXBmM
5y77USEX7vL6zbfa7IQeaojLJvW2QeqaG7htEOpcJL0RGgvEJBIY+5XazTFhYKA0QZoo9iWi3aj2
0zFarKY9LoVAlJK3xTc9nUaYvr4bLgWEodWYs6uyUuK42Ga+g246MzNZyWuGgRj2esVSWyyBVYxx
mSXoL+BAFcgd4F1ih4Nl7RH7LOe7GhbYy6mrY2C50uGnkT8A6+2IPfTtEEl1uxumpLUOCywCMDN3
YjbD9ovkW1plKjZY8rd7PVBBJAqsUeGc5bvCTayDX7X5zvbz8UpfXBTPkO73JeL4O10zsy7MpwCX
2nQulyPs/PTWcynSVkcGF4XVY0kl8ntDFFBXHFnvBtnpT11g1afclU7UzAtT4U43qkjP6/GouqLd
trUbPGHrO8Wq87031C3tfq1t3AltKIGhgpj4jIxzpZyol8tEm1RomtpAwmoVwAly4H3lqxcxaoWW
r1yNl8zI75jmyiM+zMHTAmU16hJH3XUa9RQkXL+97JYS+eJUorWAYy2tAR+COkWCD/53CZU/Um0/
H5vCQF3TdKgDUt/gVBryXZ9X47DpZOO7G4zStOOwzO0V2SHdPa/J6+h11tb1ZbnV6KF2Q2cySh+K
4EhEtrZfoWpsV0fzHvJiwKYkTYIXZQh1pzJz/SpLHiZu1H4s2TTvCvD0y1GXw7YmLvBqqUr30sMs
+bIbV++LySnwNag1Hl1SiRfJub37+UznvnChE/T2VZKrhr51gKBryCBTe28oim1fIUCDaD4Nl4k9
M53LLdt4MJiI3C21P+xxdSRlN9fbk49z7jXupfhc9IgNKlPdNcrKT5BUm3hikBGbHv5AGiKfqJwD
F3IdepKW7v+Ihfj77Kpg3AyJ0EJdG6x96Tq3btVzGEnMiMzcFWiXiTSrU5yEN2CrOkr6VVuvh2a1
LmesXNJNbTQUx6JwIAS6RoGwwRmtSzd3pp4wpfkRTVPkNut6n8/CuPIE65dLdODEsLtdUejWtus6
ywp/noLDgN/TcUIGTwOWm80cJZy1r6XH3617X76a2JGdemgw32ZV1+HQzs3J8mS+q3CajSBaGBg0
d4Wehngi5y+NbvMZ0RPUV04z7rshmY5t2R9k5qfXU+CTCojP0xE/EnmVF6V/C9tj3EKja+9G31/f
1q7Pn93FRmoWZPf13GiI6T2bvScn0kiOeOktiPdLAaVALOt44yV9hmV4aozLpcTJHf+vXhgwIYT0
rqUQZ1HKVPt3gEfyuKLcjd3F5y9TnniPkzcp6Ld6gFlTPaaT2tc1KnzMBlWAKgs+CXd4dmiJ4fls
QaVRkPmW1DZzu7jTbnRTL84KlTL9ZJytQpyj1oNcDRknssa0onCnNvRbxBy4LT+WSp/DrOvca/JZ
m++CcL7nMgs0Lt1PczwRZPeMFjdDq6g1WTz3UwOHgYTb0J00t4Ex6ixxH3R4xM+k7Z4GT/+2jo2H
O8AQD4WzblAuww0pEueyF0o8I8Iud3niCcjf0FFDTpn5hmHA9OYVWvFeYJjy0EiVxlVtQRoP1GwO
mBkSm8suTiKXZk94FNmIHmXIj6/2Trqy3+jlAYPn8pZ5cPMDriF0c8dD1Mn9mh9dZS03UsMv2Eln
Fda2g/GwKaR1NDJBIEdTj6fJZQZVyN1aeXOkaMfe0SgNVxirqcckCeQaK0PLrpLGtr7rev4Fm2Hv
Oh0cBKiypE4cy8l5VJDg4HXZi7qRhqKqKaTvPa4rgjSvcfQrKUVxQNxvArQO6oG+z9v0sihPHKnl
67jqQThNHTzpuq/YzKqwa9J7yD0n+rs+tJRmhEGfnspO3LoOWt9gagk0UrysSB2sAyirb0VuQkO3
w8KZsb6cqUEdVd8teomhjTEP24yJ65sSa5U/ef36uuR2pscc0pg6j925uLAnHlDf8HZmWYDVinlE
y47iUHXtORqtn3bd6tyUs4YGmqRyGrbMbDnlLNxC/NC2Oo52r2Zuwj3x1c08o63Z/KyCgjHNdlMm
UZ9PPTZ1Kq/avUESk89nvKRc6W/YSMuNN3hPlXOuY7oyOEH7gdAtptsZ9V7M0Q1rd1hP+ogCenBb
/0FQTWN82e9gsSJaKicjnrJyP84DdPwcmRht7Vkb6j3XSRXNGT3TiEUxB7L5I2FN7R2CYDZSr5zI
l15UadA1ZYYw2k9qH67e/OKKUduXveIjz5ILOmcJR9MVX6o2qyHA6l5ckIJ+1QYt1bUPscyZ8Guo
zP56wDPwMJ5Bso7I4mfXxRCox3Hl2HbJ8qTr5YC3HK9KUzUQx/Kz+FdvtmOvUPEqVCSe8osDGcuI
IsUUWj0B6xBTc6mg7afigZe5DIt0vSpk7YeBLouoX6ybwZ113nzDvvUTQ4GdKr05qCUfY0iI9XUx
y+XGXGVfxV0n/w9zZ7IlN46k6ydCHc4ktj4xZkVICilTGx6NnOeZT98f4nbfDmd4u3dkbbpWValK
wUEABoPZP0QPaKbDDqFB+tSgS+kv+HA8wNz6wN3WIxGi5WSwM/lG3pCOjo5s9zGyFYDbg/bJRolv
52W5jXRPXH/EmlveeTqaFkMx32YZBTs0zB3vDqiSxGiiS9AkAoWIM3OI1oGwrE0Ut96+ndIGzSS9
x5G7nm6icbKp/4X9M3/P7cDpuhnoLqouhd59D/PvsxvbB61Lxx0aJclNnyJpmphB5NdWZpEnBwmK
pbZDxKpYwzCo93GQP0x2oT8gsweTnxxD9EZxFbTgSqMWL+7AkAhjWuNP0xHFfrKj+SEKzGVnkwxe
Q/swn0VQ1ndZEc4f4Q3G12aXao9hj9kIDFMeORjQCWena+OU72gQT4RPfb5zFyP368aan50RkfNE
lslHK3GAsdQ5hB53MErE18vCvjdDCLIQ+F0r25SCXQ+njjQeQtgtPSEMyeQ8o6TXxBaHp190+I56
AQlCRkO0x4IEIedRSmDUwlx+O4lTgZ9zZMrfEwYDeXrdOY+wuky2jteU3xI3Cz8NIq2uu2SaykMY
jB4yG5Y5PGHqSmaHiv/4UHfB+DCUxnSo0SNJN+EcEKawHM0/91ki7vBeB13ZLw4JAN6u1Mio2YIn
2vUgl6GZsfRabk0f2yqxv09D/keg42EdqNyZLLqGr3OsuSKj6lO1oHDmKvNHy/buKL2Jm3Axk4MO
vx4NUwdderQQ/o5yp/iaDwIBCGeM/VLd+XpUkL5kMR91aWYCb+eW3m4wyAQtbsFr0VbhB80pOlLs
Jb7Clbygcm1X+ykT9cOUy20x2HIzd9q0ofDk+YnAMGGg9zV3y7zP57rCHEF4wbbtUmXQZ7pXQxRi
JDJnyNGwvXZa6NqHwBPuwSZrBMvQzUnP+3MWj3aOYD1vhOruBTzUWY2+Bx8OQFoPSu07VmzOzmk8
/Qb56IpOYOShU1gBrok6D9mVokI3DGRWDRmkHW2SOnOKYEIF43cthTaZGSxOOTo3tZwfaGXqX5ZK
/MLLOfwyjGb8Y+g07YDRSv6zFzlwFi0t0THD0WbM+vCmhQ95N4uB2I4xAhQMXCtsazQQnC2k/kla
UKa3FdT5WaifhNoFSNTszusaHaa82RTbXg7BthFDfTd4hv/C2Ou6SlzVVVrvC7zPbzSq9f5ky+BG
X8zMD9H92elFoO1Cr+KwNnTYjBBnhp5gBTGw4f0iWnlPQ2IxttHSKO4Ff6ENDhtGh4iRJy7KoON+
rcPuszHjbwOBHtmETYrLzT4dM7+hJHIvNSrSjWnf6M4IvttsSG9Ds+crmqV1PU49dhXmjBtlbA5f
LSMdr6tKwDzCZ4f9i0/wnopicStyyX3XIMkefcYHIroRmo4GxRSRMAaZR7uq4j7dDF5Ddlegb5El
n8MxDsD7a0B2KUlQgZg/hW3s3MxD2OxihGFmVTPvrwPAuIfChIGQiwJMmUZIkhlg0w0I4WrLRyt9
KgPlVpK77xMYbgGav6gtzTQouKOSVnfvEJF56NHs2XDtbEH/Dj9DkAlbMui/pdFODzMWzcUGgOJj
aAXFlsqItSmdzNkOQXAnXQB2Tgf/aQEpDtWwRJmy4cq2xF8TJn6tE/0udOTxRks94sbS2HXQb/bT
AhyXbEH6TVddW6jJbZE9Xz4PBf8yTkfLtpt07TrUY9i5NOt4q2zbIR1QZQpryiAzVA/qDvsqcgUM
oQWFDswk4K1wI2D74ddTOt55CRU/wyrtbeAFyS4L5s9zY6LK4+IaoQnHvdfN1N7acXVnonSwT2O2
gh3p896bNVpF8XRfJIgnL2H2MUg9hB/iHDmVCgmCcYLKqD2zCN/hcn3hQ32Z7fRqtBp/npzbsc/r
+5ob2doPTVjVO6T72gCEoKkw3Mss7U0PG2zrWWJ6NLOkvdENkqBFqU8QKUf0VWyB3Y+ZzY/e0kDk
iGu0JVANEB8tO62RoEmMB48X/W/UB+ytphdfF3qy5Qb1AFwFQ4onshXTHo57uA0wHfGTSVo/OU9y
k6iwP7NZbpHnNbpNRbEISrfhF4XswCk6j0Hm1JsG1vjXQTc/e4thbcc8rx5sQIxo2TRf49yId66c
U/Bt+nJbNHW2r1jNq7g09G0sTV5mcmjJhEyISXrIez425TejXZ6zNuQpyaudWxRDq2pOflGcSLeo
Ij0bUOoAn0bD1s26XyieH4h2bDmLxzXlTePRNgYD3xOp3Ueu5T2ZEEYfYmSwdzq6eldgAfOHUOjX
Ka/kB1XljzDM6jPuhyz+EkDF5vpO7Ycu6oz7rAqzB61uwIfW4UEbzb+8UA+3Jj5B2Oka9r0zNTmH
a3SukFaw/kIMb7rS+3Y7AAxA7qOtQDN20w85iupjmUAT6h2eLgGCNTfU9OmXQJGpt/bk4hDe1+0V
qpf5g6iT4L6LMvnDLRsd+mxcSm3DB6CaBni7hxtYow+zbSPNiZ87ijy4v3sw0n/ai8sFlelOFaoH
svkwaBYJcRiGyPL26EZQE7mtORNPLmtwi9sSBDzNBJ2O6FT7G/pExHBRQhtm7rqrAp70BxcWC7TZ
QPs1JYn4VDVm+gcVtvluAr/+d5ub6ceu0wYEFTQqWm4NQGEebd3v4HwBcGgNdMboLZlhxOYpQxs4
fI0gXGU0f4VGO3/Wi7jxJ5kOz+1iIT9GfxBr9B4STRCQ+ISJlty5TZjtgSZUt0WZBNme9w7kPX12
0GBBg6KrOwvi9YQGthmVC0rPbn/fFVNMx7Dpr5N6yqg7JkDVWss7zI2TAIMcugeZOuYmHObosQ9E
/ilvBuW5Z5PVeGlIexjFhZCeAO+jCQ5KAcOzljqFdkT77O/hElOoAEGKdlU+sUw9KUNya3SEF8Nz
sx+yofawuCP86Am18s+1E9nb2swrWAq59aWYzfCrILVxy1niplOXxobinNh5qGgimYJb2hYDNLmt
Otf8ErcmZTR3Cj8R4z9S0dtqFk9iIA6kJp+g02xI1OxDDUdvMpsEgLV3HcZcYPDZNq4eaZCu2Sa9
zL51qMFjVDShZ+GKP2YKik6LKircOFktC1B/ytpXEc2G7RQXxU54aGCC6TzIOu2+xB4GgdLsfzY9
xZoGveEdqvn9VgP6XKFTju8kFLIaxdOblKlDZ7Xtu0YxxyJI7ftlyrodVKDuOqKKvbO5ZH9rAVd0
Z+fGwVps+/c86XJr91h39SR6zoAGUjJCjYuLsrpTgNdr6vV4OIWGvWuWASaMNeT5Fpm+bBvx792Y
NZASPh2VPkqw7ace6xAojPlwX4UECkML9M9p38u91psOLS27QDGwQMwATYYM1a1WExtAug6bafKe
aspady8PbkQ6R6SMC/0O5bFhZ7VoqWjwS668JLO5dlEhilvnxrAQjtiYeBl4HTWrGiy/b5RG/0m3
dBwyrXk4UKxG4RHAd+KbQyavrLHH58/sqr+TpnS/F0mc/tXoXfuFupoDHQPnr2SXGFF5mw9TiyJA
Wd4WdLmuJ0GZGDJLdlcvTvUoQ8Qxizl8nD2kKMxijr6c7/UYqplz3G5RkDmm4LgOIIo1qAqrQKrE
GhRifIUR6Wlr7jtdPuNphjFd9QE/R6Sb+FXP9Fx+cz2RtKDh4gJNNDP7u6PS6TH0HN+teepnWvaM
QmV505bIZacxalE5r5oLv/mNkYbCrqAEbZimQ4ObBv9xg8qiwhSMZgpatUys5xnDgm00mRGPAHRN
MgtgWqsijtGXvyKTg9TSNLjF9sG6r7wCCRMDkCvJUXMBCfG2b2a7IM91E81wfpVyKHoNQjG1og4X
NJH2BiVvpHOe6Ec9BTwwNwVaszsrQLq0bsUlK+MXlsZqCQH0wAlRXUj8h1YYFNde2NHokOAaoWc3
sgzQs3GmIdkFkfu5SszvwPGfZ/DTKCNAQI8iEnWbhsGmq73iMYMSCkrT/k7pIb2nEek9jLFVXrt4
0e0WQbctX4wSuLCmmlSNTjNh0qcdzY4/jVIFoaLtkqlVhAEtNH4GTf0QKGKlXkHCikbp5wswRRs4
wh1uM/lPMcOSQNfNuHEkOv9dv5Q8ux3nM+WY6FobluHvJtWXXRPkvS+S1tyBn8rIZiCtQrWA/Zfo
zk8EEEp4gBTArSWcf78cinexmP53OuD/E5HpiO10mhD1f5DrpAwE/mdp8G3/44jopP7f/8Vzsv5F
OxDjKxCLgI5M5cD1n+ZcnvUvCVYPxRIAMY7uqlPxX+Zc5r/wIaIDDP6Nf+4qPe//5Dnp8l8Qnyxc
W3BBcfAJfg/NaQ1D0PiboA4ASIMTIl17BQ5DgqtL0Rob/Lb15kNj6uEupiuze/UxHv/feXvtHbXG
QapRIElahFBDw8hpBbmiU0laBRDAR0PVRCCRBzPSVckOIU55AeFxaahVizxBPRskYY6wjyV/2hCH
d7x0rG1I/+ICPHHdjGdSsAAVvAsxV5BEq5E8b8wsagW9TxUi3OmlLe5ykmDoiV1U+YOUlZ+3Gpo9
pt7+DUvbZAf9/x124qOeWDrYcYb6qi4Yj/XS6UYTyEyMve/0hrOhhc1LKUDy9fwoJ76nUo3XFYoV
FyS5CtxtFbV6kNa9T8VA3EIYjlEQNARi0rNzAS17akLw1diHtg0RYA0Q08ccmSaqpn47DWByzYC3
Q4R6+PkJnRgFuzs2I4VuheRY7cXC7DEldIPOJzWSH1BQdz+BaS7ePxeSBlfBNCBAgfM5vu96d4zj
rLI6v/I665ZWdfA0y3a6MMr6VmULsi4umEb1vTjIx6OUneGNJR0dPzSK5pr6NE9XTH3hD2fuTShp
K/VuJHfgTcMLI5/6ip4BhoqoBnBLX42sofubd0XX+X0/91tRWhVVPDrI59fq7eaDLgcvjNyLH0v5
4Hh+7qKVcZ0blU+qVW5LsEJ39DecrV4vzQUDuFNDgbixgF7CAYKFcjxUIO1Zg85OnUTP3ZvF6F08
YZ3moXbtS+TMU0O54L64DyxlX6L+/BUgtyvI8ukXVWxxzd0VqGBsS2EkB7EY4t3LRDn71VBcS6+H
MiFgWlgxMFSn5JN46t/SB7s0obeb4XiU1SUyDNRiq4ZXT851hRy4pd/HiLtdvX8zQAa2wUyDnAM0
eDyXOE/mHHsx5kJWc2VHxoiyrB3vEnqcu/NDnZzQfw+1jkQDdpUBRRlIhDMvSxfxTx8plt/nBzm5
DV4NsgpETm/WGI1Rj6yS3POhSrqbaBT6rm2H7kLMU8v8Ogum8QlDUALp1zmuco3EhggRUNJA9DVp
7cYPMZ+4irUuP8Re/pNomF1YqZOfDxYKcQEalWWbxysVYZ4L8NvFwBYBkoNAUmmbCjd99yLB5ADE
bJNAKXz76vvVg3CLPHcLP426L/2EglMlrfHwzkXC9onkDYqRx7blqj6eStklRhx0WuZ3Huoojh51
v8yoq2n+N9gFnB/rzWd7GUsq3jbsgDfWStxWQUmmmPnV4EzfcZ5D61Ri9X1hmBfa7dFuYBxDo1FD
4on9n7U6rqWN70NUdJmveWn0IBwZ36FdMu5HPMjvlqboPyCvPN0Lc6zvah4jH1LpoZIBGgnJOuGh
Noa4x73bC8SvQMXccgO0nwpzri5Qa9/sWvU7+ehg9U2PHulqG6E5GdtxF2c+6ojyGzgTm3ZMWfsi
tFz6NcO78w+8exRXTrF4gViuAwzAtKGAtJv5hi6+zNQ/Uadzp/fuWuXRi9UlI1n8R70GXkdkJPAD
O9XqDGpU1hzcvB5QZxr6C5/uTemCjE1dmZrlvUBv5SrwZzUC2AKNYb9lmb5XmepSOsIscGS3wFQA
oEE6phqxhS+WfIIxFkm/hsT9mUgOwA+c1SdPD427ca7duxwyMWB8MYCCzod22YOWKg9jVVJd16ah
enrvOTAM8MogpqDraxzw409EK3MpuURS/G1mbwPwDOUoMXsXTvab3Mk0IJqyCiC7NPUyOx4FSxmt
9+oet/oGDsBcJRhfj9jbzoMT31Ibbe6Ccf7tLlH36fz0XnKj4/PHyJAPOOkamO51boildiE8p8PZ
JYoQ2JumxPxkL7P9HVHjOd6OveviHuOY09Oc0Fzc1Yi0ptuqBZdwV3mSYxd0rfyG5lr9LUSwBlAS
kGdQdOd/59vjx9uC/A7HTejegIeOP1Bv5/o4hbiwLDAyEFlPvqHRZSKllc9bqnD9heFOrYdN3CPZ
wwgL5Yrj4TIYjBJ19MRP+8DEdd3u9mgKBujgdHHgO2llfevT1PGr2Smez8/0beAFnC5VKkaujg3w
KtBERpPMbYTXzBSAwaIXgliBxf47P8rL0V6tO88O1yWTfamFreJuEZdUBBvE6OqkaQoKgvq8caim
f2zbybpx4wYnplmPnrHKCbYUCWmp1gOGfkPRTdegWOV7r2nlLKbedBQtieDruy0uF13HvxN0Z66l
bH7oj02MOvP5aZ/4uBifaQjowE2FVL0KeM0yT0uf2TE0F7pvoYHErq5UJv+9UVZLqMfB3IN2p+A6
44yNQaKzMYpUXIgZp44uJ9ejVvIiNGOtQhNwtdrrZ7pM85B/QCfX/BTFYQM+M7Ixwoncmm5YVc+W
s0EFO/6cYY9NX9oA6ucljkYvwSkL/qs0fiEwZv6pJjf23n3BEFwgfKu6EcmXt/reXRkL1Ha9yE/6
cYZH4y2PVga0+vz3VhNd72UHEiOvJd7qfI7j05rWix4m8RL7cZqPN7ZEhU3IPkKN1Lhkra6OxXoo
JFvgkMDXIjishorGrDVoNVMuH8Y/U+J+aGMr2WSd+6y0UxLP+HF+am84QsC/oOfrmPihm2N57ioS
RZ4+0GCmPi+Q4fLznoYEBNqwQ7lWth90fcHXoXG62ylBqHGxw+JQlWb0yFLaX8//lLdfWflKAjrF
QRD7z7UhrW6UcFvQviAjzJbPjqeIAh62rmbs5BeCwdtofzzUKjgBPqYTOjCUQVqNtmueXtkAbv0p
luEd3Vrr3xxPXQevHsG61Q5aHTCeNhewwsvK/BUj2g6YDdlQpch04ei+qdYRhAyV2zmebfM1VwEi
IdfppFZGvhkh/VunGqCwmHYqtrDzoN9jDQvay62KXRB03t8ZfOo/59fy1LbiE9MK567xnDeCUpGZ
irrV2cdhbdRPzdiXX1yUs/C3CczbkVXe126e+dlspTcyrHEE8yLEE6rh+vwPObWpMJaE+flSn3oh
Gb368hEwSBlmmHBA7aOOx7ED2aKgOw4onX8wFKomiBIo3t1adSmYBmQ6S1CqTQP4eJljmL+QQrYo
Jr9XdYJDSw2UsrihpEMoIB7vp07hDfrMxe1Ci6IbM5rGfd7gFo6niMDCIEsu7Ke31xrD8YhCnYbQ
xI1wPF6KhoOsYzP004VOZdEM+h/sgYsLVam3sY9RyBmoMhtMbU3Wraek6tpaQ827DIavVSZovIem
DgVhUCQRiZpsk1wq+Z6cGjuU5AC0C1XM46mF1BpJNYvQz0yt+rSU/fgU6eZ4IQCcSIfoUdJWdSm6
kc2+nJdX+1AIb6IxnIQ+fi35U7qk88+QsIAQGYZ/xli7N+3sRnurMCrqY3h8DYU7PaJxhdos6pib
81v1pTF6fM3wc0jrDM4npdR1/onOAAEkUcLpJnr0KRkcmiyL4AZtESVOUvMj4hF2s7Fns/5dJrqJ
cdNsXaFwkdxXQGuvAUyhG37+V51aCgdzX25YJauxdrHOgZiLWNSh31RSAeUL9D6dAS2H88O8oYmq
00NIgpNKMkhxQN0Or9ZiHk1Qnl0U+j374UdpVHKfAWW+lQALbitgPNfQHqNrGbYCGl5VPS20Gy9l
iqd/BepHKHjBzqfecvwr2Auyx2ZIHEwUS7B3aQBDQCbYgQ5qt3XfeZSAJcYLS5I8LDGasnksy7/O
f4oTX5ySA2JTFEYUZ3b1JaCLAMS0PHGgkZ8+CU8DxS7BUp8fRf0tq81GA4/Q6hI6vDciEOrYRU4x
igOkvi+4CLX3cQS0qraRy9PkhQfnqcE4Xnj+aOoKlKvzbMYVHgZDJw5TkvYHnqRgYYbMfrSzAuVY
J0s/np/cqU9I18PSSZ1s7Y3oUCRhtPRZz+RMnGPgj49bMKbp/T8Yhc6pbalvSJngeLP0xUji1Dfi
4PZltqmchFwwmC6Va04EYPhsPH+R7uN8rPWFaHKAl60ZZWjs5DGccUyVOJLuNWS1t31Zj7cN5ksX
pqZ++np3vB50dQ7CbG6gOPB6STrsXLpq7G6BP0t/aEvrh4uPDSrw3uAHVeAe3v1RsTFHGQclMqrs
625fWgjqOXEoDhKnXV8biPrLgGna+VFOZCBsRhjufFpW0FR//iraxKmjj3YD/0rPnWw7NQss9FIa
4Iax7zk/1Im9yD1GBdfl0a1i+/FQcN70bIwaeYiiwXv2xnq5bapuvJBSvcBXVitGWolcKTx3pVa3
mpHRlVqDpYI8OI05HSanjPK9HiTlpogn7aepjwUymlr8y0m8bAGFPIQ/AcrqD8aipb7rgOKduXMf
294E8a8vbqNvgKsJAL5LdR8V+NvMfT/enf82bwRaiPooJoLcVAKsvORWH0fjURO4QSwPdppVD+hh
tIG/6NCO4OrkMK6vEtFH84Zq5gxhYMEWWGpR/DOFm/vRSO3gMZpdA+MYHe+OTcaSg3G1ShOvmzHs
w8fzv/bEplGps6pGUe6nl3G8knUqe0fovYeHU4GgUoVPxzyKbO82qDv+W0Ot247aCAO6wWoSJfB4
+sA10V7DCRjv62kJLqzBhVmtmxjg6ILALeElRKnXfi7SRrty6Z1gEYU7xj+YlUkzFYSY6gStXkA9
nFIMATTv0Gtoce/MKon6bWo28mPg5c7+/GAnzh06BfSkaahyma6rPoKKzzDBwj50UNq2IvKWPe4A
l5K206O4ZOHqzqawfrwnMoafk4Y9QeW+38iiFZsqKvILMeTE05G5/Pcoq52XwsTXpgwYrwn38ks9
1XS9A2HdORRfN0kuAtjqAGm3Go4Y/cZx2vT9UdnzyP9sFTSlXOckI7IKgQXE7CAaJe5umzjygDq+
MM2TH9MlT6B3gGfOWoJyWWSqxzAsDx7yAD7/K+KL5uGFzOf0KNRaUV/xqL2v7jZvTuZgyAvvQIH8
TzQBNNdBJ19of5w8VTyyVfeDR5q1qu33FHB4a7LV47q3HqJIZF9G4dl+W2FJfn6jXxpqNR9MB7wm
dDjA4IXzW50M2+8svO6SCQWf9w8FHExdnErSa62HZoAOVoAf7zBoYXk1d3AksK+Od3KEVX9+qFOr
RGeCHAChKJ5oqw/Y0nCjrsnxLZGvJHsrmz0ZxyVFkxPJFXBQFOvgjNGrclYRKShgfxVDwjKNg31T
z3F8k4FUu7Ic3dzEhtfcDkVUfT0/tZODkt0DaVI6YK7Kll8lH0OvQwxKHfeQDCOG2XS/9hJJgNuy
65YPlIw72gxmfCHMn0jBPYkCG3PlMce4x4NCyXIHD6GBA4xl5yEfR+WfJhDdynr33o3M7P0RA2Kh
Ku1T2edlp9b39SShcldax1nuyqbYIdSLVEg51hdulBOfkiYmwpcgBwEWrM+yheDcrA2MokMa2KM0
gnog74ldDWcYI6ra2NQS2fDz63eqjkavhqozYrlKpH21N2GzB1k/uC5VVwqWWyDr7ZMRApiHVFJ4
f/cZMRIPquIxbCuYx7Hqpo2OjigN9LeH8z/mxOkHQ4ZQPWBMUuZ1zDS13ppnBEoPIItxSlFsFU0L
6gMS3P9kSVG3tijcmSbgYeN4SS2wmU0K1eJQodnyNIx2tLHCwbuQyZ44+JTrSMnpcqDbp2CnrzeO
I8pRa4k9h85le/Zagodd30bvv2qQzKa6RB5HJXLdew37pU2ChFEqRI9Rf++/L81Q+OfX5tRUkF2H
3Eot36LRdTyV1EXMMcsxj4rbZNmbeFVvGtt6N8JKLQaaxQrsop7Oqw/mycWIs2x0D6aEZykRYtqM
XtRfWJZT+wwQCop9Sr+edvXxXExdZI0Tte6hbWfvakQL4yYQUf5kShi/5z/bqaF4+oEJUk07Tvfx
UEtYZOY4R+6hcQt4tKET7wWPj0MRadaFFTo1lKIqYOYAzoONcDxUGumDu0wIbABUqHYLVihX2Ejl
u1CMl3K4k1GDYg0VCYIV6dzq+CDAC7wadMdBbxAsRxtjY5RiT236L1dAaBSh+1xIr9/C6CJctMa3
sat/vP/L8oIx2Sjoh9FoPp5uAIUVCViJgAyBCs8oj2JeahX7psYl5fxQJ1JWlf4gcucSnRGfPR7K
Ruc/zVEyOrSVIW4RTTV2FR6x2zLQ9Xs7NgqUF4p633TR8OTVbfgPrh+uVhTueHWTma9CdIj2j+Do
OQdsZTF8topuOxAr330TKC4JsVfdqGh5GqvEHKOsAkWf2jlgmGfBr46DYtPSBMAorDZu0RmwdlUb
OAhYJeVzP1rDAf2l9tFKlNHD+Q/+JtjwUwiaIGQALdGzU3/+6sJdat2Y0gmli87T8lvLibMbZ9C+
nh/EeHNgKKpBR6I8yaud22a1rGM1IQ4GnP1gOWU/o3vW6/VmxEXNwjiwnw5eoc+/AjMlkao1Afm7
cmEpznKp3I1roqu3GZGfnXbdWOaTD5FdDv5gt8WfckTYayMnN8k3TVANyIFk+NyOMwpJn6bG0J7d
lm7dfkDZAqlmW0ctRQBOuRDmVLB8XUZBlpFOgLrdaZFxQ6xOSDjLsfLqYfBd9NfvWx4K26LwYovd
umhX1dDVz1piiN/nP+v6q76MSm1IAjtRsr+r4FrZYZobOhwIp6lbhMGycOd0g7YpmvaSHrv6q1YT
pIfNZUQx/+XaON4mEC0CG/byAAQkl4fBMqLHZbFcxGkM8RhVlnZIQ8v73i1eeoGtsP60FENJl1yy
T8Itt6L681cbVEYiso1iGYAFWPMfyrG/Fg3f3rwJ66vU8cKraWmn7+/7sC9jUnAmO1QDu6vzGcHn
boyB5bQy2P4LJHq4lyW+di4WueeHUjv/9Yel8GZpLlhGgisBfi3CbnuJCE2sv/yAa/SQ6UytR6hq
RzkA6yunkBc+5zrAqvGo4LNVLVon1PGPP6eBjH4+DD3808Js/XIylushhHq76eMXkuoIDZZQfz1x
b9/SWYfXeX7C64Dz8gN4AxpEG0LCurBZyyTzAierfQwxEFS2ueA2uTYhYXB+nLf7htuDfgRKuQot
t0aBeb3OIwNDdl96MYqXVWEMPydnUEyDsoivPR3vZGV9558fdn0m1fTYrgCXqRNQ0TCOv6+lxGPw
oK38dMi+ZZ6XbJuq/rzo7iVq0onvSJUInhWVMYpi64U0K28UtT6jCkFKjS0leoNzKOard0/HBgdN
tZXrn1fL6kJcQnTjqqEpfco849fRDMQ1uTe6C4VI3Qsr9nZGsMkk/TyPx7sGqO340y162shgTgo/
EsheWG6rb6jDZLvzM3p74IDqQV/kxUF+8YZGo5WzFlM/QIoHBamd1OGk01ODZopiQIu99ru3O8Op
JhZLxZ5fb/cpaaq04JHni3KQsLu18JCl0yUE8IlJ8Wa1iVTYjgErXy+Tjm1oHtml3zvpVydfTNzo
rau2y9HRFMZw4ROeWCgW2dItQyHK4HEdLxSmaa5NZlb6zaQtT2ZXzodRau9F06oHlqlArmSCbAhc
0Y4CvxUIe9BrvfTrKrPuRgz0vpilVl9Yn7fnlVEoBmBpAk+MGHw8SjYXc5N1FgyDRQsOEJ+ozusD
KjW52b5/f8NXBOFG+KU0tU61Es2u01RgLjFUTb/RgP3Rnu+Xw/n9fWpx2N3gVgwexAiFHE9IUL+2
symDnTGO+taolg6eAWpE50c5teE8nnQ0ZcFggk06HkVOJVGgkoWP+ZD3VzQrk7BZOnuMzNNt49bB
hQTr1Kxe6GjcGpTl145cWa/naW0shY8Pszx4roi2eST+wWFlIwDpYE9TQXxJY1/lGlNfjUYxZoWP
KI62L1qEljSUQN6/5egDwZOAH8BlLFcrZFpaCOPaRGthHPIrHhn5fuGzgTPt5IWh3iATOEQ8HF3K
LoAeqSasYioE7jgXCbcExdkOJ3kPbLKJoajAuDf7k2cY3PXFJ6Qtbqu4udANPrFm6uoAqMvgiod5
vEfGJkCoXnJ3oPc3bxMdnY3ILS5N8cQB5q+HFAKoEz7hWqvbICy2qNEzSolcTtMRYJM2e4q95lLY
e5s6Ufe3FamUBB+09epql0vtCDgQpQ/6PDog7YyjR2uivp+1yYO5hMa2BNZxBdoz/FhnF32mTn1O
Wvk0OuBmwsxWf/5qc8Lkdau6j0vfLTHQaoSBuzyS2hd2zImDTfOBKxgILjL86/uKRCPX7AFyUtTZ
7WOyCLDd8WLVvGRSE7mtFPvW86HkbaLm0YmEPOQothfPqON5pXpeiIE47GftXN/yPuT1h4P3faMn
C2rJkIQ34Arq5kI0Pnk0JMGLsI+1BnDZ43HtKWyR54kIYdNCX6qPxXPYFOmN1xjWzwkrSbyVI/MR
f8jmxiBT/NID7rnwI07M3QYcx3VAskjbUa3GqzWNrXzUe03myHRKcZNMSXZvaZS7WxtH+zIxhnuA
AO+FFhATgOap2wExeML3KibAc++asSIDagCMXc0pxkquCLsLmeOJ7YqhD6k3AZsk4Q1WgmjtoRaT
+1qN7vSCi+NOUFnYn98863epmguLiCsGG5Z1fPNSc4u+yMbcD+ou/oCFuPEBmmqxm9ou2gUVVMuk
jsSmrPtwd37kE3HH5tmmENc4QNhriGiX90aCRlKOc6JRo0saWZvUnMsDQiTjhTfbG4jfyyx5WXD6
oZmQDB1vE/4pmKGxyn3hOD/1qrizRXffxXKXZM2j0Q1XzoiaGbSg63qud6lI9rUZXqF6/fX8nE+s
KWVpcmYKkRQE1+VvAy2UouPS8vu+IQKisIyyUrq8f+dA/eW1r15SoJ5XcdZMYAxl4ZKhwanHZMum
fQiR+7mwficCHR+TF4eCNlMAX31TDRlbvc3BLVt9uWyKIhPXAqhZFGThxvXEe1vhLKEiz7FTyS5I
YlYZuhlMet9VburHTaXtlLHQ39YwLhfaOifiiXpBQVbhxpVUwY83Su4iN2jqaerbMp2+RZPR7ucF
SccSU9ubrB50nERD/RL/8412j5ocM/OAS3AOyTaOh40WmRQRXA0fGGqJwGifZn4OS+fKzZzOT5IQ
6e58Np4WPdd38BBoNYsmO4ytRY/W9rJtWC2mjza8eyEFeYPV5Zcp4R6Q1Ty7VZ/j+JfNIuPGjkiu
SrMcNokIXBTakDgGrnPnWckDphTYdmvop0X5XVKMD3ntIQprT7/efXLAeVAkJLska17jrJKmsAa7
hpMmnE6/6VtZH+a5Hy5EwxPnUz0ysay12QPcpcezpc449XYhEt+qxxYUtNPcBJ398/xUTgQ+SIxq
qUFAK4GY40HaIkOsc3YSPwBht5uiaEGMGl5UL/sLI504ovRz2Mi0KDk8a6A1ul6GtyRz4jvTkmLt
RHxr3ZDVI/Nfvi5heukx+KbZwnaBIqUDvVAoQma5ntuYZkMM081b4vDGNjGt3+ShiD+NXYiPkJww
CpjiZtdmHuqR8xzdNnOZbBcnzi/s3FNLiVKO4hDjDEyl7PiXqExpwj418XUNw01sxdBSA1B5AaZ/
ai0py+MbSs8Dd+XV8fDcKMyiUktg25bhAWm8eidB0uxmq9AuhKa3E3qp3lI2kC/1x1UA1ObIGt0g
z314V+LaCqYf7Whp1xf2pno7HZdTGQUnQXUr09leT6ioA1Niv5f76O0783acq7h+skjk5j3csqDd
ItvfBfsUw0CEbYeqrTfcp8YHhaIHFxuMyw9qv9mwbUGLGxSE6IbtIuyxnrQ2bSeCR1n9sP+DszNb
jhu51vWrOPra8MY8nNj2BVCFIimRIiVK3dINgpIoIAEkkJiHpz8f5N5ndxUrWEe+aEe01WIyB6xc
udY/1F6K0iU0YvD9MunfoIA6LLuAXNWNJBD773NvicdJtvP1UstlP+pm+67Ip9YKNcPq7JiORiUP
k7egqGaJcqyvNCLgJx311frQOUsbMXCwWxLD+tJYAE1QIbAwknEb/WmzRHzWFntT3OoxNkAALNC/
Zo22GPu+HJIrW3NW9MpULddwLDwQm6adIidatZ64EHDOJNGsN+8uQsEGvz2tsi56k+e9iZZvkav1
97EN3M9N7miRb2jtg5KZcWtIxByBJZo3XqUnO8MvfrUbSxrL70DRELgemfTpA4L3Z2liFsWV465p
PJsj8uwKpffe9i69Vc4d4u1g0c1iQNM7easMUzHoHWrCBxOZyH29JMWOB/glR+Gzo5Baoje1Eb/M
k1ECZTlVE7TlISsS68qR03hXQqe78O2fG4VkEirtpsJEh/44wthpwZKuSCSXqn7UUbE+JInULqSu
LwMMYjF/GeRkKpm5iKxYGKQQOT3O3C8OCmneiMb5JWLT2aF4RW5iebzPTy+/Kt38JlpMC8ZU37x2
miROAKmGAx4LF2b18mJiVkB6fxZ06VCchM0VlM6iuyUb1KrqplO9CYe2lnpUDsjoh2U1XyK6vEzs
GJE7nWrO9p46TR/zpBVBmzOi03TWrUfJP3KWydthF4S+M4IsGA9av16oYlCKrxvXCazLaVqHeRKF
zCArD+4oppuxtgTNWKG4hJdL3ZozhxFSCQeex9zmJX5SE/PnaVzRLC4Oi5DTbSlN96loPO3XS7C0
oLcOGD1TqpbWySXkdRJcINK4h8Uxpzuzq7vPGAnJC7fQmc3iiyKL4HEBXfIUi8Srgvwf+sghr8sU
M+fGuG6EbswRVGrjdhqFuxtbvBhfv/vOjupwmfNiAsx/mvvDhBxcXPOKQwojLW5sq4mMfs7v3KTQ
4zq180/uGjiH1wc9t2/Mke4PtjjUNE/2DZNSc6tKFYdeGeOVwB45bDzxq6JkRHgEOOn9km9u7I6T
KMJS2kZX98VhWpv07aySUoY1xiAXIuL22Z4kD0fDbJP9SzVm6TPXnhHcOzj4SF675LleOPfyG1oy
mCugGnso8wBywyIz/8bqE/uXq0GBxU2KNg6JH4Cfk6J6V5m4MuBYccBQa7OcWfRotrG5mkecYsbO
bq81KdNPr+/gmScSLUQKp5SDUBAjoT+eNSZzMldNg36FM6I3ykUT3AnV4h6UdNaPCWXib2Ore29I
q3B80vP5KsOw7eDCbLzVZZFcOFFnwjgdQJAx7mZKzr4f/zqS2Il2uMqxxzIQHNfyco/Dtr5rMiu7
8J2eObzoEG5qJhxeoLkn0UD6yYJCNY8ysgoMObKm2Ff5cClHOjchbytO2SSkG3rweEK20FsdlVje
S0UGi3tdVVzpuX9rOdOlNuDZCW3dWvJfHi+nTzOvRjS5cRgqa4IvKZ7EN7rILpG8zsQZC1QEJGLu
QIBaJxs0YH5GQDARRfYTAVy8mXH7W9K3drZoUZa67jV4z0svs3Mzo0RMxkUNnjb0SbKSJ7IeApYN
QYEEEW3fnN7PY918fP1bOHOv0wvkkv1ZIcVt9XirkDNLbFPy4PQcMb0r0rS9r/IETZMBOf2oTyzn
QsQ5N60A9iqtNLjSQAlPBsRPpMcIgsKJUfsHR7O7eJPS3b8+rXNZOi9JBM1YOqC4p9WHUtPlaBdj
fgjKcbrRMdW5njBHwxdqKO7TFJo2iUx5DZJcPHXdSr0tQ+A3ev23OPMdsLToqqGKRRnkVFytyztQ
zmtKnMEH/VOg5Rjf6IhVtMl4iUZxZln52PDI3gQT0G4++eSGaZhmXy4CJXu9egqEzenE2Wf3+oTO
jUI2RueM7wEFoJO7LzcnsNtLgUCMZnzBo1LbWw3qBK8Pcm7VwHlsVCQuBmqVJycExcW0qDJxmItU
iyjrjVFluEsoESK/MJ+zQ5Hvud6Gvn/Bo5HrVLmt8rKDkWmfm3TevOrNe03Lk//gJADv4J3Oom2V
luM5cfttPo6I0dSem0b10ul7axbI5GOxvn99+c7uEVrElN5ohr/QYLFRWUFMwUT3xm6o/7XgV20t
9S+MciZxQHCKcqtH033Drh5PKG+dUZrg/Q40AZGKgDWRiNjDYq/bs6fzflpcb4kS0C9rOOHCjRdl
pTkXuEMvghdvHyofW1tn48Gevk03/GifdnxfCGfW78SY428BchefXVTnpKySXy3Tb+OBtN9Kqxv3
6iQkB73RInNV5QcoDTIO9GkIfSxKLpz/FxtIAklSgpbqhh6ndHq8tLaLki4PbnEwgulbow3jTjfa
5ELi9ZPVd5T5baNs2glbkR7o0UnmRTOAErLA2UyjloCrA753WD8hcVdmnfXeF0Fx5055sjPtVsME
1hhEKFtT3nom0oJp1xWYoBnjEK9d2oVlg9Jra03zfgZJGJeOpu1agatE1gyrFnlWs9xri3AvJHIv
Pt9tDjjE0J/hvUZT6nilJGqSrdmzUnbWd90O73WbLNl3SxHOJLS71z8sc1uS4yWDnswHRT/co2N8
ymaxMR/LwbujxmKa6DqkS5Pv/YQS6Q2e3n5y03kb4rZsZ3gFydx8b9clvcNEr0atZqk1TPUM/wai
dvU9cy3tUC/mLMMudepbUXnjXVbY6X4YEnFbr5MHpHWowhFR6aiyVvsa72H/UI16eyUnvJWbRHsC
Un2JQ//y7DFF5BzgUEK5Isofr6gwdOymBCFd1qVztxRdHha2Ehe+o59so9OVRAsbIIgHGwOu5PEw
bm6lRpkP2SExRYCfmxnrynyP7zSo9+ATXjlvbC+5R32vDG1px7yKrwO7HMOkaqOsWu7nanxMRjob
kz7pYTu1cVMOFiZmIqqt+ULp4+WabBWpjZhCggnq8ORLgfEd4JsHc9WuRozLqtqWOBMMg3bhfL2M
ZoyzPQBAj8DqPE1Z0gKZDEQL/Fgmq/VBeHn1tabsL2nUl/L9ShX3woDnJrZxOuhsAgXjn+NdKDpv
bgeuhjgJRg1zTt5d2KuVv5rwAZrboA4bp25rHZ8cKQfL9RFaO3wY1U6YZWEwvKnr/SdzAShCgr5V
A0554K5V96uSzCXvl+w21ZsJZ6hCXHg+vQw4JFmAibdnIxn3KSEx8816LDASjvsGWyy3wQ3Zr58r
0CkXpnPmLGzZHOg8hM0oV558IL2V9nXW+W5cpenyZmpKnuCWx9tjdKaPDbYY/9F43DUb+BD498nN
Jmynlw1ZViyh9nyZBsQ1XYnwEybe+X6qDedC5D5z9DYWHmhU7m145yff1FpUvYGWlxv7Zm++STIH
M7TGmOPXI/bZ7SIVAiQKcw258OMDDmE/QLJsm5UFdCgDkHLVWcuMLpB7iUR/bsO4iwicG8wNrNLx
UNbiIzdorfBbqP7erGtjvRtn+h3rW6fN1YVj+HL1NslApH/orBNET2FZvXDq2kqEFbcmFn54GLNR
OOBcSPFert7WhqOlSjGUy+7ndfiX2lCdO+vMMGbsN8HX1S2MyKFOG7fwTS7U8c7NZ9NbIzvmUQhE
/njx+mYsiQimGWOHWIKSd4adTMvklwMR8wH5SmLMNnG9HY+Cq5U+penmf7Rg3SaKwfiodcbw+Ktn
DgwQ7RkgaxRDIYEejxIgO5nVyWTGakHyEP0ZEefK0T90ppNcGOrMsnF3buRa8AeGccrpXW0EkGt/
Nsm7m+tutJ03AwaqF+7qs4OwOSD8DXKC07M2N4mOLDGDuGW1UO33/BsxaZe6TC9LclvWwYkm9dhg
FadV1Wos0XWV0ohXv2of26wHk0Kw77MHzSaxvzeSqevCApdfSGpJpfRQwalOr+sVl9AQ6cyNY+U6
46XA+HL6ZEE/sYGgOTfywfF26qnsJwGxIrZTt3guQVzS/9ebC53il9GDsrlOJXvjvtL2PymKBHKR
XelUOotMf833F6Tl0/LtmDUKf+eyvfBlnx0OLiedafSsYP2cTCo3obnIVI/5YNbrStlmLFz0mNJR
ZuGsy0tarC8WcSPgkACQ23B/AtY/Hm9MhN3aeI/H9ugGIXj+aq+v9i/DmxgFjCi3Mk8zqIYnUUTp
K6Jzg+/E3SK+22PvRW232MgG9N80zZEX3p7n5kSRgqcA5l2UXU4C/qxE3jUtznazsksMIhO1T7Fh
vxDpX+zUdua4I3ll02x4AaBvoCkKhVM0RsduihkhXQB7XKfrTnlgRu3skvTmC8H5n6xbn+gFCmUT
kzg5iQIfcX1AIzXOG1wOQ7WOfYJnSFe20drYwAFsW6mM0rSJpnu3lqYTNm06fcKAw8l3yM3VKrJG
0xwiP5t6A69MQ7O4OJq6D7ElB5FdTmq51OTaQvfRe4LWAQ8XgOywQWjOnxzoISeTyo3GjrFjnH+v
AF3slwpDakvBY0MrCQ9uYAMXntAvY9bPUfEFoQKyMUlPLpRh9lfdS3mfpGtW3tXLGLwJEPl445f+
eJU1WEaEhVtPOydVWsUauD5e6Wt9Z2MV+XW03OFXQzW/D9fnBvCFvaSfIt9T9B1GO4elH1SZfbeg
HBTq5dL96jXKKIiEIm5CXXXzKzn+mCmX9VjK9Khi9Pby1p6USxXLM3/98wJiwX1gAMr2qOKejGKZ
AtGPwo4XjDciZ0T1erA5Ya9f1ufODRIKgBQN8kP0kY9HMfGS9azJt2LMHOokkn6JI1wASyps3aW9
4klkX1PR++XW71b6hl0GI8aDI3XKLp8LbzFKi/xNo5EYAkaArdsH7YUlPDM536SHTYQnGhJ4jyc3
VfagN4OOe+Wm5o35nKr3CKwZu2TiPg8FQTEEmdB/en1NtzB78i0ifcAJAZVERn0q9octuI3G5kLC
YMxpOCxz+ZhPeHoaavEpaSXDvvYT/SHxlx+vD/wiX6UoQ+64NYH4ByXO4/k2hodWObGHrHjo9v0o
h7sCPfrrZXCNC1/ay+oZYyEMsL1giDlIVxyPVbSDUMOwGHEldEjWbabKCNW1jlnPSit2CSW3b5md
OzvPq/w9Teph7+Ye1pT2Wvd7ZOTaG7Ab6y5fVBsvhNybMs2wevF61H01GmbBUIs3DR9ImC2mjAZh
qO5CUfrMFUbPFYAuMYPm/SndLECQS2drjDhwWvdKm4s8SuiZXPjGzo6CfIjJCBuJ5GSpOmnrFFB6
I9bc9l3bJd59n+TGhUO3/ZCTQ8ftuEV+RuAaOLn7645a5qwPRiy0lYArxq+BkiYKY+P10vFMf/2k
nZ0S6aBHQ5BCwCkovBJWhsmsMmK8OUWo95Z3Xaz4Ub0+yk9XuNNJUV3nMiYMUso/mVSFFVBbzkqP
9cqpnAhmdPsZHzEqghRC/K84x2af6szMRTRbSLdRSpynLi5HapRhmg86lEjf6H401pwoHHEH7dny
uvVpStqxCGe/EPYeKkQrIq21nTJqgVjjihlw/YelPawKfe3AfXKkCoKdbS1ImfE/kG5ryxgF+Xdi
VaHI7eqLnBL/e0BT79ng+fs42v70ccas3gaxY9mfcWoo5hB2t/O7nXZQB6C/9Eaow9YD2Gr6oNdK
O9XnSKJs+94vRt1HKogEbg+vs/5Qiqn4nLbNjL+1Lc0xGvV6bSND+XO1kWXKPuQXX5z93/3a87Cc
r4x4TMrcDd0UfHCo13719cLWvDhuwGaJrdSbuGdhVR9//oFfqhXckx7zKvP25lyqcNaEwg9qviTc
9JIJwSOSMimI/U1cGLeN47F0Z2iLbm3WOOMd1OAtXq/XvNgrrl0pRXuNUf2oIQ6Y5cOuHFL3E14j
6qtZT/LNIKpkiJZyokBqF1X97ZdXYdN1oveCxBEH9eR8znOj8hrKElBNLKEDyJA7eodGaKrmUu39
ZWznmt58P4DXEN9PRbKIfWnQOtkat4kx7RHHtWNN9yfgguOlBX95bTLU9nbnEtuwyCcZ8KD3Wu/X
zoLSZsKT02gS9WCsWLSS+qba/Vg4uO6ki4V01evL+TKqUJRALI4+IXoTYLWON9rpnTJL7HmJlylY
b4o6+RE4k34hKXi5kOAJaJVs/ikg5k+fLan0Js/oq4Xlm93QMbQsFj0yzmunXdJ5ODPU5h+8icVB
xgQ+cTwfF/eh0TdL5kM5llS4H9Acrf2O8qJziRL5cu22XHzj69uAW16kiwM1isnI1RKLesSFfrCD
d9mUld9f3yE+OX7n45DMHtHIRwwaSgs07eM5qbXqW2zAuzippyK4aoJ+0fbSNtZibyXL/MV2GnDX
ep1adej2gftpFH6uc4gmF9Ry0yXJLqvn0tiNjszNEJFgzQ5Fb+FPbhiTke3nQDnmnqRptveZMzeP
c7DWWTQlYs7BdiNmcYXNIrW+RgZzE6dlB4nfQbN5X5XJYl2tU4Z59NxRpg65LZGRwV8hTyOBgbO4
U1JiGrOspZdH0jHTP5pl9LVI+WPm74JKYShepql95aYNKFyvrYNQFZP5qA9Dg2PxJDWytyRPx/3o
trLYJ6kUDy7oa0mnKvX76KcI/i4Z9FQPLXP2rRC9lvZZtUZS7ixjcVVYJKb8o3Hb8hGKQ/kw+qn7
vUkG7QNgPh2Hdk0ZH7zGMH4frMHXwrn1ywHnq5rSRNPVjgue2pxu7dIwAVo7c/CuGto6CYPCy51o
WWpvjrusKdF99jQ8mSXqSrSj8ZTmdxTakNKs9HnHNsoPxB3PVqnH62j095T8O6gya6Z/bEa/FFGh
rLFAKmSVMlyFI5NQWMiTHBpXZRLmm5nkO9qoxnt7aoW1n0qzU1cya4dPlpNZT/SQe0RNNrC8aN3x
ztW0rAz9lIjzMRGqeyOy1Vz3jR1M2Uamq61DX6uqiny9cHe5P0s/tJ3U/hG0iesgGuQsQPLsLLUw
VFuMd+PE9YQ5+aR/wrbGbmPytzTYc1Lah7LWxhr7AQOnKWM1e8pJbhb0mN7n2lXX0LgN0cDU8JRP
1+Vz0RUNi+ZrxLhs0BaMx1THM3YMFPFPCLpwQWIN3/zEsb9qg9sjKCI9cbPyt7+OabOwM61Prjut
RfeWwtJqxaobrcdxDMqB/FXPeiJmOgWRa86miyfZkP2orNp+azqTuKflivqFVvriviSLf++nTUk6
HXjVuOsbn2aHnhvqW7tOWD4NXjkxNa1L6ohwMKHCPljjTZ0VztcCNAU9QWqmzEwGq71P83T5odrC
+WBOo+uhQm8aNO96d5l2k8cDKcJflmItbkEYcdu1P6xXwJM6GSV9qt+Prga33wXpEJkyo84zT1ky
h9L3ZxBDuVA/zNpJviCR1HyufGiZYcdr8qGjUWBFZsATHCKE0d527jtvTN82QiWPk2q0Hzw0uyJq
xqGrIlRqvecJwsXnPB9M49AGpb3E5mhJ+aZ0bVZ7Enn7DVaXU2Hql/lZbA5ZIcLWH/O7CmRyHnn2
4j+pphmfBZWpB1YngWbBIZojHa3Y5zrIBi+Cma9V4YTT6BM6/cPjsky6OtSIS/P/esHY7yxpWHU0
oHqdhKsq8kfKrqKMdPqCRlihRvC1C6gR7Rc8PZ3dsCSckKJ0kj/4awI83DC5YZFOeRYJp/H2ACZd
3jOO5r3vtQWpPScv/NAyuv6+tBSqZriQehzLLtuE7kXAHnSVl6nQAsb7JpjMpLlOkG4fYz6p4J2b
2j6OavMCpsA26jYNO9ekGStQDPRCSorTI3nk2oZs4ZSTfBrWG792l/eWzPVoyi3YzJO+2DfNGhgc
WiPzp5vOnBR0YJ6OfYQQbSpDJjhhrOe53RvNccVD4vZztSuq0sF8ZtTtD0mWyAc3azqXLawNfM/c
3rhyaJbc14ELY8qjwURuit5Ps+9sfBm0oK8ADg7i7Ypo7GNjm8Yau55ympsKa74m6sSILPHSBWsQ
ibHI3m5WN5wNe3LnuOZzG+N17uvqMA65qigCVn51Vah2BG4jJFjZue7+KOl+dFFGN/bgJ6lNxFUV
2veym5y3/tDCYy/NxrjTQYe50STz4dZoOoTQJCaRB2w/CaMV7oPiBv/otMeUJZuMg+OOBM0Ghs1j
W+Tlt8zUpvTgCH9O437MK3EoUfziEcmjwDoIZwpI8FVGbMpTob4wwEy5NyO3g7MbGB9wCyno5Lca
aVRLGluB+NWWIkK73vx9lXirHlo0Q/UrzHDNLHTYxYKNEXCT5kDOTmgNiV+HcEL7P6QvdPQdch1S
UeXZ6x/YeeMIt8refPDNory2BoASoZiaeg4tC9mCfe6lortKiMb6zkwHT0OGrvY+pKilu2FgNO1t
y0fn3Xie0nT01O2yDM28Kp9LMbSomyGt9BmkQPumRu82AaNmtJR/lccjZlnVcp8EqzZinVNJgnib
OHPo5Tl881yzK7YZ/e7rck6csOYpdRgaT4/WtH8LXau7HyfN4TIiEc5DE3O0LnaUGlkCZDLwSEs3
P0+a6cO9LeY0D0HJpZ87R5ND5LQjxAFaefmNPjjqe01pktevMzh5mNs6zxMeEZralXnFEyJZlsYI
U+XWYrcsnvZ2kGiiUoxyss+W3bu369JM4kCktOad0kwutMzItdALcgwlB2k3BMwmn++dIe8+yzop
68iqPbEQTJ0CktlkqGS3gm8pwnqanHHHB1MG+1SO/dNK2+aABPfi30yZKK6alrtjl3tk+E+FU7jr
XhRTalxnlZZ98fTRVjsrc8x81xspVm2zNA79LOq4EwrOmm0VjRFVi5JvWcucR6youzoSq5aqyETg
724toel+tZeZwvRQ9O6jah3rOQtcmMFuV076vux99PMrJjuEucF9Hep+S3joa7d7V7Rt89w33HQH
FBhBulldsvAyJux2z+k0+FxLOvXsKtGX3w1rls/japikB0272I/FqE3f+vZ7VsZGLtfvmFb7n+dy
rcjoFFXzOelBtZjAL/xQGz232bFvDm1jTDQfmsHvv/VDOf5eowFehg1c509i9sbvPO5I75RrqClc
zI70zkZasfyw5ScP2bBo2WEsM3QzA5zCxhAmBDyW1umHKUI5ZM6idV7hJumBGB/b1vR+V77T/1H4
ohvu0EWovsGYLtzI7wyvDWWitXfe3IkfTl+Zf5iWrciw7ST5QWDjbu5Mm5oVjrMyDfk51fvBroyP
hS69D2Oz6ACIpIZ6PYiJstnNhDltx9dYBtekUe68L2pjvnZXjhPo4+30FNArkGjJYNr6ae894DRW
lOGcqQzWKcpiD3pdWulu0vrqs0oK57mAx0gSnY/BR80xMwvpA0c+d0mgvavapbrNJ2Pei9Eoln1l
tHIzehDDk5R1821peqhsMknU+jjB5ONIiDn7UE8BSbuXFoaHuSMEy3BMUGFkDsUCkbqqi48sWDHe
jMjJfMpqTZQQQWpN3a1Na2i7Uaewu/OI9yqk3seFlBfC8Q7KMKj3IkaROrsy7U3BK6+T+Tt9cpf6
YycIGlHXWva6K2YdiCiRoH9AeL1VURV4Sx9Kjupd1bb6w1JqLi4c+kR4I/WqllBRQZahkeEnG/pD
HixhEaCWGNK8dNIrM8ACD2u8uRUhjXA17IveTz9hrht8r+nNgTb05mwNezCDH4rGxTGod3Xti8St
ZSWVLrP3k8ktGgpBGW9u7WQNzQx0UTjXaV2HWsJ28jlWaXXj9Mac4akxWneSV6h56NxB/Jj7aqAs
YRbJLshn6UGNm7e3R24ZfYSjhhqiFiFS7WbCq0ugZOFnj7lXjjbxb9HmT7gdL+NV4K/9spc8obGO
1N2GRj5+rFwzgak5VH7dQcVusorqqoEH8dZs+37ZFVZOmX0tgyJOhFl3qO9Zzo/NkZpcdKp857oe
6vk7AFVP3UjbStuw07yEupaZyqiAnvGHZdV8SUXvcZHU7TB370z8jeVV2g5lELWTI4qdMa/zp8rq
h6cE6GYaFcOYdZE59epJBKJNI5Cd3rcqX7GIHapqdUO/ZP8igeW3E9pa3/7e6zQVgZhJ/6msBzQK
4eBSrJPSSd8iU99oe713jXxvdSrDBI+b2Qpn4PTprnRzPd1pazqyPKvYRA3TYpWH0ZQwPUxvzAUe
LuifHFyvRMNjcgeq1WleW9MdYhvVdD92nvtR89DbiYypJ2rruvCuxt4aulBPfEp+CO6i8gevZgFn
SxExctKx0a+arrTMzyXGKsOd1nXKj9B2qm6zJW3q66BYsjtJnuCGQ1HZVcg7tP+MVlF/3xrYtYfz
Wjt5FGgkoxFfNjS/1TGHJKp4Z9QkLDTgQ79ZctL2vCw+IFNVWuEwVgEGot3QTaGLOnVF7ybopkPP
dvsHEeAKEvlpNmZvzMoKljdkRrhOeMrwr8tG6aD4KoRoozL32g+lUQw/qoKIuJuKpXk/0Vl7kENB
0p+nvA/f5ElXEjtgY2Bnpuo+e6sprZ1Df2nViJemLJASFzNf3JxNdRsiWWQ/QaHvsl3hOup+nvFj
udJIAw5FQed1X4968mUpWOldS2pXRH7f6A9qaEgarUmv8/04jFq7LY03PFC8r4NdXwx9F/pr0Fhh
XlksXG+ZqSKf1OuBHGbmIFEgAz4AaNAx3hSCwHOTjW1fk4Gk6ndP03txXUB4+uzrqDPs1jVt150M
KszLy2lBHJIMqj/0A6Vj1JYTjEj7xZufJRoPN93o8HodV/zFQjh1KBbpqpEJ4cqXY4gkQHrbwXW9
9zPlPpiaT8g2mlTq+8VvEjMcXbJnatB54VEoEVnAWEOhoiDzAxWa66R/88cWTTpTzf33JqdfdwWz
LonreQ2SnVt11behs1p993crG2uF1doUF9uLuC5MksdGm3Un+rtyebM3EgADvQ2PlL2frEdPUbZL
HZToIuR3sSJDhiLIQir4qc2+WeUHfufgl0U/PapDNOx9MNzUbU+7b4YYl9paqjluR/sWyU6X27ij
OP3LRUPPA7aHpLIL959q7HFBKl8GbVSGPsU6zFVwxhCsKn25JOT/sr2CFTKWjTD16Mpy4I5HIeZ2
WYrePF5TQ34r80zetzIob4zEseKm9q0LUhBnWusbrwDY7SbTgI7bSRF2FY21Ok46xZONh6DDdyzb
kdvNmj9pyKyEftXYUYNWdOisJO8yf8hdsuj2V/0VHShK1sYStLZGGUDC44m3/ciNnpo9Gkf5dDUp
HKEq9BR+eRMZBWEeENHM2DiVcChM6DupNfUxdFDY263XkR7gT/N69fJFPRZRTvpjIP71DStxCpGl
MFaKOh2RM0+m8TYvMamhlO1s6XQZvT7Ui3Ksv/X7APJAbkac5XSofu5Vuo6ljJve66I2q8R9N4vp
UjmWxT8uxsLbAZKF2B4VWaQYjjeHX96WHfvC5pS0kEZSPTf/NicjBTftM7w2UOSXoOsvFtHzgJ1t
nDxq6BRQT763csBJstcdtqrKi8iQubbzQN1FWAH8MgGQMj3nglSET4CE5uQbMNfOWROnX2IbL5xQ
8FQ5rKiAXzgVL7bq5ygQSqCB0DY/dX8qc1lNg93Q7lDauid/XsPVqP+UDvuvb/P/SZ/r+3/vSvev
/+bfv9VqaTHj7U/+9V/vxue2H9rnv90+qe5v8VB9f+pFXf339kP+3186/hH/uhXfMOWrf/Sn/9XR
X2KkP3+T3VP/dPQve2x5++VheG6X988QgvqfA/A7b//l/+8f/u355095XNTzP3/7BvWx335ayi//
259/dP39n7+ZGwDzv/768//8w7snyd/7MD1/f375F56fup6/a/+DvhayeDjaI8JJYv/b36bn7U8M
/R+4Tho0bMDGAtbfzE6rmrfmP39zg39A3AFXD19Ap+mx4eq6etj+yHH+gb7FxvTFIGRT4PJ/+59f
7Giz/nfz/lYN8r4WVd/987ftQ/rfDw0KL78Aat2uwQ8DEnZqbTuUVlYFE1ekpuZl36vBeygLgpRf
d9WbQnPz73nTZ3GnO/klntLx9/bvoTeBImD94IBeqCSYMm2CrlBO5LW+AQXQVrdi7MTOV0Z1gedx
fqjtttk6SCzocTjhEsgMKpxO5E92s5PFvEai4R2n8Yj/pY/u37NCR2JjOBLuqfgdD2WkZdGSwjuR
ITL7hn7YsrMbe7mAKj23bZTBNjIJQBzUXY9HGWSa5omqnUitbnDVW0sSj4uuboahoqxK370OZ56b
ZLb5bFyY4XEX9c8ZQjHfLjTAn6fUrKEx3TLPG4fMrO+qcLDb6lrqZR2P0tKiehJelEx4ePzli/rz
4P71oJ7bwq3/h/Ar4+KPezzjAGzh1LqMKvpyiVJ9mfGi5S1IB6C7gMzctujkmzARO9+MokBeW6dM
er83xIInJlmIudAOcqWbIahcNA9uW8w72xQj/u9lsg/8dr6lTH4JnX8ct38uMAdniweoZW36F8dT
rUSWG37J5o4AAN6YdUDdk83snf3rS3qc+v3POORBuomwJYWm43FGfZiDNKe1Zq3leq16Sw813+3e
qiprd22d+Vevj3dmC03UZLekmasdgdDj8XxgSMmQe3ZUoIpMI3Iaydfd5SMAl/zCGT07FGQrwHgk
ztapp00JBtZSvnTo6jTfSoCNh9QvKbg4xSX3tHOHBX7DZq+w0d1Oz2Uy5kHXOhT44YmovWflhohc
mRq3ABG6Rznrsx9Njso+6UVivG1GXe5eX9Uzn6OJJDsZmQvOFBbr8ap6WkUB19wImcrUHgHhiQio
zHLdro2G/DfA5R3q1vqFz/FMAOKIooMMTs7gHtrO8F8ZJPOicMtggXGLdcMmpZEteWbE4JS0m0Jp
w2FoAydWw//l7Lx2JDeSNfxEBOjNbZGsajt+NOaGGM1K9N7z6c+XrcWeJosooiVIuwIGQlQm00RG
/CZu/r493r1Py2OFM0CxuFS3GfWsJ3VP+Vd3zT79lim9gXN5anhVah8JUOyOEbUMMigggeAe12NE
pIUzFM9HtzOdknZlPdwP3UzTsR3M57yf4w9DJjnpKa50/ega2Rklp49gDsB9FZr769hxrCeU8gzd
LaIku2uBzHqt4qR+rJTRwbbc6AS+nAMCsEo/DvQv4NXNOFvkW1IqibobNnbkOfAtT1Kx9Geu0uUk
z9lTRmmNikxtftaQHPKVBG8fLEQOjt0XKsTm3BUUPDDXID2AFW4ScCgGw7BE/I5Im1jOQfQV6WbH
j6MwpGNZy14SGbmrO8nPZMzrs9TLf91eWjsHIikaE4KdAvDLLZmho9JNs0jX3bboKGhLRvqopX10
RkinOOPRemTAtveRqSPwahMJIlCa9UeuCpTSdWNkgZUAPmQcwj0KurEfytIRymrnmALOynaFVC8S
PvFTXu3XhZqTbAS57mZIwrqlBXznpCvz+Nkc++Y+yA2TqupQ/WVVY/ae97jx9gP5xYmc6xQcDxib
dXxTj4tIyTJ2bUgDCdaowfMeRU/DiY6Q3ztDhfZKXgx4V/hIiD9/NdQKEZJClrB6QedCfj/TIPGs
ALn2ZIyAUIa66sLyCv1U72wgMFHt315EO7f36/DbB3LV0KAqZ5gRbSOWbCin57qdj6oX66X6kqkj
xoUQvQo7HsTxZunIoByqaNawzswUyv5qbn6zLPAjpSMHfpCa6ZvAZf+Nh1EgNwysKUoM60nVJEUJ
R4Ubzu7T5qJmY3iXRnHuAjc6ulrW3+8llA0KSwjfoeeNiME6lKyGgYwZYefLVSufEjUNz8ui/kor
HdIdmItH3alKz+wRwY7IsQ9Ow/V1+t/oXGzQmgG58zxZR5foqQCL0Ds/MGhe0DIH56Sa7UMvG43P
S13xG6PVPtxeM3tBxQORVQtXwdoaQig9XjeqkjQ+SDeayLg2+HKrJ74jL+nflp2kH62lHw8+6fp6
exkpxjTAErlE0d/cGp8ESYaAITgDX6qNBbRRCUa9mk1XrhcLO3HRDnFCtT+HS6UdTPLO6nXYmcCf
SZoEr3s9yQghdHM+IQWbd2HkAlIMnzqgyK48WIqv1suRkureUIVqCrmgEHraYkytqEsShB0aXwGO
705xCAjAGGu3mkzzKSuzOnE7TWo+VWmnHiRKu0O1SFhedMapp6+HSq82t4KITztbY/JoFbVxirpu
+qPnR/jJPB1N7aa++s9nxXuLww0OAwf+5viTB9UsilBv/KrSnDNYBcOvzGgBFYAb7VdEamrbrVRL
jk+L7kR/RYXtfEgCbnNA37OvDPhcH3ztTYLxz0+ihEKFAXwKEoybyyeVKE8uS9v4Vj5+ZX/ZFJup
MYSJgQ6VA5QAbzvzKQk1zbdlui/JiDOvDeToIFVe37f//A6ql+iKcDeIxHX9LVRNshb6BK1fGNb8
IS5GDTW65FeQtNabmFT/RELinqIOsg/kE5uvjiUiulRDAtAmtJxnfcReaAiq7vvtY2NvbQnXZoq/
pipeIOvxABhDpsyEdOI0Su6ht5GdM3lWvmKB3nuTXCRvy0r/OywDhjXHlG1QAFgH7BD0s2K57vyp
yYpzjyH7A/T88X7UaIC9fWzgcfkLcX6VtbwOheR/MWOS1/pZVtd+JVvFHQjdGbfd3vHCuavPt+Pt
rQ3BL4EMT4XoymGtbeZ8LDU0jupmGM+9ZXR3tI4qN1CD9OBI2DuNSPhA1uswxaigrIemTzKFkyjq
fGAoqkcpuPhStnb6HqaECvgUOHGiQBk6dVNw1O15qef9f479zxcUrCae/PyNp9s69lLZljmbcevb
uYkAuQBSTjGUztkaurMqSf2XeG6D3wjdtndRtjhgtcI4PUtdaUUnoD7B+y6SwZ3hF2s/mrRwgVZK
UXCvK13jmpk12we31E42wPsLlhutBoj9W8mwQG2DWnVgfY1FqjyjI/40oSn7wSmK6P0UTv17OZa0
X+g+FmetmJyjo0us6PV8wReg1oVGDAIDrMX1fGVGMlPDDDi6olQ6ZZCDTH9AFDr0Yqk0FTdaWhXf
2qB1flUNtNS2f+nlItWFPF3RfEVpQfvj9krdvJPEN+TyFA0l4eoEnHBzjMHSrWHQpJWPBnh3tqLe
PkWJ1T3I6P+fVRokoErHHJCCmtkfc5jSHxEON3/c/hXXi1jc4CYzQ/WWFGLzaAS8pY1Q5il5GFbt
0oJ1XCZKu6htLz3UZWnfLVkL0X9uioOdujt+HktCiRmxDPK09TdZqKTQYsYYm/kx7xDHXi5cW7J2
qauw+htouHnfmmP4ODlBFfnaYKrvlVgev96egOsDA0Ia9Bh4sjROKcKuf0VkBcpSFnPpa1JleXqm
KmxYJXmPHtR8/29CcZIK8ogQ9VmHYjOX6LwTKl307s9Gagw/aJs2OrEpzYP9tvdd0YMQqtPYGAGC
XMca09TQoFpWPq3TFuCjlEuda0rqSEXQ0X7bcVP8DKwWT1gVVe/D80ksm81+g1YiXLyx2cHSZHPD
TEnezqkTVX6TRqjHmJHtxjAO3DbqwCrJYfXoNBUqZTPo6mJpjAcQaQeSJWL5bH+CzcODusvLzbrZ
Xklg1BYa2JWf9HbxDp7ZSKoUmerjYsjlnZKlb08RMYYwaeow3/Qotg9WlKc6uoVS7idmE8IBQYIj
aydDcTtrWh7jUJmOutLX7w0iIoeNTwJ9QbRp1x85QH4LMT1wVqiLY9HK7f08JzlG8H0bPCYVheDB
QSX49ire27dYVXLnwa584bGvo4LtQMBwSEvf6rrgomVG+jxpuF5PhtN8lIzeeqidAQLNGA6tl6CQ
/M7soqPO8s625dqz8Yx9oRNtazytrRZOiwST3+iD8ues4P+jWVN+Vo2mOTghdhYSlzWdIHpslBC3
ejEgpym6SE3tD2kf/tWqTvFQBHheax128UabLEf8tr0ZFgknbxxR67ki8LeZWoYzAAqfWvBgeFLd
BblnB+mXwJCCGckAffhZc6JWfkwtCG8GM4AYEAZW5t/+1juzDGMLbSZRH9aAJqw/NX8y4N2IADMn
uDNB+GjohU264mlBTY3xdrDdeYb1xk1DKY0LaR1ssQEGlf1Q+yn6Qs89guUfFnM07vgNf6bq5Bzc
fGJzbM4HICO07p1/WJubg3+yliAeSsZW4vN9Nw5G4GVgCj7eHtTOOUxlhxjidU6VezOopBwkkNRG
5fdOo7lzp6UPQRq37mKRlrlg6cAVgkLNqstiR8m/WLmkwRwONKCQuN0MscBrB4aaRd6tBe1TXsUw
c6MhmNxCn5SLGZUAHG8Pd+cbCmlboSoAGIekf/0Nk26wykZDaQUzW8ErwgvsZKfAa4fMtD4O5VBc
bgfcWaHsSLSXdcrNMH03F002yAt4D6p/lRVP93nq2O+6cSk+VSiZf78dam9s4uXLjcLyZF7XY9Oq
VkE4wCKH1IrUreoUvg3mFI9KDAAqNMviIF1wrhcotlUIIysw2KmkbzYf38lKbBtChJpElZvo7Ace
pLPlQm43vQ7dkqdGafB74Rie/AWewEE5a/8H4PZBh1qsoc2AjcGKuL/4Af0SFD9xzuyf1Jq3jA1Q
4alyMCM0hGNNX1jl96RRv719upG5of5BD5UsZRM96bNEHntM48kuQD0HNiIBbUVXehjU6YFzPj9Y
StclF9HWRABR4Bj4F1vMx6uKs5VTZDOMzAHin1p3cSoSlGlSPFmavhQgOu+HqJ9cqE1wHqU8+QNk
n9AadyqvluzhraUHfgwtXYsiLQhsJN7WP0ZOx7qHn+h4cT12z80EeW9GCfx8e5KvDkGi8FTkCBQC
cryb11ECJy3mdDRtT7OyBWVG6Ff10By1psSnWh21SL9zfdIqFfJu+Caso6BGIKuoEKteiTfQyZan
300eWBelMcZTGeEKeHtQV2cCwlnIzevcIcBuEGVah6tCi6MNUrzXOGHxY2R3fLXn1nKBrR/1FndC
keghnSVSbdicm+PHmfKOytusenUAT/NUSXHfwerDkdDFrXNO/Nsju55IPhNirCQieB7Sql6PzGhs
mzehrnnNbP6Jy9PgG7hJAWC16IFgYXUwkVcHAJFooIlXO6UUTqF1OPgYobZYk0rjJYq8uDDrd0lS
dLAhjOFZLtv2AexPjqdlGy13Q9NIRy5K1yVHMVY+I3x/pLLp3q5/AVjuyoh14TTBIdu6oRJgoGUF
k/4tGqBQuLneaN/0BKE9t8xr8O5xnczkw5MCGVlLm+nIoVVcYOulzA/iTYXKLCgwqpDrHwQ1dEmV
LNc8u5X0n3alIkTUhfUHNcw+zVK7fAZI0v0VTYpxUG3a+fRkoTiNoKbM/20BSXlrthK9a2way3h+
GPHR82o57B4ThIrPyQJ/9fZS2/n21CaEwhjO4HQ2N4eh0y9aP/Xm4lFNo25Sax2ZytjCfPX0ojCf
nTLW6ycrrJTs4sQQ20+DrFLYu/0rdvYXvwL8BwqrqD3om608Kz0utxzMnook5H1ZW5VbybPjs7G7
g1DXWTfXDEHoWdGvohyy+bSqCvcolO3Z0+jJ+YkdDeiqpsPjPOjFOXeo5A3SUPjLMs5ePHRI8czt
keDPzlcmIXV41whM1tWsD5KMznShzV5vKfV9GSigPgI99quat/TYZ+HBgbLzlSki0qhHIY/kdosd
qiqra2F3yKh5zvbJMqL6WZFq6aG1C+mvKS3y0U/hH3wGHTKNLpRl2zqY9p0RA1UQWQ7FaCpzmypq
gvLgJC+sa6ph6YMqd/CVgnb5Wkzq8tdYsswONtLekHlgUJagBoPz5WZhh4De4I7hoCcbuZ18SkMt
ekAqJDVcyTTqxqUFZNeC4AN/u10U5UNMYfXn7WW98xssdPEd4emBo8dWNyhKQM7HdiR7El6SZzlb
0AaaYbVeKthRxilA2OFzVqnBpcY4zs3m6F9ckeQWaO7xKgBQsJ0EPUsaMImQS8axx1q0V+CBKuHk
21p0pPu8k1bhdUoNCLQYmSQchfWROYVDljqVrXtTX0CDSjEV9KEZ6092hGh+COHkR1tojWdHkn2X
ZpwwpFcK2uaN1Xij0UUH1IXrI5ybDIsA8IdClv7lHHiV5s2U95SBBp5n6GH1HKKreUcyC0FyWLKH
omhhoUbNcKE0fTQV19kWtSiKvVwh9NAQplzPRKqRTk/OZOAErcf40BrDg8S2PEDJXu8oMh8BOBar
y5C3VsXoLLVahV60x9ZSPyPVoF7wm9a9RKt1L005RA628PUhTTiyVWQN6bqgkL4eloQMNmMOMRBb
0twrgmnxNa2NT3zp6nx74+yGeiFJkLWqJHjrUGOG4IidFUiMQER07d5m37SR5dqTdXQ07k4jSQeH
EhYnpJPrUFCvYkmJAsMrU+1p6pPwDBFJ8wc7GFykRY8cmfZWJSkdIGB6ZaJYsA4nw9lfTIWHnYr/
zhegwBnK23rldrCHP1WLFJ0QfggupVkcWa/vDhQhQK4/6tJgAdeRYb5lhTaMzGmsNJD8NdRpxkh+
Boie3dEuOWrG7MajHYOQEoJzV610BR1H9IYUEzkbGDsWNuFfnNDgSZcFxT1iqs1/bq+Z68OWUprY
7OB5EGrdalejdhJDICQeCj/BRQ1hWkez0TyNixAGdVITb+gKMmLjpPedYhw9sfaGS9+TwpaQeETZ
ZD293VTlWpoxvWo1O3cBfKwLYCaU0jpHf1im8Kg7Lj7XOkPV6bAhi4U6PdysbeW/mtHkDIfG9LD3
ap4zWtifpdbUSBm7wNPazsL4NDxKi3eD8oozKQTSkN+WubQFfKqBkIcH1lJ/cBBXcqOEBKqy5+Bu
lob6Mladen77h0XIXUAyePBhYbCeWWVKNKceC8Nr7aBs3F6Jm3MLIkWHYz2YfwulkMGVlTgFGhMX
8klvrOjL7Z+w93GB/lEc5RblLt8kE100j0snhFZkPK0fykkb/EWRAjQZls7r++7oQbQXjxIUjzGu
Ecrfm1PCmewsy6koepKqzb/lPFGEr0b5QwFTr53atEz/vD3AnQOXihdFAlEegMglftCryzLNZCx7
e03zRoTSuRjn+GyQ9vqh9TZjbdqhooRHJgJ3l2opZJJ1pAQVqEwpF8urAFgnbfGrXIzYj+Mkd5Pa
PGre70wkaGuw1mQlQLa2fMkyzaRpiWXLk3uNEpZGJcLqNcWr0wknbTQZDpKO63icQJBjQOiLcsHW
LbKpgyg3pTj0J4RlzxYXNGo32DbmSTK6EOKGgyTgBQm6PgZgigEood9O9RC7ovV0Ir1hL5rMgwFS
vvp70mP7t720+cd8HOR38qLpP/OsGj5EURLeo5Rap5fAcqKznMfjE28BmdZC0bqZHdjfSGB55t5e
V+Jrbn8eLxxoschmY2yy2buOJtERLyKIw2pm3rEzEQNBBvH+dpS9WWen6Jz9XOTk/OtJaMsBC69k
xjQswcO6asv43sqtL7nltPeICP6+He36EKQJxwXjABlSgAxt9opGt4/MsQ3QhmgHVwVU7jpBqZ3k
EJJxZFi5D0vrCEF6vUGpBJE38JW54Ng96yEiHdcmER7TPiIysqsseeQmaYgcuWkeNWh2xif4h6Qo
4OBEfW0dqhycBehoy9s4i6aHLrSsk27Wpb9kVXpKR7l+XErn6GbZGR/UUfQ1aYcJxMtmHSdTNNFn
M2NAdnA6VRktnXC0+s85QgIHHePrRAEIAKhqXqEUXIGur8fn2ENo9KEaIZ2HTVE29Ma5lsb8B4oz
Tniigash/Bh0tW/Btn5uDLk62BR7m9bg1gafwuuQf9nsCl6D5jiORexbxVT+VZlD834clz5zB8OQ
LvwY4yz3OiDACQu533JflH5bhCWyCOUMbqHj+nFGvf+Kklv0jJbhESj6JQvdbFuDIgmwWnYu8tGb
H1hmmRaEk4QK4jBn5anBPOMhVivpfRIbcuK2I0JG8ZSrH5ZRrd7Bu5ifcWOLvApW27daK+f3TuKE
YC1AqU5yE7QoJTT9e1WKih+qIWkq0gUaHU3UAo7mVny9zU8XfTCoEaLmfeUMVOkAfZAOivxeLj6X
lZzdK3UaCdJU5BYWqKAob7tL2iN6NVppd5G4aKEq9Pa7rFBDH/xI5d8+L65OJ84/mIW0Bemn87/i
SfDqbhWwsWKMFt1NRiu6D4u0HU4j3rofUgeDN0MO8vPbA7KFuBToY4mCzzpg0BWl1E+S7lKR1+/U
qNUeql6dPCsrynt0rNLL7XhXexfmG2FA7FJUw1BU/PmrAVr10utGAKlKj8fxXENeAaQAKmEZ7cm7
HWpnLsmuiQIHVwMUt5lLEmEJ56VCd4exNhCHoXr0N7qc2Wcnl0YP/6f2IODO2Byk/Dl3SVu40DeH
ocSzrM0rNA4mqbd9qFpoudGzdnW97z/dHtvVuUQEdh1FQRQrMGQS5/KradS6pKEwBelCzhtgFcKs
V5mLzEeYBLU8e0SLIJ/LT8i+DQgy5UcA8+siPPFxTmLjwBqgWbRZNpEUUP1Fw8U1ofV4SL+Ej87S
NSj+de0nhOgwk2TvBO05VkblCyIv83NqVfVdmAaje3sqRKjVJhY/BTgPpEoKHHS111NRgX9Akgb+
S6g6uVtXiuUhPNK+fWOSNLCUcLen8rxlbcl1NKiBVeouiP7hjKpMhYYMGjt2NTheWmpHT8TdUfFm
Qxichgvv4vWoZigi1jT1uqvRULgfUWhCK204kny4ur7F3PF4ECA3TsFtCqqM9Nxw2kDyW9KC/9g5
AKix6ArqNDRN0KfuVP3DDNjogOO8tzMFjweFbIyDwDevB5eQBSr6bGmIKHXm91Ytcuy9TJS5F71G
J6nTmqMi0X5Eoe5CLYrW5maRNGo9mIoFdafGiOVUppAhZrSG3VxbAKonQffmRalxF/IoEzbwFME2
l2KuWumiFsRTe1W6GIndIWlvGQeH9/XnIwo9RlyOHBKwLZ9Gd4IQZVnBh0JW8L2KnKuvNc78bqz6
DOTmLDkJamPt2xxceZZxqoLoUHS2AuePuRkczyE2dc9e0GEU3vVBk9zp8mj7MRYRjwYqqQfDFB9n
vcOJp1OqsVRk1Y2txyKd9xxRWwfwdKcXvm5NxX3vIOHuKBNpUUDxtDTQ6Clz/YjbtnPOERpuCbo2
L/ohm3Uzh7o0gqfGDEdIoIXdaLlTh9Zz01q5h/3qfAqVoTnn/YSBQa5O+CVI2ifZAMJ7+5S7vlsQ
S1Eoa9CKYrNuD9xuAPFqJpxykjIg4VzXkSsrnfVgGvNRen29V5Av4RIT+Qflom2Vs43DUVIDhCPC
vsMKo9Imt1Fm6Q4/yOGktN14kBLsxsNaHPo/lc4XQY7Xdxk6ZMoIZpTlxMLyQylnAnsze+r5qpBk
2/ngHbw3lYBH2JmYyKAFsPmmvYlwn9Gh45DaMsJ+cpJ5c2QPfq+oR83561NcE28U4PgkPfQ6NqHi
VkpNrSBUY4W975DNeVqBrfLttbE3gWAXqCSSx1ImFgN+lQyE4xxGQd0Y7gjN9xREGfaC+hy4TZD8
aQ2WcnC27Z06gJDAWNEpYhLFz3kVbunyKJFGvlc7JcolSwvJleSmfSitIvQHBTlrtNKPqIN7Qbmo
WJiCMkJ7ah0UHxo6wVanu7E+d1zzqt4/q/Dc/uTQMBD4NQtE6VJ5+n57asUH2h49MIbJLLgmoW2L
n/VqrFW0GO3UwRtGojTzc4y2LorkOF946VY8WQrHk8xq/FihBvAvPiqlWvIaLkmLQa8ja1NbYK+o
6C62FfW51TsUk+Myvjgh2tJ9qx05vryw67dDpeuLfgPKXRSLN9krUm9ImMuoq+mtEDdXQ7T80Irv
MQnhIjHQYQduBawpMHPPRMpOPs15XLyTp6H8Lvy1cRnDSUw/aVOhhH45Vaj0RnGH1t/Ul8NwciIs
LRCbjadvbWwqf2fUnDu3qJERvwPon7auXBfV4M5KvaAuLZkphtaKjvR7UIDcMJIFa2Wszaq3ohrI
Q6AGAWfjOCDd2ixnLFuXclj4xPUEPShKTfOkOVnnC7UkYYVduHhk1K5Kte6UdcURXGhjq/xym4Lm
o2KDSg97art7Ha3FPSCwNQRf5PgH1isdfR2zkX+PmdKGbo8Z/OdOAYuKsHxaIO0aa+qXGlX+9rR0
sf69tJHP9qqoqY1L2vXBBwMp7OCkUt4GkNxk9YIovlXdh7mBtXxI/wX+UZRTN7i9VXaOVfrD4J1e
tA14FawXbDIvuRE1JHWWpAtDrjn7PE4SyqtcUf7bQ0Ha4c5gf6DMsTkMtKyvKiVFrb2ogV3y/ejX
KO3CjZF1B0XanXNH8IP+F2qThxd6ZSl6zKgMo1ceB7XKvi/iVXTiAYi2YlfU091klMvBZO6GxWdM
+AlzyG4tvTEtQU0lZoQZXbjs1FQGdrHJiL0UEo599d1xYskP9MY+iLvzEWmhIjRHuYlMY9uOFj48
U8TvceVGy+9SsNCnqrPrp0CVf9/+hmJbbY4bbioKAOR0AtW4OW6quiwmq0hRSBhHdLqrycInoW6w
MYiz+jF24DrdDrhzF68CbrLWqQBpHPYky1GbyZ8RbzZ/VqJDfTvK7gSiEUUlhazR2FKvdXyL8JSo
UPdQwhoYd+186ku1eIjL4IgttRcKLyO6XDARYF5slmYyTTFbmvpGr4Td+zBvRl+PW2hTWfGf24Pa
WY3kFXRE6OXxTtwCT4fcmkY1CnjNzGjXj8hZnCV7pMBbDeElTWrl0zzlxo/bQfe+F9g2sTjobvEI
Xp8nsd07VjnwvbI5Zz3Gg+1BQf4XeTWlIZ5QguvFN9scJdRMe3NGLBpNh0bFsKr4qypU65NZpwfr
fe9rMRSSFPSnKGttvpZmDQBUh0lzkSSOn0uj5jpRw7BC0TWQ7m9P3W4siE7ikQaAd1vUq4RoRObA
gXZ6p/bQqJtPFDay+ykLNO92qL2vRDKNsosG/ZvGzforRbMyGvXI+aigDH1eyjC6WF3wZqQjBTzB
3YVxzSyx5tdRNHUs7SSZGVDSfZ8nvCwoVSwob5J7Nrl9ZLW7OyhRECVvF8/OzaBMyZn1yu6pT1Af
fSp6zOjcILOCI/PbvX0Fkf9/ccR3fJVdilsH5jpxtBGKFnZyqOrqdQ8MyFnOaYXaftvk/R+3v9je
wQv/DxgLsGGEGjZBYbWEuEIvBG3hm56CoI2/DfHcnevIsp7R1S+Pehh708n7hGoPLlmk8OIXvRpm
oqQt6sQsffyL0VA3isYtQlk9eNbtR2GVCHoLIgBisl9Fme0B5W+zpcSDY8GDUyfg9dV0cm/P3t4n
Y/KgWAuGLgtyHQXntCKPO1VzgTTFT6jPZG6XxY1XzFEMWdh+HJ3g79shrwdGqUWlugMaEhGlLQch
UTq1UkYWf8ZTwXOMyvykDJr95XaU65eOKOgI73jRI4b3uh5Ymw9qFEG1hUpiZZeoMvW7IW6bjwVW
am4I6BXL+tYEBJn0/u3I11NKZA4hCsqcVrDG1pH1Ht3MoWF8BYYpz5qkxd9ANfePZVejX4RZ1lla
DPugsXd9RFJJEqVHgaiFiSUm/dVqobzZZhG7D/7ViGOLZNgnFOSUuxzHkLvb49sPBagTitBL0Wwd
yphLhTYXUIko7Ecvs+raTZxB9ZcpP1JxuN7bBsxlmgK4hlB13MpOdZiqNObC3k6HvnYFMM8zoxQ7
KZj+X9M+lw4KuXtLUxwjggtJArLFR8cKGkFjyNuF11Xo0r8c7+TI1g++1d4CAZFBReqlYrOtfSUN
QnjQDsGaOG38jrfveJHGJHHlZcT9J8a3EM5c4d3+ajtDE4kBQq2QHMFKbFcl1fIOKjYLRArHx0zN
It8ZOF1uR9lZGzw5bdr1dCHp+22OE722zLzLiNLnM1Bbq4hOsY6DCWJf6ZtfMiQ4onbCf0sZddt5
G6lADSYeCq6ayIFHhyY52ZG9eM5S4R2gF707GeERHXlnfCaNetGlYolctftUDWe9ERK0i9rz8AeN
rOIbGIjci7M2O/hg4oOsHxSCHwvOgr4U3cwthtcyctqzy4wGmD2PH/RknHxIxpab6byi8Q8YXQjv
+cMURvknO1KPxBqvRwolgoQBo0Faf0z1epdn0ZDJzmwBzs/D8adtBnLtFbDifCx1wrepgouaAcFE
yYKPaWIbvnnL5OMyyf1SwACu0eyq41l/apbZvPA8VS63V+g1BwL5GR1pcCjz1EwRZ1gPrJAsFVeL
OfeiMRtg/AyTL7MdfCfp58ewm9InY0L/aIoMiMDS9KQPdvPh9m+43ovEpUclbiaEY7YQAzA0kqkt
COGgwTvdy7gq+2G8ROd/EUXcr2SZ5HxbX3Ge4SlSonbujWrf3cWktmAotCOLgesjWiQnEGhEbY9R
qevp1LpmktKCGprWUuPW4mW4V3E+e4jNcUYrv+zagw+4N3mcXxSiYQldY79DvUUgGeCAt9Ra86nD
I+h5qOz24JLbG5YF+gOkiip0LcX2eHWf5gnvi3KJCtByqX4XTVD+s6XEwVye8hMuUEfxru8EZvBV
PPF7XsXDugKpEIN41iw9Z6ChvlGCne9io0zgato/Owf7rtvr42qIcIlpeAn4HMU6QHvrkHJQ9FUe
ovI6qXiKDUmPdYNuNXe6wJ0rcXkE2r86UYgHIYDyE0YT4pm/jmdFxdJ2ycBKkaL4HDUV3R4NIAO/
sjs4O196OqvDU8TSRO+ARQJpepP9YQo8lgj45l7bDLPj6uMUfmctTe+tpR+QrYvzgk7bnLlz3jt+
XTnaLzlOsMxqUjl56pZI/YpHHnqic4IUbprlFJCmAXCxXuS/kPrg9+Pd9I2XfHunmM38kQL2gFyb
hluOVDYHSie7M8eZRdeF25UW6Xrmigp554nt5MX5ZD6NstX7xsALx27bo6rS1ToUE0cYQBhCXXSL
PugnS5tG3ttY+cw/jdEucOrO50uRdFj9THWbYHeWxUeqd3tRBRYM/iP/XDH/CieaSxPfMq+UlNl3
sDGH/WBIpwCdnHPeSTIgfVXxb6//vVmlQgLzGH4wUL/NybWkSR/UppTxgkOErEnU2WsR3qRAWBzB
uHdD0eUBVYaOIG+69Qccl3a2QmABXgf262RERu3imYoNL3Xvgwxsb1ejpoewO8AAUW1ah4rscNRH
G9vFbszti0UrzRuMbvClNIrOmpMHf9yexev7lBUjQIvYYguFzy3mAs8b3soAVjwFP8DmpOilcwbm
nD30jVQ+jeGCgeWUtGjxpuV/qIOqviUn5cGNurOAiALgA+YabQdTfIBXx6eTgxMsCzv12iG2PJxw
S2+Z9OqEs+v8zglwgzRzvTgIuvNVOTrJB6mnc/FtMS0tplA9ehqph35h7AdJMH5ZFKxG6gl4xO1Z
3g1FUQrEJuwO8rL1+OoCovI8Eips5PDStll4Hmy1f9caTfb2wwacjlAUFWSnq858nGsDDmoSoYba
OZXBYp+lup7csmiOShxXKS7ZjxCyA9SLqDPPt/WocMwR4CTcouwgdzw5TI1LhUa5awyO89s06on2
K7KpjYApICV19CTam1Rg2UKgi2cExYh1eFJ5Hp88yL0Gwd/T0Euotlay6mIc2R8Uc3Z2JYBS0A6i
NcAhsDnBFyuJ6tzoM2/RBhn+WFN9zoLFYnqb4k7Jtexye73s7QeqpWR/JngWyi3roWk9hRETzzgv
DVXc5CwDDZhKLc7o/NA+UzCTTiJMOG8HFYPYXLoIgf9/0M2lG8/5MjQoaHpToKG61efZ/Bkmt3kp
i9S6TzUtOmOQrWD4oKvpj38RmxIWgAsQCgAk1wO2lWnuBnXhuTJ12uNSyN2JzNBw5VaL3Kbof6VO
oTz0k3kE19tbRJSLhRQuaq2ATNaBnbkobCmOM0/ulvBu5t37FeotNnsyqNPbY9wNRbb2ck0KmaZ1
KKpZWVHJRQahQPm45LL1uRys0V16OTioUOxF0hwQsrxNhFz/ZlBM2qTD1cNNcMxjd2kXyR8n4JjJ
ZDXn24PaWzS8xSC+k+yBQ9zsjIJaYILHY+qhD1rcz3nS1Ccnyz/VdSNdtArOMpek5EZqM329HXnv
5qL+SJOF8Dh9yZsE2Ix5yVujwUm3SIqnOgk2Yo3c3tuzGbl9M2EpbsX2t6GO8NNTRSN9oK528FH3
diqtcvhVHAvc2pvxz0GMlyH+8F6nJ859r0Yo9OlYs9ZZ8Uux0cmmf3Mk43b1hOLcFfASWkTk/Yx8
vZCqWM2HsJqJGUP+nPS2/4jgj31QTNv7slBS0CwSdQwYn+soHXz7KWqdlOO1n94XOt/TnqfgzG35
0wqManHrzqrezSYaFgeTunexwNGD0UUXhztsM8CxGNAvavLM0wcV31K9i0cfr/PwzjDS5lvSVfYv
2wmxF8U4cHbbxZalg1+wd+DzekS9V2h6kJVsBt+ndYTyaOqZXHK4sDtAQ6I+8UaZ6k2C1enB2bu3
Y8UNSvYOiJpq/jpenJk0TSXiGYmRufbsLJ5Sm8k5cprsYMfuDQ3yD49+qkNs202opJmsNi410h4n
Vk9OaZsQ+YP2LjOL2R/bRT9YR9dD43wV0p20yqgsbnv4pt4oSxCGKfbi46ewafuHDutIYDRm/eH2
ibAXCQCGGBQaSdSB15OYCWUvR29TL0+q/jLKbHbg8cMZ2z/9YH1cSwYInAd/04IWN+b23HPaQqcQ
nJOxSvH0Q8VhtT7peHbikdyOy+eZTt5/ximb3Nbp43NsGj3aYviXqrQuzvk4lgen4fU5xI8R6qgc
iXAvtyjCTJYsvVtSzmGMhL+UhTGmbma0+p05Uq46BXnVfg17rNwPFu5uXCosyAzb4Au2vd0ec9sG
B/fUQ/309yRJsQ/cwHrqDcrgvLZnL+8N7fPbvzO8DcwIhOjfFcTeod+l53WZevqoZDAFx/RsJaP8
PGv4aPyLUNxqCORxCvBOWi+pRXgqGimfuQHSeDbseGHH1CYGJs2R79T1vlTBZ6Ccw40tIP2bI6dF
eNTodUKNulqeBjzh3Y4c16vDUL4Dbabev31o4tYCWgMWFLzmemhNbPZqkdXslsJ4H9lN+X+cndeu
5DazhZ9IgHK4Vau7d5gcPGPfCI4SlROVnv58nIv/TGsLLewBbMPAwGZTLBYrrFrrxFteXfwhXQ9W
2tsZiQLWoRCaL96rpRKWz5RaTlFCKEIihhXWFqXvWYj+81BM1QGETv3y20BW4UKImhnDIKvcHppt
Lonm1V4WuUbbXkZP69+3fmd+fP33A+qiqP7VJPu2K2+YNTX+sskiqEzRR9cM9+zktLkkPud8f6m9
Df28lHJ8P6XHlbCHKh1Yyq9z430+xNkV9u7xF64yeRTNR0D8zKtbt6vMPIVGgugNTGH5/BxUg/82
7qASdcY5/surGHBuhsNm/I5tKHkRxb2C3+I63y6a9FWp89yLiA7aP3FM6aZcLQ/9CybNllg/au7u
fMkfBNsgSkn6IZe5XS6GigrBQVvAAtD2lx7x+A/MRb1O74x+CCiyH4Uwon2aFVsD7AKztNOWVWTZ
jF2oZXF9amET/mNOtfkd6NKjjsTOy8cwAnUFIlFu2rYWBvWez4qWssW5OzH25ZzcNPVQuz4kHdlb
igePwgL1TF6/jZtq5i5P8oEDK+KyixB86C9LxWMDZuSoh7X3yKo6JnNUxCpEu5uMyUpzZr1xuhES
53qIbInxtxFr6H/HQnGrFEolBmWCKJ0D/ZpMpXmC/6S4Vgijn6bSlX/ev4Z7W1dQBB0zJbXatp5s
Js0nR+sEjOyaeG+sRfwWpwdDkZ4cAR93nlWP9iidStqUigDx1k57RK/ccm0EY6ngLS2v7QDgSKDW
qehGCIqM+Fznwfrw2g3y+gAKAGME7wCcZrerpiZtPF/PmbTqRHA2Z9mF+YxDcDKRHaSoL++9xRAx
mDAm3+kCbwUewPF7jZ4LEZXzVISib8czKDV0Wmpm+gOjOeLKeXnxgewx9w40QD2x2zyNmWCgYQNs
+uvapd+o9ZZnZgW166s/IFUiciUuB+3lLYxD5rNbMNWeRvMwWVHZZi1MWT3yOgi/hPeX2tsQU6sk
ZjBWvaRqnyro5ipDSyIidg2kGzPJE2X+6P4q6jbfPqWsQFWYoXOsEGu+tQjIRmkLjukcVRBSfdS7
ILu4DqxTHbnhNec/C71Eqz727XKEiNkxEB5xqotEQ6rltElTmDH35gDF2IgXGBmXIZCX3uqXf6s1
QyqiypcD299dj7Lpj/EKrsAm0kNwKe6dgfXirlyATdXFqdRl8hiY7XJ1C6Z3Dw7w5RUneSDSo/8K
XSNnePtpi2aAXagkQu6zNr42DOrCbrqap1hANk+zyn6yhMwOgpa9RZlMxYeR2UMxtokkxtwiMp/n
OWJGvjqbufTOXo++leFK7Y1rJvVHgabZQWDx0m8qQPD/L6o+/U/hi252YCQAQNAJdeNT3a7+M02o
6dQNRfLpvr3u7o8wHWZ/bsaLQeQhL7ppbLBXRHGXvwxjQjPDF1p1EeaiRX2JKVW19+qRMfJApg+5
8tSi4XXdHKUNpVA9p8Uc5Q5DKnTdlmiGg5wRpCygvuf4r3czrEeIhniASuQ3p9jINUAwq5qjzFva
E6HOcLbhoDxNXuZd7n/QHQdAaveDBpC+F2/R7dnFsdaPtWzmqKd387zCrHDuYotBoyzLDOMBJhzt
Ght69ba2pvhg7R0XR3tPdcMow1AU2dgNjOqZbIN14r2bPvdDsLyfWzv7cn+DO8aJfjLzxrAzEWts
yyFETUaFdusUydRSBItSXHnemygXS3uQl+wYJxN+9CyVY4NwYBPOBCLPlzrAe/oV3fkuH1cqknr1
VDr0+4om63/TyrE4WHRnf9AbUMJTftTgwb09wEXXVkozYorcYA7CtCr0CIL1/iHzpj68/ynVedw+
FsxvMxzOWDrlFzgVbpdynT42gokRfyxS/KEBgjvZDEh9oopXRhmF/4PK0u56IDVB4gA+ovpxu94C
4qKZOuIhe3H8p7KYxdu0SBqGjOek/KsNZHmw4EuDZIP0ZhVLG0nztuPU+2k7zcY6RkaHMkrSjsOz
YB7v4CXaWQXeOQUwUoRAkGHcbitN19wyW01GGCzzzMAgnhAnqg6c8s7Ho2jD/CJQHKxyWzBaR6uX
Bq9qNKbWZBFRT+M1npL8m9ZJ8bwaXXxQBdjZlpqPUuwQ1Kd4Z2+3VTtTLWjqyiiobf3aeKN2To8n
61/eMcJWGhHQ46h1tujk1TfzNnBXGQ1OLz4k3RA/ad0i8MyTQTlZeh8gMekOTmzvW8I6QZgClZNK
LW+3JoQmiVccCaap9P+C+bc4JczDPKQLXNvZOB+R3Ly802Rg1B0VRSczAVuYZh+0DHs15YgIVDmf
zVS0T52NwVC9PSJ93Dk1+isgm6i3MYm5Rf0sMgvWfqgw+Wpsn9rMMq55Skpy33PsbIhbDByMS0wN
cfugrU6mdb7Bhua4KD6YWTecM7tGWTA9olZ9uRJ4ETDWTNEDk7G3PoNmVeoNWU0s4uvde7vXnS9B
Wa5mKKY2SA+29XKYUg3x/DglqJJxwZvXE7KtUaCYN0dSpPUIAXilYPmr8L0QMgvSq5Uuy4NMymW8
OsQ08PwswoE/qsp0UthGd4owRpH472HVnP6UB0P9dZqW5W/N78WXJbXHv4lbA4B6LTxoDwslZiss
JtNao/sH9PJaMfxHgQF+DEWUsUWJjAwz5FYihkgk1GvCdC7rrzltoyQsoSgJYVZn8iqYDu7VS74D
CpRUhxgkgJ4Vk988XgEety/TZohGprq+zfGqwXs8OqtxbqRchquQk3uxlbbupZuYOHeX2PpP87rG
Ddc8tYMDF/bynkO8Te6oIBwQq291uucU9P9EhwHG8V4892TK5yUpipM15sNzLrzk4L3ZW4+eNKgR
WuPYrLqcPwXONhLvuZENBF+lY55KmHHPQcvkbQp2MpSoZh28CS8vO2VudMjJSnAwLx7UfqStUjAI
GQlPtGAdOm5glR9Fy3urKFdJx5aeO676dleIfwLRBowZjVUWXGvkby+0pLoDi3150RUVkaI05MEm
HtkEB+PaGXWCtGyUmL44U3frPtpxm4c6d/DV6BC1FDEqjM00grcYgmwByF4ELeE/mmKoTZfTH6WH
ECsh+fzgxnXy2/3LuLc1uCmgXILtUnGj337ARi8txpeIixt79k8dtORZaFY1TGWWW/z9+rVUIIL5
UbynZHO7Vq81EoOBoGrp7fSZ1y8+U3zK347aUh2pSu04GQyCWFVpNREobPbVzXOFJ0hI3nSpP2hz
4IWxmdZhAwjpsV2c+WSSpp/vb3AHRgCFCcExbNQ8DCDLb3cYG+0cDLry0XMrQSuK9HOZT/KUVtwv
f3HkwwJD2KOJOtypb/X10i+j8f3+j1Br3EbOCnlH/RbMFhStWyjDHCTBuhacqGwlnH2Toh7hKZj8
v+6vs2c5BMpQdamJNBjybvfqF54nxcQ6MG9mUUlLMSwav0E3tpkPvuue74JoiHV4ZklTN0vRS1gm
bYlhNuMehhlUcpcmg8cg87tnN5/G3+/vTNnh5gsSVcITowI/Cyjh7c7WORdoxqo8tXIM9EIBa0oR
NG04rqvxsAwwEqapDMLRWo941nbMVsVgZCB4AHa8if4Aahhm2eWEFMmaoyBuFfBFCGADljlo3+kW
VuHsNfP1/oZ3jvJm1c33tYpkWdeJmoMF+c9D7hfLs5Ek86kJ5BGhy/4GVSVacYdiNrfflk1rrb7g
32Y9EZfZdhdQLTXlDclzjHT69OznxpHYhfqfbg9UQVKBFdNdd7aQSS+uZyg5DKj/ch2m6KRL3sXT
+npoNq8rTUkVXJEsbLlJi3nSYZIVvHhB8n0oMu9TsXrxpbOkeTR2+iP93e6IUh91b2IptBDVZ/7p
NYe8IF6HGrCM2/vleyct5OOYxDYoYlG/M+ZZ+2dYuiEye69/ghi6/mRN+bCecA75JzGu6Uczdv9J
Ujs+EW70/9FwpQRbOEsU+Ik8ajnunTmjdORpdL+R+NqUQ+Nkgpqw4fk001VRS8EOXnQgLDNTxA+y
tIMzLSfry32bfrkoJWb8oI43pvOxNbTJHZwh9zy4q/RGLGHr581HvdLbKaRgLz4Y6+Ibj5Jxn+Tg
BX95mSjHqAkmSqLoQGxRDONoARlZKP4Oi+te1qENnsnui3Ad4/jVfpGl1AwflM50kbZ01e6gx+48
46iyRauY2/XGJtK6yX3vaHXbh3lvudf7X3V3cypPBBwCOGZLQq5rbQdhi+RZHZwpEiJwLyUiGqEw
O+MgYH/phdkcfVWIe4CUYzcbE4+lmdkVVlMOnn0ZzDX/N9cq/z0yvf25GRn0cwaGQHU9P4Lov3xu
WBn3RHOO4gm1k9uVrcRqWzfgIi/NOp+CfI7f1CXPWxpPMBtUedN9vv9VdxdEYYnWNRUvIKu3CxK6
tksgVKzse+2zxwhfWNRZfSq72bykAnDw/fXUA3brPXxYQ+lgIcuiMtjNp01sQ9pxgxMu0UB/Ep01
PQUG/DsLck8R9EzF5xowx7UemzW01+7PV69ue6qebvEDgEFvEtnELFpJT5D8z7XpKyeCom1olT6O
K+iGU858x4URs+ptJuRwNsz2CLW2Y8Q3P2D7yE6tZpSTN0RDSxOP9ggYkqEc3/TOfDTo9PLlIZKg
dcXvBdBK9/n2ZGcj9wIUhWSE1nUfwQEJrak/HCER9jaEt+NCUkmEFXZrsNPkuM3Yyqh1adnHC45m
iSUy8Gj/nO4f3o6pqs4nrQliFEW1frshwR82hi1lpOdIpMaGnYfVBDlhs5T6KdUOOaT2tsYoIdEC
OyPQ28RiY9XNjdPoMnLypHrwNRxpOtTr2wak5sHWXvJRU2Ah64CQgz4gslRbu7BUF7QzJZg/xpVP
6ezW+Sm227UK6WkFa4j4r3NBZnmproupIyOeQrjz3pepU9Jqk3ALAZcw5JkSc/05X2L3jWnnbX7g
GHc/iVJthHTPojyu/vynt5+WG4WgYpCRKYbuQY5QUs1d+kUkRfD5/mHv1EyIC9EJg08AOCBV6tul
5tFPgtbgi+h101+6vkaUTqOa23RZc2679HPGqNQVvZyZa6v7Jx+m3CemtbqDo9mxOn4HoQOlNhKA
7bPTLkzgygIrqGURJLiM1QkLE2Mjq7UYVUy8Vyc3PHEuH5jon1B121BNTTE2ZZZM0ZwK+ej5I6XK
caTe5sTawd52nDEzA0DP8RRkjNtOh17W4PGWaYwq10KCgPGwxzUrswiNkSFiqlAwTqCPD+2arpFV
iiPQ5Y41UeKmEMfaKovbGL10maIVtU+jRST6k19Yf5Wo7vw2dof3a8cXkr6Bf+SCUQTeIrFbKFkq
XcSwNleNdZZD3nxZ41YccAHs7geMOfVltCppBt+arNMWdkouOkbdXK5P2TpN57QQBvVSrTk4uZ0I
hTIN7BeMuoDv3oZfrRdUJc2XMXLctPwq1756KuLA+mSYuRmODZpUlTDmsBzs1xekwHdTRaEkZYCy
CzYuwNOwKMDmY1QWrRExbUOY29bZeUkH6yBW2PUBjH8oVhiQPDj92w8KmbHsB4emXzcE7UU3yuRa
Vll9nvP081A7+YfRMYc3+KIyGt01D2Xg11dJLnTwtfd8ABE1s+WMKQOT3PgiQ/p+69fFFNULjHhh
sfa0mnSjmL+llQ1WOl3gC7vv/3ZyCIDQjA4zQElb19rcDXsx3WLN6OcG7SBo9o8WilSu9+wv6OvM
SI+dtBh+qPuL7l0TdbD0wKFXJVG+/d4LU4TSdKBT6ciawsKdtU/WUmcf7q+yd00IqpUBEYUxRH67
ipdZwrE75O+sIXHOcTzW4brk7bvZrI+Gy3e/InbDM0KhCEzD7VJBsmQSSa8xQtUY0kQjZrpWyLE+
QwL57zCX49dCt49S/r398V4BosBifN6u20Xt0nCkW9dTpGnTjFHKvo506ZrvZOEciS3sbZAat451
qgbDtmVXdGtsTumCyzHG1H90nUGITy2M0c5Xa1avVFLDjuuYU3HUFNq7EwBPKQPg0ng9NuHltC62
PcCxEDU6hPQJ8XvUjL28SGFMZ+CER+QcR+ttQvfYiGerQfY8Es2QRXo7puei7eqLvgT+JRmtIxax
vVNkkAUQIf9Qx3l7iouGaL1c6jHSgK99Q2sPVWwZ2/KMErg4aJAcrbUxU2tm8j83QQCAPjHP0+IE
T9VC/ate0iN4/u5SlInpKsNJRffwdlvJYLWwQtL7t5rS+TpI9FfSsdTPs+a+fnyP5i5gDTpuKp3e
ViPyMdCm2sQ2a60LrrDZ+VezAwAQcD0u913KnuOCBgdlRGJosp6NcfAA+ZVjjmPEDJVtnCu+56gG
EI688p4Rkghg7bAygbveuK40FxTZbZ+g1HbFR1srXBoKTvbUeHbSwx+8Ht3vveNSqq2MQZK2Mut0
e1w+wvBw1SRgZYnQLror7UtbIcQWz9J8fWxPDqfoU8BSvJwRoambVOYaE+jqS3XOUQv9gmFIygFO
drDU3nEBzKU7QlGUpHHzGbvYNxEAFmMUxGP/WJHWfda0Q3WC3W8HjNzlGaXhu8UpKUp3AssUD5VM
y0PmlihfuaPktZnNo378nh8GYPa/tTbnNFi15Wce2AWIBoorU0z+s6fN/p9DwUynpqdelDFV9gtW
T6sOggWQ5VQ5VZD4UzZWZM3QygwXRVWj/rc0Ooa3ksGPD6KCXaP/MYGrZppB2twuM9oJtzvFMBAJ
B3hoFIn95Cc2l7hHAT7iVTpiR9o9OeawFFZDYZA3b0sHxKtOlobEYOztOLQaJ31ahk4j3zNw9eF9
57G7GoAASCnhKEKI+3Z/9phIB7FPUBv16L51g+RRtrMS7JH/vH4hvp+pskh43bZmHxuZZ2iM2EVu
olMB8hfvARmQr+lYawew9L30gPyDNJJMHV2JTQjirm3nVoIP2KBp9U2bIRbwajNXtNfiPA6DHlaz
VpzWufh2f4vGnrGoMBmpRihvuHm3HzNxAy0vJzItSLTXZ3dC5bt2lvqayRGSd6k516K05w9tM4rv
0CfFz52ZifUEVXd+rtO6v7pZYv2hx7J03xRuWv0rrXH57/6P3DtwpQqtohb6lVuDhny8yYyANzDQ
J+dzlk6Aawst+ScYsyPFkr3PQV8GkAV4SdWFuP0cTsVcauvxMFVxACktPuLi9gvU/ibQB+S7jmaq
97amkC1EuwATQJzerjdUhuA5mXne8wUyscrNvtmKAL0e/F9JBBkopG2m8k9YLm+X4uamtCfZmttm
yDCg/NR9g0p7dE+iQULk9PozU8+FDxsQ013bFCypmfToFmOM2sY2n+AgGB56x/ldxTIHK+0dGRg4
lXqBWQFtersvV9M1t8jjARha0gO7QL8a3GEDIiKAh65LEuPVss6ELhQ2qRyA1iJp2Li70W4H3xKZ
hLzM1h6TwoQEuhrTlUs6xAfJ197TC/McJAcUD1R6crs7EnqvXmzWqkd7/JTn7qBFpISjd/AVd9ZR
XVYmx5hgpCW1eZs8s1+qEoLayJms9NEpl/ZcxG35+32r2F0FHAAoHHKtF91VBnrKEdVhGWkyiddz
mfjxFxeodfP6gIVG0P+vs7F1qjgAEwt2AzJrDhd/bkBupeKgffdSLIKuPyxoP2ycJu4253DsQIwG
KrBRY1rp8uQW9WyEdVPglsa2yL/rg6j/nJa6kw9WXRgkJDJl2N4GVPInYlamddYXp3809ERL4ejx
zDzsTH8cQka0hj/8Mkg+JIls3w2iKsxIVpBs4ZOKKnk3dnmlvOBijeEYV9Z6kkzR5lQaMvvR78km
zl2dr1+6pejig4+7c+HUsB8cMeQkFM42VZ7JnQCO2cj4Jr4PaUApls+WW48Pdp1VsPMvR9NNe0ZD
RMhx/gCTb/sIeVzZQQMbRNQ7cfBxsTr7EdyFdRS6726LYQpmRojbOdnbm8b8sZjSgoc+bmz/gkfL
vhCv6ZHm++NzIkQa3b8LO65fTVPQeKb6SHK3cf0rHcXVGviMpQZnWZdV7YPVjiiVVrN9cGJ7X1Dx
V9LwgQmBEPR2a7KgpIL29YCd5g7VrzL/ZtEPPghi9lZR9X/Fx6mm+DYfsNHM0dSSimZdq2vfQZRO
WThRGj/4bjvIKQ7JocWDDyaI3j5kTjDkdm/6A2zTQuqR68/JB3SpLEhjJUo179quT6a3U1cNn1Fr
X/7KXFczzraRI2xy/wj3dkzIRjkHVSNGDzY3wZi7eo1TWnaxnS3hmhjmQy9N/aDasGeY0L8B0FKj
FIzE3Z5eO+mzHq/IoftUwX5PnLJ+mOe2wq8NxRz6uTxw0srVb1q+EPhwr4lI1b9szjGfk7zoLa2P
gLJTFWtHa0mvA4koAFxhVfOJNpfIPwWZ5hchrH/zX/e/6t7FoICKg6GfwjOxCUmXvuh6A3HbyBOT
lqOno3lPlpc775hGXw5OcHct3jwP9D7J9JbTJnU039a0EaRvgfPVPM2DShkK/8Y1mwO73T1Goko1
tE8Zbku0UKBybeeTM0T1YA+PuZ13DN65K5q6jXx0FOfxL3xGwLuwv4EWoMdxazYd5WDCWfyL3Y/x
c1prFqI5gfFkpcZRd2NvazSVEW2F+BTQ8Oa5HeEnGkbYAhgb7p2rHJfslDaeuHh9PPymsf5BsLLX
aGCKlyKBqhUwy7sx0XH0JphNmXwo6e6cylH6QTjM83MzV2sSTmU/f61We/m7KW3ZQNmeuFdQDslH
18qr6he+88+/ZXM9iWh7O6EKH418G2jwmdiEKNiBBiVNrq8/UvwdEJcffAlb8EeaWmPrjgzPwNQm
0QCrDDCbWX9pu9k+319qz7XBAazunxL82j7yhj5lkKOR+6aLlp9y05zeUHjVv99fZa+PDk5akTBQ
TlFQqFsjHX2762dtxoN2tecimVakl7nQ6wi4PzPGrj+9caysfpNWoPH61llws7Gch0uXS48RBgot
V6De9ZcqdpzHgXz5IP7+Qc2w9YaAYwEIQ/aJjW+eaRPSxAp2MckkWTf8W6+Z99bWl2W+Vtzja9P0
iCGXudePV9PMuy/A8YPvqW3lF0R3sz9FYxkltLizbx0c0J7nomdJ5mhwPuSPt1+uamAIMih5gzzt
PHFqp9h/AJLp/NEzWPsLJq4oAcgNeOmARd6u1WUSpod5ITlIMvk58ZZ/kbQKHlsh7I/3DWJnV0wy
AROGe4CZt+3FrlMt7WmeQKyKR7MJdierR/SMkI3hAPjvDza289RBCs0kN46Etux2zNSGynUafcaM
sti3Q1fCm17ZkxdObVO9BcZrXkSu/27OU3+QOuzuU7G3UWfnZd/CcLy+ZjS0YPKIMuQEiMQpzy2s
lVd99I/YFfbiJarsChNNQgR3+eb0KoaSFstoucqVJR7aRaIu5TUyDDKUi7XB905G3E8fEw0nok0C
RQFrebVKEyvTomSgF143soOtw44BN6UDrS0pAwN6MfdP2mzVuYfc4leOlGQMPIbSmdiq6taxpNY+
U0qr0OEbQwa7/KdgQgZFT7s8hGHWfAyQh74MtV4ePEvqym1cBSHT/5begld9BjJo/0MP35h9933W
6TS76IZ8hr+geppmEXzss/II4rPjqAk86ThzWUhdtnezj4NUK0swIWM/TiEMGuZzzPTSQQax88Kr
SQX6UFQHlA7LrQewalm3rUKeyCnTviVpVmen1h68d+u00IySTIoenOPuvjg/pcLIzrbhi66LXsa9
zse002UNy6DT69BMA/vf13scBpX/t84mdmEEMEUVmeIibY3mMs1lfJ5r0z9ZjS8OWL12t2QC3UGY
hKRvG2wWRrImuiPpesFyGGVIIpyYoT4qKe5ZIXyqsMVgigiGbCpGrgUbZZOpo7KJ4RMzVnGtPZ/l
0rVRSsbyUC7u0XDVnj8jpKUMx1w0NA+bRX23hn1T/ijR1tWTvkBQPTjoiSGKkB7csl1TVKUAcMyQ
UW7zZmMFCzEMNKPcGm7zCklkI1x9nBoDdEWUVH3/+RcsRFEOWQyVgNo3b21/8uGFTmZCIau1Sphi
R/uUlfPwyUIM8/FXliLsIhkBUrwdsTKW1dcW1Wgz+jxnjnepo9bP/LNXW0eD2HsnhgoVzOn8Te1Z
PY0/NaPsDmZ4Q1POqq3b32S7Jn8g0eG8mSoj/nJ/V3t2r6J0NfMN4cj2lSU/Hzw5qfaQnvlfGIku
ftPgIjiwi90NUdgiZYXsjaT8dkODrjEvMvDMUZbTLqh1tOGUd83DVOlHb8yeCTIiAioZ7gb4GDcW
kaA6Mhs+r3dTyOQCd7r2UHRZ/mW1ZHeBdis+cBx7V5reP5tSnDR8xtutdYyWJ6gPEINmS3MOvFy8
S5N5DiU9qxBxWRlq7hr/df/U9r4n50V5E2gRYcom8HUzrWlmNE+ipMz9L4ztT6h8y+Y5nmBIv7/U
Xhj201LbZIO8GOhrQx1V99NyvohUaO+K2tOa0J3S4OQNTvkWmUwwj7i7ILq/+N5h8m5CTUrIQA18
Yzdrkwm70SjiKB2gt2SS7wun0yPdXNa3wkyPxNT3LgNILaYGVCkHvPrtWZpIHsLyOgHztnUmfmwH
tfReP6Jp2j08sjY1IIan3MZ8LXJNbZlTM3LEmpyRNavOU9q0lJ7j/uDe7RknRqn45qgzABK73VAa
Q8yEDCZJ6SoX0DfLckaRugqHzjEvVm4h1ZHCN33/0Ha/IpA0+h8AmoDD3i6am6WZJT01QEB5+bUZ
0JZgzuOoZba3Cn4Y26feCJ5jYxoxrB6WKwrg03PZABBANGYZ4vJ8fy97Z0WoChEJkHLSYGWgP3ni
eWWw1hmx/gzizW8io7LHpM6ShF7uHqGydnekRMRUu4ze+cb6KEZ7hXQpVniN71wypy4Zl/GPprj2
rhQBKe7RYjaZKOR2R0qfPUulztSPNgzQp9sqGnDKa1Pm5aPn1Ul0/wvu1YMIBShBKgQCa24eM5p0
OpAKZiERQQZ9KdbgWmjCfWNra3qeYmTJrbVxLu2aaeGQu9WJdC++rubyalV4xQvDNCZVPnjfaAzd
7nzRg8T1yoU2DXpmbyy7yE4lIBbkzNCWSESlfS/yxDkIzvcMCKYypRGCaDFw/9tF9aWJ49Idp8gu
au3tqEtGEVpffPIzkP/3v/Se/dD0VKgIuBFeyqOLePGDiYm1dO6CSxL0+dcJTdTr/VX2NgS9FPEW
lICElJsNGVSBLGNmyKmJTS2sjCyJFs0njtWCX5hSY+iGKTXMR9GabBxJ3eEWUexmLs4d4jBz4jps
jXj8UizTctAf2XGUdApoiYPKgaBzW1fv8576V6BIwlLHvVhZX4VL0UwX+M86phU8/0TH9YiAcOdp
VUKdJDjw8SvBgVvbGGMpCt8YMEhLy/4wM996qLtRnqy+y/+jl7Yy+Ck+BrG0Xg+up2UHkJDGNZn/
tknegGyY4MKeolETDGlBoXWqs6Y5kdT9ed9aXtgkxSI116gGcWBL3kZH7ogQOu25BrLkoj8tPUP8
NQ3VT/dXeeHT1Cq8cZwcqCOaPrcfMs3biiJ9wSqjnJ5cUDPvKlRALsSJn9JRezV9uVoOrgVmyjEY
Mrnb5ZLCmrqxEU1Up75/1XTZRdpoZ2itGtZrbxtzMkQJ8EvhQXgZNm+CudCkjOuhidpglk92UK5R
v2TlM0RaRzG6+l/dVEgU/R9fhIkp0lN4Rm93pQ9J6ZUJcYjlTkomonFCr3NzqFy14CEGwRtCzNI+
NpS3wymYX03Tp5YnPYTflDkxCoy3y5cwd9WiB9hTwmV0plLWfmpKNTZKVBZ1VVuf7G45ClVeODO1
KP1Qhc/nQdjuudE7FMPKpI2UlNGpZ8L8UmtIdloiTi73bXR3KdJvwGoUvTGf2/25Kw9v71hN5K3e
eu0zE+fiErc3nbccPAQvnBm7IoSARpKyuNLbuV1KSVO5wpyaiBdP70L0ePrfTVqhc5g0tvaxtgbn
I2MX6df7O9y56wCKFBhAJZQgX2+Xbfkp3ZQYTTQbNfQDC4+eSOrhF76j2hZ5D484cOjbVSZnTsiC
sZNqHKqr5Whm5AvfCIcpCc6/sCEFA8CFUSLdatUmi6cFdsyGTN1rPlkll5TCmguT0P119kyD0hPw
TF47KNG3WxoodaeF3cDdJcqz32b/zTJIo3IMjjpHeyup4Tv4+NgQtfzbjweFcKBRMakj11j9Bx9E
Sthmgf5mzJzmtW8MRkiHijMC2qDwoLdLJRiJNnkUSZxGTGE9TvrVX2ce094uHu9/vx33TweEWXaM
ghmY7SQlJiBG+MmrKKld2Yb9UujZW9ObpkfABv6o+Cjy8uDM9takOwCci2rhy0Y84m+WYIfom/aT
OAs0lMKsn9fQQAv7Wvn+UTN8707/vN4mVpiLmNMckf50pMFr3QzaKZvN5dGXsQUNQ5pemzY/YjFS
5rB9EihrYP0GT94LCZKK99rp9baKTK2qztTH9VNBdeV5nn1XMWyX4VToHqGmn5ys2TUP7t/LPTMt
qvRBSCUZc/c2e/aE07lNhx+r4BJ7LJLViqaByY4xKYbPej61j57JhblvTC+viBpRpeZAusy03Jbd
LjAnm34MDAz80wrXtdKeZnKK0IQC4tWuDJvlL+obsCix3O0VkTUBGhbdMv43O7/147yEsxOXn8vO
aw6uyMtWKRMWBhMkdO9AVDBwfLtW5riFtrKzCIrwQaAl0ftZWGl1/nsxVzVzfygBn9q+TIaTnI3+
LXhyntycATOTFysRv7txDmuCbwN+PbhKL98NEmwlpfFjwMXfXt92rCmH2C6fQbOyzxnVupOOlsrX
++f68sLScQIIAasS5QJIo24/AIKQQ5H6hDeZbuphLjQnTLwx+CLz5rs5Df5BE3FvUyxIzk7VAGC0
MrOfCgfr4nZ2S8kz8t3BvnQMerfvER53j4Yl9ralxmSZ6ISl5EW5k4J3tWI4LSPGLcxiQ1qAynHd
JKyCPnnXS+2oxP8j5Lx1CtTGSJLUGCBAjy16GLImnRocVutnafI4J3P9LiAp/DJojNcgytjYX7wl
ZkIwHr3+bSwD+XvuBn0U50H9Lat897kfEv9ZHyvyOStop8emTW1UcrPkU9EYIjLK9hBwo8z7xY9G
GFcVaaFv2I53eDEJs2WLjiHbofJCLcj1jy2K308WoprvAm/Q31TOYn1fDC04SC33TgiEgoKgEflB
33prCQtkWrM/WsTVg/2fnJPgXbC21Vn49m8dwN6j6uLecsCKmK2l86iQybfLWZUIYr0TfbSgQPRP
pTnzg0TdAo4Hyw9h6Tmq7+z4yx8MZR7OkghmW9oXlWtXw6h1EHCY47t06IyQKqr92PjTUdtx5z1g
KZXiEf4rmPft1nQ7HfQcERzApt24XvxWNudKJ0F4SloucGH1ftSDBj2o8L+sYEHihYAGLxHUZdSO
Nr6zq5GU7XJA/yuKqRBdZT0Sa0Y8dWFWJPHXVGuWT7Uu6yib4rhF1zLo52fHWvwm7OykOOJOf/kq
83Ogi1a9XvVAbCqfVR8Xfl+bXaRPUn7PpA1tul/ObzpjSi8ZTbffU2+ui0ttTuLTUuXyct+T7twl
3io8qE7tla6bssCfXFvQrzFz1n0Pfn/Jvzcoa4ReKtLH1tOSky+y9cvSyOmhqb2jXsSOrSl9dbJT
zoInepNhMC/oGMMs+6jxNS9q3Sn5YOpJ+gyCofh4f5O7S1Gdob2typZbCM/AIDQdlRqylwqt4nJN
7FAC2juVAjz3/aV2biy1H8Us46s66bZpWkuDkXzINiKpIzxzXbVuGniaHS8PjWEpz72ZHuW995cE
O3V7hH5mobsEmScayR59U9ePBcmh42onsWrLm7F35gOg7N73/P9NglO4XbH13CXTtLgDmL6uUeJ2
9IuGZX3j5ICIfuF7qstKP/gHx9XtUpPWGyK28z4KSAnfVrUp3q1joyFCvQimhYrA/XB/wb0LgYQI
FW5yUnzTZm9N6jb6KqArTU0pwriu6sdgFP8KU3QfmHhenrzeCd5BenA0yLMTZFC5+D/KrqNHbpzb
/iIBymFLVeqckzeE7bZJUZREUiJF8de/U7N6tgdjfLsB3NPVJTHce+4JYFvB8QPy4+y3AhmWBvOc
dcbsqO3LI5oc08JG639vGiFAAyBzJgedh+y/HbubHmxWouvesVh9nUYZbrIkoVBnbsv+vx/kvywS
5PRhiArAC24cvwOi86ymwByaqpIiSxLWe3q3rkiFgMHt35ih/3KIogzC18KUDwrk36f5+ZakM2iU
w85kmZ1bnwh9ZSyUfnAAiubLGp5Zr9yt4+WYj/21sCDY/fd3/ZP6dZ5b4fOBd6FBxub/dZmGunLV
eGYt4Jd7hPeun84B1NPRlB9NBtwm4WW9Z6iIyLiUzRFle/6Xv+FfjgFModHAoizB3/CHgZiIN790
CGnPh1UeSpGvd6tuQEr2+25o5Om/v/G/rNZ/QExoy7FVwI389QvD+Hz2tMcXhlcFv5JTyV+cnbu/
fMq/bEZ8yj8YVFyg7f7tjpA24RWKEHwnhAV/uLgvSZMN+qaplLrqEXHwiCpGoQ4Mfzt3/m1JociD
vByHAUyufi/0fL3x1cSABFhSnLhR9W4UmC+xTqynuZsjDNqSdOdDNh2q2svX/368//YyoSzGhOs8
ZAOe+evjTUUvz+oYrKckCzhyqneNEvkgbf0zjnj6l0P237Yqxj8478BdRGH728sExyfnY4dDIWDZ
eDLN43yZjiA/BAwB/rJM/3ylmMfjUzCBSVGI/a6DnerGCKdhvNasdHvgZUHbAaEZBHy+4giTdoXp
HYXaieIP+e9n+icHGmU0aEyAP+ANBBrqb+9UUzZbztS8qwqGSL+eF90+tZHBQYvEb0niLc1PVViL
vaxNXe+3apaHGa1Nf+gnnpN40UYQYfsqJT7j887l6/L1L3/k+Vn/2tyA9wukApHnABBRHv365uuS
ialb4RNqPNuu0nC+iWw/Ebv4EX5X9XIdykfM+XcNy1dOYl8Wpy4z/zO5Dc8KDB84Gp3V5piM/Ppn
wEmiVJDEwe1qysqLJXIfDKL2/eZyeUjgcroXNPwNOv1z0UOVfdaInO2ooME5//v/q0VZSKeO0Rm6
JmTPiH0UvEuIhGNmfFyTDd6PzWI2cfzvB/7n2kftm2NsB8IPpmi/d3Sgm1WZtOi5LbJGWgwjWetd
Se9mIYu/wAj/0Bh+fbcV2lX0FWdvbwxGfnu3dsOWaAY4T9FoyccDzTLXkB6zLix/xdfLpYP/+BFJ
kBrN9AqWTOvG0n8LJnLZvskEvFziUNQ3tTVmaKPKuo81NcigiOqtfoXZrdoOiBlmC5nHeL6bnKz/
1iH++Y7wbgo8MPhGnCedv1UpIYkmKgUWpRXohfK1rFrwpaKfbOIS0kg3PP/PrwfdCUoIoF0AYH5v
15CRjF9f9WZXiZyVcL5UzUOAueGzKdbmr+fgn4cT6GxoDjHSwcGL//h1BapeiGIzFfLMIY3QN32a
0eJj7Vck1ddcDvUtqDDFSiIk7y67SEbImCwGK+ihwhxdHOR69qHejFRvKcaJM5mmMuWkjid+w4YO
gLl1nAJBicJtZsEVIrxRzYtWaZcRAGqIW6BrXd2LMPLnYINKSVzBav5ARcHvKlrb67WOYrabJtRD
REuOsXIvMxgjgls4T/ukVgVyiilYf+0a2aJATjkC/k4OUq+t9WrdukPgo1CEQSvLLode2oz0E7zJ
20b6WJIN9m/NFZJcmEAsdifcYYl0ba8cKjz+bsAERUZBurAUVoMNXG4zFtP7zPeJOsGUDOkXYyJN
BXSsrL8EBc+j/7m/AikC4At42ICtMI749Q2BeprytASKzaquIQwJ7G3h2ACP5KbZy41X+/91/UFy
BM/gfwgSZwXDr5+HaJQymUH8PvNM+Puca7Vf4LN0P66wkP/vj/pza6E3RY8K2yQ0AOiIf/0oOP4z
DVmn3qWrHo60TvhVtSVgXlX9dgXZyd8a8H9GXr8eR5jrYVXh4DvfNL+jPdmyZSBEgdu70QK5pVtq
wlsqbGePPf6H6zHL6LcZnrtshwqWsnu5TfnQToBqQluVtKEvU+3XF1zV3UR6DIPpVW5M8jkpbTTB
5aLf7JKL+85PQE94x0J9C3NnNPrasfViiATc4tBtpb41faljsqRdw2Fi1xSv1Zyx9wKJ2s86MSMl
RTkUCjp26RkJUMm8Gj7YqQVJRn0fkU36FIsx+lgcaHOwj1jrVz7D2IaYjs0XGOTKsOtGax6YiOIf
YKHDpVs1VARSbSMK9vPbeEttbl/h81ZeyrlPf2wO4SS7Mg/dN9R3Ru0TjzQXoiRCeu8CrweMSYSu
HriT8ysUnAGAekTnoVUzZORXQ5/ULwGyOnY7zjwuyIB1qp6C5Su/r2iWL/AymEWQu5TFY3FPB9iE
tw3KLmw8WANcyrrxr9nCi6WNoFd+j8zQzRBlmW4DGlRqWG7CLQjgFUIp+50Fw2wAqkH7B9mfA6bz
hNrbFbZMMYGefZtI4oCaHiZgE882EmhfRySELG1J800Q6wy7CraZ1nvrQ7RnDDOxv6zv32/asy86
KlkMzbF3Id/4bX2v2GbgCYMJ5kujLpOlkdeQi4iqNRv+4S8f9nt/cv6wClctihcoYcCX/HUzLQtD
6I4tEkSdxrL10laHmtq/kX7+QBPPo55zQh9upjOAV2S/fgym8bmGfA9icjHyaD/WzF8BaaL7guHc
JSZt/BNlhb0qnZ5hkyvrfCWyjiMB+Xmi/8Z5hbfH+Yv9/02Nv+j8nM/M7LMb+O+ETRgGpp3fKsRL
jCjrnisrI4ehXtEYOJKXXfG2MqTZ5nNeY0aTaDgmsLUYwwmmKQKOpqP2C5gFaYRkd7UY9eoR8p6B
P7VycCrYuPJd2pi+IrOyRpwoUhmAbKklTlvwSxb6oArRZ/tpTgdOqO9osu+HsjrMM6QY+wRuSffG
zQw/Lfn5yGnkTOq1ntgB7MXgWgRHbiOxhat+rnGnx2OTuU7uRdQkDzgpqnEvF9/csYWuX4xK8kB0
R4vuqCe2vMsYWtTW5RG2N6czHvjKytm3vJzyr1o5sDw7PdtbKqGfJ8yOa3khRtHRPU1V9NFPrLyt
YCCGLGLoXpsdKDLYZgJlKPYgAxC+z3U6XQnOvbvOY1u/T0bnGzJnzHAx8zCztg9cx4fY1P4Dk7/l
YjNegBfS0+TZ5vVSkAgCn1vfs+kOU6RJ7DwLCIDTdd1TYm09ZS1LK3EDzTdWFaZp23OvRHWJXACU
dXCQxjRlgPaqJohFAn69QOJij2ipYLTZyy1cMTmMIJEj8aStYKvzBfsAf2EKTsCljW3BIJwdEHyi
ZDStB83yDfq02osnWC8Vyc71hUYxyhHMSExlerWjbuD3bES18mhrbb5wEcPvmSFz8AUjvrEmnqbr
xwhHyWg3pn78jOM5lKcJDsWh7aOhfvcdMxEqnZn1LVgQxTtA2u3JyaW+5TWSXtstWprvAX/8kzcK
uQzw2Sg/likRQxtHefMSe4j/93PJqdptY0gqsIdoCjfeLlPjDjQVurRbRdmdTUaetn7RaOaQTcwE
qDmZ78hQbs38Og31/OkiGW97cOTVLWhmGD9kXVJcD0Gn/a6xesiI0VD5gqAIu5tdM0/iYIYIllAG
rg/ZAcPF6nNc5PYDzXuFX61Tmy0Xsi4gxQ4ysT/RTIxmz2sfXgroWLaXKmMIKUXcejS33WjW6Hrd
TKHbitdC7FxXlQ/zPHVPFqLI4qro8fQI+mZo6IKZO7iNjmU3HLF/2KPJXI3EsNGEReAuXNw1LJiH
5rJg+bS2rvOl34ewVZysi5DjftQYdiDoZnPZxTj78R2Bt7MnuqqiIxcLMgJgRcO/dX6kt9Naa4lw
IxW/F2O6VGTIMvZg1xAMrA/SHJLUCO1gtBbzfR4VMm1LvmU/nJHVQnIL7Q7xMGS5TXltsER7J58Y
NMfpEV5S8qp3tC6uq4SCIMm2XMUXCMDIi1aIvisEYWM1pm2BENnr8xDxyxD5FHvV9+JxpGdYzffB
P1NkpFEwfFmpyED71bWNB/3KZ6nSqD+SHLk3E1RmtyUaIXairlN30OCXX9W4VoYsASkt7TmPyhxg
V2MdyQwW1WUusv6eRTlDOZ5ZVb01vagPLj7HyPfzVrY57WN3B+md7B5SRPjqdhZmknCgxQyXoCVK
6l20OP9YZampdzCZqRc4tyr/VGHgMLZLxim4OayWE0aqJT448aKTh8iMHBKnmvJwNeerkZdDyMX3
iKJdvZCCTdseOT48PugaNqVtwkTV7CgeWSC19wx5UFu0PiLhlE37Je/6W1iQg0+ScuSlXUJ5Wqru
KKiaOJlYaIYbx0r2ExOKqtqD1b9lhyi3sBGo5BZ/9SsGvATeJWuxM0mffaLTRg00bSI7Bgu4sT37
Fd7De2SgrVZ0ATWnWivwvVMhgTDmxRJfRtHUMGzFkK2tCBDu3KRYdgr/WjePiqfVnauS/AvrmrU7
BaXW8h6qYCsPemr4cBiljh+2vgjb2aJyvKtWjneC0B+ODJROBizrVKoLkRbD13gQTrXIILUPuRtq
fkRe7egvN+dHiHSmIXkNg1lwNKeeXzo4eRaYU6TTO7C63ME/alxf+w0e5mQN1bIg5g1R0KvJsF0m
qFL0Ycj7+sGZBNFbPlmqYgdCcaj30Uy5Idm4dhgNzmP903hbGJAP9PiKbRk7gjiXSF6sKY2/izxo
dRnskDwgNyOzezFP5WUPDz11VFLONR7SZB5pWaJqjE1ahofVCHYVoTRFRUHxWtgMy+yLiin5HHVR
POMinIevnXdTSpRW8TeIbbuUULotN4Zime9WDw+vS/hWzRNkAHnRHQreNKfSu7DuO+TRGjKD50MP
fF1c0yqD0tiOEJPsQI8z+VXDzQLneKG8BtFL92dYrNm+aHfmhTfJsrzl07bcSZ5sMSmNgY1jb2ms
LqdEwc0bWWLdB6rLHNHySTNNbeVAWr5cO8e7Nkfit0JVkESXKE8LCKuw6oM8ImRv6iHh7WyO9NBt
gpF8IVSOkOclezVG4yzsgu0+Qd9lKYl0LtmFtt2WkilzcrynGq/lYgou1TeihlvLS0DJ3V1PmKRw
gqlKaBBtOYoz+4Und31IhoaU2UDtfsO2di1ziczQESw1lL0ybIaUbsPQx67ptAcjLcxAOeZ5O539
Z/hOVtPwGkshKOn1pO7mqK++2nzAj4mSFXD+8Wa7UwJSiZYxnFQH1TWiIWAUiLcuEupBYQa57F2f
VP4A29Q1RShNv4gWlxOFt32loByZyjUVLVpwc5CKbQAfWMpj4mqP1WHmYr1RiQ4ONB6frNdJ4tEh
nrUoeVsoTR8Ryw24PGGKPkZRYseWgVLz1TPRZDunYwq7dxXjNW2xMbeJnuLquHamM5eqgJLires6
VHCVsMXbLOJoaZFeWb3XAajHLi2kGEiVWgortk6yG1i605oAPLbrTcFzW5GA3wqm4ATcolnSSBJo
fTMAHqyL8m1npxoD91rFAk078jlxjxp885YNqb+r7CaQ5kXj8h4NVX0xp3aN2hGf9ol8UgZ3YwYr
jjmTmTzkIvUKVCe6bEcVmgqJy6IovsaAzRtClaHfwSiABnhQfcyfql7N2V6VmXoTSSUHInKXXDel
C3g3Q5K9cqALsPuJ+ugEG6Ko3tnU5dkRB7q+rkLIG6K3JP4BtKBADKW3qAfWmu60l6id4oxyevL1
2sWt0AU3rSrWQuzgWZF8Qq4QnV8JS7B+k6zfwUeptgfYuIyP2VQwRIVu6abAoel0ICmE7F8glMXl
0c85mNKJRNIBropx4u3ERL1eZTilxFXthJ+woWdQT2CVV12GAaxssq3a0AP2pdHtUC7hJh/nlO5q
y+RGOlDlcLlWuQGqAZrZ2kpnFT9aqJctRBkag3KwIhAXzGztTl0aJdUhmcb0rRiBAR/h8YOdoH0c
P6A36vp9lYx1c817RC+SmMr1RmZF31/IBDcWUVkHp1mKkclTPJtk2XMb4q/IUzPxgbLUmKOQq36r
Yo85EhoIdl+s6KJazWH4RooGlnUoWjbMC5YYeUqsHOtLlNcZNOrASYcjUKuo3GmMS2MYs2fYwCOS
/fwBw5qIk/LsyoYcH0Rjo5ObSkQoaijoczQcgKqQfQDaRwFFSosYjfmZNgWezwxXofeZwdQHK5Rv
dRtbXqOqHIsv/ZwuupUIA8KJhLWN+xzYybXxWuGciWdQtVJMqiJAFJXeSJ8u883oZe+IhhUCmHrl
LFVbGyzetgyyyA45A3xAaNGAPY53DykXPpmB5roq+20WXTni/BmaV1HaGv6KjclpRxCPU4ojLVfQ
/jDWUTVqMcRukh4U5xdUzzmqtbx0NdEry76rEXZhJEVM1HyoI63Ecz36BuMMGKBVpCicd9D0KeD6
A4wc97bK+nk/gWFYEJDSoSQZoOnBmdY0iBoxIRrmo4QhyWXIvMDXgLtUchyKfsjbDMKTQEI29qGF
VtEnbTZad18EvoJdCrLFD81YKdEWdNW1mTRSUtKxHivcgzGX9xRn+YctFlwjAusykD6U4RrHA2rr
bDKoTxDkm/4Ye04fzDDq9zkM0XCd9W6L9nCa85BeZrCsOatXaCsg332J3bbp1tE1LTFSqpsrwbbi
AW8kyVqDXuAA/UVa7bvR+VcmNpBcehDYkjZ3NBOtL1h1lfoOJHHob9RNsW644U1Xjx3UbRiL7uha
5hIVl4p2wkR2a5vZlD/LIhTNVaEW/soRMoK3b51/t3DkQNLdEpnPKW+AaSUury6SKXdpW89Zdu+z
ZBsB92l57ft4BqWz5+o5nxhqTccEXvO6ICOpLTWi5onJ0mFpR6/oVarhO9euvViyXef5IFvHNH9y
sAvWYL0a8F26Bp5tV4rblSKjplwnAlBzeTKTL+CMNfN8uoSPfPGDV13e77pFoRcvk5XBiReqsGk3
d+WyEtM30UsYUzO1BdDC6ZgOykJXZYeaFGMJdS1+ApDYEKMdmN0wWRIq5zE0yxrV7bA882+4/+hX
HomKEeOVRUo4DvUBme50+Sz0YtObaghy3mfNUv7wmg4ICA1Kop1GdUrmXnRitzYCcFuP/B+Fu3vA
j4QM6WOfSRTS71YzLONYiLNfAfQAM8Yj3fZjox2/ZHACU3fFCEuY1gEQezNRDpIlQt8HbLR4jHAw
zjZ/iTNe/6ySrUCGRbLUfCecn6vrdciXh9GW/APWbKXcdegSegLUdg6XAWl6P+D7v1zUKLuaVspY
fk/iPl5xCXfAFKyp7VOq1o6dlhgky1NNsxUbMPbjz2FNV7HvUZ31QEHH7N2P0n21lZiiFnEmsQIC
MzRAYORq/OksfFOkUCHXpHC5062tbfUQmQIjEhhD56DDUpjYgbU5VxYnX53cQMwCRueoWVYReA91
PyWSA/j5uoT99ggO+ueC/KJvVsy8RxuFqdQOZCnb77YkgywQU5/p20IR27ejiRRH7rnTO1RmUgBT
hHXmWtEcLwNxd8CDKpdilIAnvh5i7Yr3WDkMCMpGwHIz66ZqwhS1ysa98XHxU5clegrXncedcGJA
7y06cJuxvPqVDOO8vkKDwrqWoYh6iryKFhQHPjppDGdqAv2bwd3srCBRDysLktEVybUzyvxXPegM
Ae3e2c9oZPpW6o59H/qJvvmt675YVMzAqWH2/KITuDK3dGThZUNSeUp4HkHaKvN6IxncRFibSmR4
V+jPOpJ0LL0xG/qcHeQSVbzffMKODsnKj2ablset7gC5zGoWPRpqjVvRAHyGFyvHBdHCv1s919W2
RiRnk3/AcQ0cQfho/aqifPqp1TopKJe6yrQu5P1IAnz6HuDelT3Bc6e/QEdgfxZhyR45NtAPryaQ
9iTgkwltfwzYtuFZCaWQjsuVUFjl1iRGH4r0+nyrXzS6Q0c4IIevSTJPfAdGSyX2WiFYi8DWeMZU
pQjmHljOJlFfL8K1GMiM5qFAG9pdZk2AQECkQ/ZheDne2zR1X5te9e5ab7JeMZZcq4LEumTqujO8
HvdowWF77Zt12nWzbqaLHmODzw4w/1WDxMfxEj6S1QOMyc6Wchg5qjbfQhLvIQRU1/USLc/9GoXv
8JUcn6HArfrDOI5AjC1mtzfVHCaGdKYStsBgbPUzme1YvA0DvHJ2QddKnfGt+RFJYDQlSR6N5oTj
Vx2WfOARKVOKA9zjDsNMLJ6iuB1wTj+EBFc19M0LwEjw/Qp4OsXJBGRUsPExKY3dLgFr5E8BZTLG
fA4d8x4sUt0RBsw9AGaU/sINAElb2cUz1oyJgNsPA9LtiDDbmLS8jhq535bMD62xEh5nKVh1d9Jk
ejuxpunr2xwzw58SCbcvExzZbLtu5xKab319weiwCpRpsV4fsAWACiEOx97OTIwGPtPlOrSygQdu
2/cmeynyCeOKBVkQ54FLNCbXmmfLJQeCQclqoNc9boYFvafdWEn00onHlHMN6vu6+e4FvNxJ7+C4
x8SO8gJJAbOxOYoBDM5/0nX115t24VP2OEdv4ilZsS2hAF+OKH/dZRGmdD5tWkancouZxSSotPQw
AGEdjzNqlq+N92hiMxXSg6KZHnZDrsUDcmGju7xS+dOM4WlHrC6rB0iWhw8Nv8puP/ZVocgcpfiV
fkPkeFsWbkRPuOYUGIDfcF0YNIxFm+Hw7nd8oWe68bycAyPHbfmCQla8cVvjMqxopBg2fY3BVWeE
PQEUCRYa1wy7ou8F2qxqixXcFuMRXhm9RnHQFN13mrliJosDIwu+Yp5JjGDSeSBQrk+eQKORvqAk
KR9z6au5tbL2l2xSSUNUVUQX0m1LfrWWoM07O9juJLeUvwwBCNI1h52jPrBqUR3qe4e2JM9U8RHQ
rPA9UgdmXAli7nGXVDVt2g2z/hc4AxXiAPXZVOys3DQ/YGrLHkCRkshNSYBKqSlpjqDP249C++rG
+KjHVK1P4wsQ/MWEkZLBRuiHpr9OMMBaSOr67j5KE9znxrpZ7MdlpF8ZCH+KaGdwGiKZGZqwWoZ8
IDFKqCeK/GyUjnLsl33p6PwW5AjSq1E4KghMFc0LhIvRd4EF8H0BlYG3GFLQ97xPxd28oGpow6oz
DMTh73K0wQDc450a7d6VbEagoRvkpRxtxA5JPEeXNU67cg+zlHzcza6i46mfZRjaErkIA1Fdidtm
novkOs8XW+3hUYB6C+0vJMxp1fFDY1I2tdzo5CIAocdAYdL2KDAKK4hF3iBK3MGtNdB1vYwAzsoc
lzOOWFQYDHS+BsfPhulwI24qMzUoiYqQfg4gYXybchi8tn0iE9QBC3wtGhgTEGnhCt9i3jZXpJmo
uVuH0CU77IyhgpfHhii/vLFbfiwTGTM0Djy8LVmxxm2/lVO2WyKAPaggEivaavL52yRB4r7iiFdK
iQGz5GaLtiZpdTMkdy6cW0scPgW/Arl0eqah5mcWSZo8Fiie4fmXF5jjDrK/xJSj5u0gluip0rAT
gWeWSO8kOpzxgaZD+BzAcqgvpny0L3XXsftS14eOqXg++SgBLDaUJgUgkG99Dn5B09wszba+Y1ZR
qxPUUcMVmiD9GUmGkwEpqvg/+iFK78Ma5gb1pFtADkULcKdw/yCJqg4AbSkqB6A5VS7RZvYZ35+b
bLdjqq93OFhZA9Rmtfo0gd0F2EhJDIA2pL3LayMzjsMyX8XtllP/oXFXP2Z4OR2R0ZL+nGqOSvfs
lne9ZM3kj/iO010uhELpKjwFRJ7h3+IO4Vhny2G4OgfZSLSgFZY5QYxFDl3s4EACxIt9yFYKUB+Y
fvGl9BXKhtTQ7jvIEHB+WuDtKUgFo47mBhNdoH31mAOZQn5NEe82rNACx7eMIGUCscTc8ZENMZlK
2Ichyb1c2H4a9fKcN8gEu7KYaMz7TUI4hxa4hDpXlUEhDARJ119BH+nVYYvQV+/hLIrLJjWchWMD
tP0F8ujsjBcX6FY2h1nTaQNcZcky91CRcZMwkIpYNeQEAHgN8CfC3YHroWTjPg8jTAVR6SXy0IUe
3Md9XNsm1iTT61YcXLYM0e0A0BmZtaqXi/qhuDH81rN6pad17npUOcipzDacol3ap3spfQTGiWPg
cJpb22EevbXlnGn7oq3W4YiqRbGICJqBzNR4sDXhUZfy6CldfF7DaT7twYkibChxDu4rnYziMWOl
dpTEsBKVsAvddPacI1d3vNVj5GOAL7h08tMclxBUITYzRWU9xlH0FvNhHS6EXzWyDOCe0k1XHIYV
9qlMXEB9FdWhnn5UU5einsG8D5+xqAbSBWKnqFjR2oc1Tk6F79P1RudAzzEqUG78mUXOhanF/BjN
18GoktGftAkVoqHhKCuv5hHJt289k2z5rBPcnbdxPdGy9XCV96+Ys5j4eXBl70RLm3JIPqZIFXF5
kBLDwRNNnMMUec5CHT4jP50ZPKjh+NcRXNn+iI8xGCOyc9L2hisRwQPvWR7F2NxJBVt8sM8AnSUR
qU0+w/VpAiMBqAtGKXB56PF0oJaYbVWcXBFs9DQU6YRKw66qqN5m6swGTvMSa2ypAkSL+lups7L6
Zsu6r5ZjhwEp4yT3pVAzUKcuH95VjVvms0G7Cve/2mfdle86udwVm07OnFouYe0NxQutrryBRuPY
Zc4N1zG68vxYIz1j3Utg5uGhVPj7JxLXmBHAnx8JfZ+sY14+lzyO/Be6eVwbGJJszclgfeOrlUnf
HIGHW3eRLA5XJo9TzFAAqa3mcossvJvLuerdaR5W5IQso+xWXJV2FrdgQHF9mNbKTpcmxEHsXTFk
/RdYe1CN3nauzR5wZx6fDLglgYgR9esui7ahwhADAEu7FflYv/fYMY+wBxT+et4KtDAhxv26X/wC
WwTYOm8flnn+w/iQmIsSh0C/83lPPyJmppiwyK0vxQgU+ODjBpnx05BZAvW8RIgSrr98D0OzfvrC
5p5WaLCyxp+Ywg+1uDc2esGwXT5toQVyO0Bu3o5gYiYvUBwBVyoA1jfENsDeCFQ00T1GqEzu+lqE
L5uupkfIoZPnrWZxhS5p7vaz5t2I6QFqRMI1hLYEsxN+M6Lfvq/BaARzOZ+HgtCS8i8LAkOS1hVm
cQRmodv7kIZtRSHr4niX2FR/32QRv6+295cR/KwleDBTeWFneNqjMyv3UYZ9gRDL/iITQoMksIRr
zH+c3E/M5VcTds9KQmoxt1EbRQBv3q39tawQgrnmCyYPLFNqII6nasF8bgAJQwH4+TaExD+rSVWA
TCvpxp2W4LPvAsfI91HgRHyOIzMDjB4UGHK2qPiGgUYG1oFMSrA8OJ7uc6chJ9n1kzPvIBrVj7Qf
kv7ARlpVjxNCvd80AivB0Ml98dlMrt8AwBQz+uitGMa2WH2/N6zxZ2+HvoIXM+sBq60eKbfX85Ks
sOuQerhw8cpPK9jL000B7VKHPrr4P87OZDluLbuiv1Lx5iijbxyuGgCJzGTfi5ImCJGi0PcX7dd7
gS7bSjCDaTlqVCE9IQFc3Oacvddm+XaagvoFZDkaNXAnqfcMqhxd4lk3Mq/qgiSk3tySz8vCX9Dx
rANLd2vDar7XIWuTP045Ao6E8zqrceqQbNvNwbSnlBXqm9Zu8+gC+ZSUk1wY55kfB3P3NKMPaH3O
jtNLbirRayIRf+WywWzPtbDSle1U1/H3Rgzok+0oSm5Fpcf0LFW7RKg4zYL2ilCbC85LnFlB7jtX
i58h9JTcjISHtIcGDF1V2ryiLwg3qHJyVV0CRVsWqz7TJbcOZvEQRRyHXTktweNb7HSajT5O461I
tL7ikYyG7EbMQLMbNlbGjKc4KKzCvmU6dxwI6juFMuYzHX0kD30KgNpjWFKsTua4ughHtlh+j1en
Z3JbQgeNOa6/pbWmP8rOGGQu0z7jRm0noV5KVdPErkwL6GsYtmbGGa9Fw122Da1kJiM72hKWGm07
uZI6z6JrpWwzxWnvjDacF7GfoV6VYWPegtaB+JqXTOKuNKf25EfxNN3GaHEftLiu84vGMcvID/Q+
Cb0atYHwAyMIbZo8bDK2dkM7fKkbUMrvjS6sqF8qRr1V1DzJt12lOxR+OABSeBVj73WT0n0vWHt1
L1Pg4DzjqSjmTS0jdqPWFlmhL0dODAfd0toLuidT+VVJZjv2Z12yf1hla2teTUZC7/NxA09IcnDA
BMm1jn5Wy6W46kcSrDxQSFTW7TwvztVSomwdKZzktmwQ1C+10TdvzKF0tdJYXipEVLNljp+jYntN
QtjzU5I08z5BQ5FRd5XoyaIHSp+aqDEelRE08YXCenc354rJfuBzVeYHIRnycLhKNtQjmT3dGnpU
ZGLq2FRRe62SZpuPkXHWJyevsnbDwvsFdwTyGz6dA/NoJX3nkFKb+VzYXlVRd7Yy3r5RKoidUsQc
46SFXgx+/MStfRDkLRd9139iwaSKuPz5b3r7LlRYiQKw1Dopwhcgk8uHkiSBXU7v/s8vRSoy6lzo
Uawqa4cWBB4lm9LK8ioFQYFmx2IXmmm3i5S6OMEqWctoF3TyksL+nv0Aj24lyYuGquCz620vSNDV
pwGhCKmVxzu+hRTFZvHyx+NjEQgTOQ3eDCXg6s2lUzUHSEccdAOTepbN/XhmM4+eeH7HbgoFMx5W
FRDqh/GBnT230jFxPCR75MkOKL61QEk3WW/Q7k0a44R88sjQUIhpV9nH446gQ384NFQU4W2Lyd9z
zPol1uV0Ew5oyuOuPMUFOfJ9kVsmA6tiXmcwrlShWOLqqpZix6MA0jwgBLCuMna9J57fO37jQBbJ
qHDw5TEgTMAKa19uZTQGh0NekySo2wdFZ1ypQ0AFWiV5jlAB5sza7j2lMSyvDmROcjWalzyNtB16
Gn1pMHa+il7m4c+Hj2Og+9ZZRnHVrPTsnPYsrBo86LZBPu/FDrIVFFsaITufX+ijVBWH1zJO4Sbq
JD5rqyupSYSdm5BTD0WOvBFKTIVQijA2sORsQfeqvF3ViFwNIbFnSKWyaVA/ufNQnaJ9fhxcGuxI
Gl+Ic5lYndUXKkVKS3+FM78UpeMLTRY6oBMcha9Y8eJTodMfZ1YutlgUtYVUz+0fjuQkaZWAXggV
Mkuxryqr+FFVpkTjijkV94W+ScN+OGH0OXrNBeTB17oInlfXNEe7kdj98/UYvbGtCO7y6k63trlT
VRspNCdPVnJl+/kLXv7RwxHOjRJfzGhCiow95/BGkZyMep3SeBJUPnC6I4RHCThtl/BOV+hp7atK
jd606E6F/x59n0uuyOK+tfAHHV650GtgnPnoMHrb7mlsx/HLpGXUXYdxyG8+v8uP0wUGX0jJy2LJ
4rXmy8Ram1R97ThLr8beycNU75SZTsPnVzl2RwbHX4xHzBbKmk3AGT6g5mox3Y5Gg5+4pLPVFfnF
hHr+xHJ1bKwYKr4wrKbW0i06fHhz6rS1Ba3Jc9B0XY9iCq51FELfFGgNsj8XejC47BgSw//8Fo89
SGB5gGiJVsRkuzyC3xZ/KZEplnYcg+dBzb9nKnFXm8wR2rD5/DprI63CtIPt0sLuadBo1FYrSSsp
ZCZMpoPRACMh1Fi+uEQoG9oXKarWhC3j0Bk/G6SS14NmRydu8+PCibIGJwCoGB2K6joHvutV+rd0
n70AuLanA3l3EzL/NmJIACHK4hSu79jIAfC4kFs1ivxrGmcEoiOZMLl6dif3WxJi7gIyhDZFbNon
JvRTV1o9WHijczzVPNjQLHGs5gpBEUkabHKCQM8+f4dHL7WEtapALUCTrT5wal9B2AS64+lSrL+A
sSCJQourL1UcnQosP/a+sFP8z6VWqxTbEbOjK+V4feTAt1bTkLxGikUEfhvINgmZ/PzW1rOmimZw
sXjj8V6g0MbqepyEAL91aecP0qDs8CaNaLcmZ5sumQOaNvZbK6Teo01Ze2ImWz/U9ysDEsJxuCzH
a2djonY4HlW18+02tX/lZemcpfSHAeor5Ylv8NilwCvKzM2gCQ19NceYAPuzScgdltre/oXwXvcw
TTyKvpFOnSnW72+5K8xkC00YqjCr7uG0kmVdo8YhWldJG69ozyhfmnxoXDoZ5n1mZ6c8c+vZk8st
1l04MigboWOu7kwRXZgnttP7oxSjpDTtnfFurcBpQYe1LPkdtPpOvLn1lLZclOmEHZu+nAqd1ZY1
NvpaWCX6TZuO6KUqGem+B1Ty1OAk3rLbMHwqQuV51NX2j2gah4c/HrJsZ3iLnKU07nn14fchHbdm
yoWfT43YiXRblvdaHna3eWQbPn3ZEk1Jeeqmj4whfPt8IksIq4Wn6vDF9h1bfy4i/LRJaOqYqjR7
7F3NX2ETozb4/BaPvdbFq6/bCy2XwXR4sbpDOsLeTPgGZEbPyc3humyi9jZQpmgratRoUlXKJ16r
cmTsKjxXiwElEwqyhptnsRXKYVoJ9OqNeq1S46VFY5viJROls6/7YXi0ojk9T0Sr3nEezJ6pIGt+
jZ+3JjeHvlrg5DFlLEwdflAGmquQMn5q93z0VyJhWziDiFDXQ37kRE+8dIJ0Wca+Vwt7dhklxr7J
pHbfmEb2+vm7eN/s/L6xXIa7hSMGvzpKB/nD9q5F0thMY+dHmMiwLo7Wk3C6/mEoO+06VikTq2EQ
Pzot9d+sHosL4lbjDban4CKNs3bfW+XgbE/8qGWQf/hRHEx1mJLwZdZ0mYYiqRpBYPfTyswvKNvl
W4ts9L0VxummaqfZK1thXLXyXPlGVqL/5qX7dQeynUTW8sR+8dh4JbXGZusNXUJfs3tQ/odBqdKi
nocov0BwLraVsPsbzlcvaRVa9KjG+sRwPXZNGBFsh4HMsoCtVi5gnfIsDaHwsRQlKGbUfmllCesu
mew+dWn+UY7IA906sZgcvS6RAwvjElnDOlFNoYs+R5TpCDbXTPoPoljAsx1JpXRjIny2kgy5LK31
E6/86HXBIi4TH87v9RsvRTTGnVEIX1YzbW8lqWkiRRbJRYBNfNOXk0JTBRfaialoeYzrgcbXxqoG
UBv044rZMCAJ7lQNiwiozf4pjsd2o3am8fT5eD6ypJARhM+cbxrS5Bo8gP40M4Qzt77ZlInvgCk6
w0+ACKMNf+Fz7r1WHVWP3YIGqrXTTuzvjjxalRdJzqeuIPdbb0XYOkxNqkQMpSwxLxITub1NvNOO
TWvri0JF/le3pwg7R+YxLko5ho3CYntfjV8WN0C1DstY19GDtqaUBXuiKJ9aQexZxtD/+TcKG0ld
1m2CmeX1smm3C7DZtIWvZ5N00ZptcxehBi63MqbK2JMzEW4nx5puP3+zx54t5R12eTxYlbTmw6VM
YLUwUOALX+pmsZtKJd8Lo5J9bLn2rYrGHWdhM939Py6qU+1YkoyW7fThRau8jeXMYLE206i8GHXq
5o1tSK9hVY07uVCvyd+d0hNfypEdAjsDhrDKc1Qh+B9edAoSy8z0QPhlkLcUybXuQUw2JlzNafCu
fn6HR/btJGNgdmbULnlC6+2IUNW+6wf2YBNmZA3f2bkxzNqDRB/UFdi9PQ3G91akc/P18yt/KCWy
HtJIJWN2IW0tybiH9ykXM6v+5KBHonhAf2Oqr2uamL8wbUzbqNIIUNWqxni1q6DC7I6uGTGIpMrn
GdngT3RzhotKHYpogyoKj8Hnv+7YV8VKzYdFlZNzxeolGP0gS8zcrIs2YjdblCj/0URc0VmX3SDs
/xQF+P4wKH5TwmWbRtjG4cOYIlux6ppTTITA0jUEuAOVSuYuVoX65wvAQhZGbEpom0wAzeGl6DVp
bYSRzA/Qpe/YBX8p+Mp3TDAcZ5zGuHHUPPX//HESmQsoDwQ/KT6rDwkvXGki/O58wsApHyhFdzPE
xeQ7AcIUndi4+8+vd2y2AMpnOxr7O5tAqcN7tAt5Lvup6P1eD+T9GHUKpvtWPGGbVLDlKwHvUBlO
7PCOjRlIqOTAgMhcKIuHF+3jCLgiNgSfqrjmmU6NMC2LpQ26QmlBGGgnXuSRiUJDVaxrvE6yRNbX
q2wmYLrWg29MYXpVGXHz3Kj6tKPCln77/HkeuTWq6qDjuD8KwOby579VuYyZ6uc8JwNdTNSbll1b
2I9NjItSh2Ac0vx8Yld25II67mzWcFqFCwvw8IJFqWNawV/hp3UYbAtzeMv1WN0TuoaqGWH3ifF5
5FGC34QMTIMYBsX6oEQfvqNtLA9+y5zlIwxMd8gidBTp5inq+DsFbrUTWrZBZKmBBaO+vJr3zAjl
mRmPoy+SaNobGrSDOpa6O0KLlY05iJYDqVzcxl0rn7cVlhyjdeYbeejC7zEI7Rfc4DpkBK3Z90ue
i6UZwUMYNN21zTHwnPGQ7At8L/swTMUpnNk7Vu7Dj1+OrZQhjY9JWbOiEcaJfM43mrZEYRTg3TLU
0bgg7K54LhGCsImdxvCrw3J8VtYxnBKURtKb0MoYHwkggXbz+dg8soTRH6DNprDVsWiAHQ4VWSoB
qTYMFcUUElql3F5oTT0UFwRhoC3S/Sw5LabMUjvxwR+7MtV6Stt0JyAbrWcZoyM1PgpHP5Gtn+RV
6OzXZ3GNE93wFaFmz2bbx+7QOt2JjeaR4UpThBYUJzaGq6oe3nKIYawQlTL60NQj1Glm6pI2qPlG
TW7e50/3yEwKp3u5DtVxeCire9REFmqshiOsh2DR9utDvkPoM7pVN6KNnOZmb9Vqf+IGj3z+y0xD
ggX7AlldV9UnxeiatMQQX00QUWQEtUi9wXzs52EsmAFAglTe5zf64ZkymtlfGku3ggLf+oCCcqBU
Rrub+Pri9rpVomKnlvqwQ4l5qod47FIMWMgWbGLsD6F2VZL1ZmLBz1g0m+fY9WI37W1kStS4T+xj
jl0KMpXGG7RNg43F4UgplGpKbFOafCzE1OzzRu88A81LhMppyE6MlWUVP5gcgA5SqoSzTskV3e7q
S7Sx1iCkBbcQo7a+RsCdmNjmSsAtn7+qD98d1+GYteSMyDDd15GUGBoGTC8qWIeJBF9AzeF5bFSE
IWEYwz1DdnDUdea5M6Jz/vzKH76GBatoslFmAucg8o7G/G0dNFMHksFSUcf4Wu9F11Z+iz9zIzpp
2lIbn55lJRu2n1/0yDs0qN9pC42Wc8E6WisCsYfdVUHChBgO/IYa3xcTRT1LILX9/1xKI8pguTl2
TofDxcQ5p6CBXNRSgvhbo6WfD74Ogb1j/VfD7t9ex38P38rb/xoX7T//g///WlYThLBIrP7vP2+q
t+JBNG9v4upH9R/Lf/o/f/XwP/znVfzalG35S6z/1sF/xL//r+tvfogfB/8HQwUuo7vurZnu31p8
QO8X4Jcuf/P/+od/e3v/V2C1v/3jr9eyK8Tyr4VxWfz1rz86+/mPvxzG67/9/s//68+uf+T8Zztu
9/Vt/ffffrTiH3+pzt8hU6LvgYYlv9eF/vrb8Lb8ieL8HSUO2Z4cCmE4vgekFmUjon/8pSt/tyhd
IWvhcyAvZNlQtGW3/JGm/52DHdtgtt428ynL+X//roMX9L8v7G8QiG7LuBAt11wOPb9930Q1UppD
doSxBU8PsRGHo2PI+riQTGzZAXAJfK7mfINyPdpLQOh9dWYLoltDf1eFmrQTHT6cuC//MDvy/TfA
sCSOjfY8xP3VSYKd06DlTQ0epdOVfTnL9bWlSM1FNen2iY3Fajp7v9QSCYUJR+exrg/iYy7h3peX
vbtVWRuh1ham+Brn7Inp7L1vdPBcKc6z2FGmp261TGqHzxW3PugumXvCvEvnYS6xpsIVi3eZ6E0c
oXmiu0YAtMGti9gGITHlpnRWA3h4NQAmcXYOpadQxrZPTh0+Hw+zg/OYTsqo7Ie+oIVTD0JDv1kq
ES4r3KwmWME+TX1Zqh0TzIGGL4z6e/UNA5nhs74XsZ8ODThXDasvnovCtPx2HODI9Ena4vOxrVh2
1Wk0Jp8wczDASmhWF00h9HmLYSgJvG6IrMhvqBzr5xb88FOhKx9ej0PnZgkhQxBHHuCa148+Mwss
KJ4eO7BXsx7DbdBL6QkJyhp2THFkYVaySuMOpvFurN5NXQMViaU09Cy013uJ/c/FFIy6NzF8npxe
a3wFeo6AWcjuxAkV5WZYkIZxk6uQW8gzzQHDYxmsFHfoGU0nxs5qo7TUbmRkZSSKkViJvGH5898W
pEZNRZZV/Ly5VW0K9mYqu5VEyxz6luxHWSI9/jZZ/WtS+H0SWMN3lysyRVG24dAJ7m5Nrh2RcsRa
QH1YLfv4SUEOkGABmPM99vr6NUx10AUFLKFnCzs//F27715YTs3YVxJafh5C/uhcFU6Qb3uQdoaX
NQg1vCSrph92MKuEdqkpRTW5bdn0yVVVn+r4H3lmbE745RT7lxb5apvSzUVCPatg4Mj500wK0Q4W
FoJtoV9VqvPz8+e1WryXx0XQLRRoZmC2l2vBnBQjLJ81iypHqgVXgT7ru7zIpptCCrQTldl38Pbv
88hyLd6LaQFNW0SHqxuLIGxLZicFbtHHcunnWeXEW1Q+po8vQYI1Yps4OgNHgYmAkyJ8Q+vt3GLu
QLuaF5WC3TgL5Xo7mlJinylRlD61oMFu2awicDPQbAPSFbDtNrKOK2wDfy67hooxvsn9aAGPlfFb
6IhER4/6Un9bGlWju702RhkKcJV4tilo5ckb8r6WgGkV6q3QAaDe8Ifm3TBPxstoLHQvHXbFeVk0
Sz8wbJmt2FbOiRfGkXzNVmiK9n1UR8Pu81f1fmxaP79lIWVcvMc6rM46qe3U6mwC2dOjkswaRa1y
6DqQr9Dfj73xVJRZ8zUbM2nXTtr0OrfC3M048iO/Rk92Q90y+TlmoGjcuNOaF2yMwdc2L0wcfol5
a5nkUuHGHFJ1m/XD9HOcOci5NaaiH5/fiLLapr4POmZGyvDkhi6HmcNZQZDMQyMkY0EpSuTqBKP2
F5oUkOjstJToi8gCUccud4dhRmxaXRkhRUmYb8w68Oa+SLBBh715zqGie9LMiow5ifVnk0PrOHUY
Wk/jy6D9/beuZrDAbqgBLRMsvMuBzFGg9UaLk/7EI1nvXXgm7IRQ1hGVRF13fVZvm6nvI/hPnsjx
W9QmrVUjqqZr3YjCpzLssgLlrIbWb8hGmGSaNMZEXBrd7ee/YzlvHQ4xfgYqcWbrJYt03RuvYAuG
AZBNT6kCy8tEMdw3gEXOqnGwLnMjHzy1KeRNpcGXgCxrNieu/3HuYxuIqJvlDJWOspZZWzWI4k5n
TyNFc7cF7ltfGmVdUYMtICTIhWJ6n9/wsQtSo0Qri2oNpeHqmxrnou/xHQJ+mCKxKabS3AuzbuCU
4AcahXUKdP5xONENYzWkjUzd4kOfUTB0om4SoTdkdb+plL7wWrQYJ5bdo1dBZL3UwJhy1zthYOBO
kw3cVdQ42CAHuVkmP2v/+bM7ehWUFByp2SSAAj38jFGKY4B1uBfHqSe0xGm9kWQu9edXec9Z4qug
2GqvVo2cFOO+19FbpLUEiaOeoe6K8A9rA3x+nFvwLDCTg+6n+Hl4LwZmMUyGTElW1WVYgYSW7QfR
jfef38yqNMBVcIDyVtQl74MCwareAaYwBnHNi4E2P2xLbdS2FX91l9LnPuNzmr44CSUQJS20UzOM
+uHTppPFZ02Pg6qEbK8uzResQQtjIptq/nFZzOWjqKVumyFm9MvZmbwyFbM3i67YdvprmzmPbIgC
jxjpU7HVy8M8nGWo+Fj01JYzJE291UdnjGSkg4+j/1t11Y+wLvHlaXq1d/RpPBEE964XOLwWnqn3
NgS5MiipVoPUhEo7YtgKXGD3zhe+dqd1i6TrLQJZkQh5ZhEP1jYeZPncaNLYAnGQBJe59q7rCbvo
SyVg3tzk/Cv3IxjW0WUfbkjbvIvSbNM13RIFMMci9xxEy4Wr91PfuJKCI8Vtu7ENseUjo/A6veQ5
Zolj7lqq43sMZ0N44rP/+Fzp4dMlWPTFdNXXItyxIV1iClTQLj1b7CLUFIzeotvPmpmf+Co/zpsI
JdjL0WtBKWqsKd+cHLJRV0TgSnklvw2wIi8lEaYcQ51fZV2IE3ufj3e2lOzkRduPLtVZF34cI8+1
eeBy0zTb2MKqsXCFgB9IcJhsnXiMaw8FXyk3RWMCN6JqU7Zfrfk5eAmyyMA+YsueIalYxbmwWxif
VRZsg7mQtwNpDF/yzFbvu5ZGgqyl8iZVjPREvevjdGEquDmWlHWN5Pp1ADkcYDJ7agav1U+ETYQD
Yo2xsUu3bmpqsZ0WzGcAqCjnx7lxYrv+8ZEv87pKh5kDrKzrq480nXQlzzseuahS8LUzh/w2BjQY
SeDkPp8V1wvJ8mEi9yGtTEVMyv8OJ98uwJzaSkkHlaJ7VQpd2pD9Gf7hEKIPaVI05L3S4VVZ6w8v
Qg4NHqQOiFZizek1at9+O42RdNlrRnniUu9HtN8nHd4WmIKlpr0UowgaObxWkhqoKEtakdWc95Er
kZmwmwKCz91+GmHumFpqaHu8knJ8JpnFwOZOK2Cxjz0uzg3gRweKqohMQs4YWR0G7KK+rEXq4MLG
tW7dMe+ADoVvZsieKKT4uc+cgsiEZh7K27CroUNkZQ5T5k9fFPdlcjrl46fS/OG+dL0K8xlwH3ha
AQ5EcjZAkbITV3l3Q60eH+lu9FZkiorL9HL4+Ij3KEwUlcIzir7+NmZRkrjUoPC9jqYx3AAzo4km
Oz3KkxYXIOdJaUGJZlH7Vcty+CLAvcAKZl28nSIj8VssLV416JXt5n0pNTiSYpF5tT7AC5aKvBg2
eKgXCIamFcK1mgEPYSfl86lshA8lSgYGbiiLYg0T9KJAPbwzgMhirrG5gmdPHhUnb360A55jfYLp
qbc6C/FoqPcjXqLHAPLapalW2onW9cePjc+Nz4zr057n4z78CV2eWX0WaJU30NnZxkFA5AU5MCfW
hyNXYVO47HB0aGzaeuYKe5EkQ1lg8wZB5VZgG8/6oJf9z8fjh5l6EYoQNI5eFSUFTYjV80xnqB29
MmLeIRrwubZy51cXW9k+rgP7sYsBsDZqW46+Q+LIS5BTFChk1apdp5u7U0ErawUtModlLWTNoHEu
EyC9zOa/FbsiwJpzUhijp6n3YP49IEN96LGnnE58IEeGEdMYaxNeQmJdHG21QFWT1efwp6lWObBa
LmfdgJNoFgbVxrZZcGBD1IeF11ikOviV2pnJxuxyS72FDK8+fv4OPrxp9hkmpxlGNrZYxvThXQMZ
yaskxlUvRBBfktkjCBNo++3nV1nLEvDDUvZYrGC0mFgU1yfTiQ1tadHp8KDUF25FpB645Kn5CcVY
9SjLkRo6ghidcYtDEyrNq3oc4LXkKohvlwqCtDXHPtzALit3E/pZ25sDab6IYDydZxixd+1oGw+6
OQ1+SNLq5vOfv4zDgxlt+fVomfBhoatHtnX4kGLQaIh+ajgQ+qRTwAbwrAVAflujPVU+/DgMqbFR
c+WQwRaGQ81qcIxtBCfcUgvyZUCFe4FBW8QLWzhskIji7ldrGS0YJA2nLGylWL2gR6JQVWOzB/9W
k+MvtPZ1jXVf6k7sKQAkrx8EOh1WYZqifLPMDKtVGPevsmS2ZLyypKUrE8wG9UAnm5XtmA0k9XEQ
sO+0IkgaAq7s4VsiCiJ00tSSvmGwlJ8EBoVnvTCTB7A/jQ9qPHtCukvAjiN1wzOssPGRywePgYGy
dgMYR7lSswiQMBtjE46ZrkmPetBK4W3ZprAPh1wyifDUtcRGWzhiGOa5fk9jRfqVa00GVlY1usx3
7CD4IqZyTF21KqyzlmSbVzbBRB7lvT5qZEHAFUMBXmqaZ8Pk04kZYGvpIn5NXtiz2+cBDY/JndQS
fZdFQYu02Xp4mBOhB74uk4vnDrVRAoeOR/F1QKw1bwsrKr7XRjv0lJqVaHA7OaOArZqN1W+VejJe
a8vJiO+z7biDaIHQZIuLXKa4XzqZvhFEN8mMMhbFy7GXsxhq6WR8N6JhWEpsUfFFpykRuU1oyv25
E2Zp7fbq8uEkPRjQndqDutontQMPb+zTBqukyrF/E1BKfoKwMUk7Uvyq+w5w7xPBOzVxFvTccAJF
E/sCEkzSa4hQ4ovG7F9tekxQb6gixXc7mpLLMkDp54UAhKLNwkV4lUdAyGo+5dOZjuEEEHJXmoRW
J3Vz4WiFAy+6RKxTE1ZGmFRczF+kRMJFrvWhpJ61hkpDA6Qp1CZa0na8FX05QxHRB+ulRCR2Nw2B
c2dY3TDQm1cgwoNh734IZJ2zSxDJTNYTttofuVHAUUqSeb4qUmJUdn0ni2vqQsXXaDCTZ0I60w7C
Z6MA/+7ow22Ro6oc202JFIZCo0p8UUbAAwXJQflV2eTOuBlHPG/UpIM+dKcuz6+dvG5trJ8ay76c
lR1wrA750iZLs5AtCkLbhRIsRtBDdl0Lr8GsSoHbnB3FV8saH0qpOWmxWdBNb+VswAbWSxUiZFmk
RJsEZmea0Keop99k4FUsFohW0fe9XZgmsAkpBecE2ZVQFQr+ON8ThRPrMIEnU+2ADVM360UDQKTU
rnH9NsvDK2a/FIqQN4khz5YrT/B3NkDH2wsiIfR6K+UppPsxD8RjFUs9TZg8iUjPqYTlETHSf8+D
rAFjbY1ACzvTCq6GgIPPZTAnBMuqImq+dL08SZ6hVYBynVTvWq/OU9hPGojRzs+sCrlGYXCM9iJg
RsQAAfVsLihbV6j26Qdhy1E1vslZre4yC4Disrma3sbeti7SqlWznVUM/WOaF8RZSxXbaH5OXpAp
pkShK0arvQwh2aX8O7l0psSG9S0Lo+7rWNna6C6bJ5nmBHxh8FnCAI8/O+ljJ0+mfgG4T5DXAH/z
sh8qJ9plaUdbICZstXMnnQweT7Sy2m6UsRu/wRWf4MtVPdiXUQdQJlvQNs+rKkNDrMrsYy/kMDTo
oyYdgV6jrSXIcNLiPub1lGdDJY3mhi/Y0S6cwrFKD2k6yBTCHVRlU7fC2Qkp7WcXSF41bFuTcCxo
B1rfbOgIlFdTNtLwGPHHQgxrCa8gjjOQd44SgoGPkmqYPOhC0c8xrOeQxKug3UpmbZ2bhSNdqgij
GTdSUL1wbrG4KhXW2yzsK2dDE4f9bWrn6itpRjoK7UoCsR8VNNuZOpcJFnjpVgqNCKbM2CfAxULC
tWheFkQsdlhAqzN5oXi6eGvyai/LefwkhKpHG6NAIQTFU0vhqrXSkCI6F+TZgMCe6RPnMbD/KeJg
tiF3rai3utOYy8Rfa7EPhLr9GTsyFEhVHTTyMUDmI76tU7n2aw1AvzXX01tWAKbaEhaifYXUFcFc
DjUWD8h2TgJTgWBPH+Rau8nAk/UboOUguziREUci5riH/9Sm+nxbgFt46SxAuZcw3/NuL2yM2J4h
Blo2eN7YriUcdgOCpOVyQ+4MDM4Iq++vuTSHh1GVOCTi1Q4dFzIloW4T+euSvesJbHqY5cTYRrVy
RUHJICuqv7AQO0KQlPlOY1+ywhfoWi+5Ie2KkOZPEoybnM/dlcgNgslJak/3WMTWLaz7R7tnzNBy
dOfiJq6rb5mennH484c0fZPjZMtG98zoZSCRyk1pmNeBKdOJdLKNTVxzzli2Dejf5ghuNDIfkjp/
blnc9aq9mJQgeSiT+HqY+gvDzF4SS3GNpryagdt1j2mY+7b2qgjh5op1RmYIXat4m4mIHGtty8oK
sCO2gZTrjcJTNRtv1hr49ILbIEko0L6HMI6h+1OArgL5piPyKQc4FHX3QWGBXWQzNu5pGVxQEOXv
arWLPR4IWtbK+W0YWONGrutdbLWPXZ9v5ZAPo8vLq2DImHYj3pJl3eljRiouIDBzzFEKNc/sNx6X
HBDXJlfpu1xYzV6erF05zd/NCEdo61yF5Dvx/u8Btz8B2NgbcQ+zX6j3dhXeJaZ1ZqRPdnilGTlB
oZzUUL3F4QWjTPjV8AtB8bnF4SXIHShqoXhSqvBKh2jmQi2cd9ocnbWjZtNsHB7yVtkNvaS4FYT5
Rtaegjb5QY4idkHVABpT7QoiRwJ6RW6ZFVu6Ll9HSJxKRAktoskil/KDGouN4wRA3myDMrS0sbhN
EyiVuhNl9KBFgHwTW9tIoOldIKV+DdmTn3Fr5sbXXhmeJYAeg+KFUvKaiOxnGxACMLYFX/l4GSap
7wwR+6H8JshGKMmScgZPVftux7z4cYJvAwDqHDXjJgymi2EmxW0G/K7KP3F6BT5MtZ+x9n2g7T4Y
080QGs8Z35PbmfFmNhERd0Z9PyC87alLmSX8MxURuF3+1JV0P439tVWQZFHXhotQhFO+aL6pUltu
yji9zWIQ0QajIgllT567Fz78m9KesrNyKkq/s5ji6nK875qhdgNNvKaQqAHHS0kqXCVv2CSNC7y7
LK4GUcmXjRxYWxZm+zli6Ohn8mBcwYLY21O7l6Hu7+2quUx7esaWfVnDanZFCZAz06Rrcwl7CkyN
jmg87gP2MbuoTX8WSRp5kGLe4HA/DrbyzWqi0WvbH31vSjCRq8qSz/Cyc9g0hC4HXlGWwWWaG+MX
s9Ck7yqCj5+5moWTh6WHCDiZPUjogoek4Z8poXPn2JWauAYnZfaQbLCcjWin+n50gP2dgVBWS0+W
QaB7UasqrYdtDch11Gax5pF6MX+Fz68E3hRNcbHpg8oBFh316TUKfFPxJ4A/z5m2rC0t8F1+HuSt
NwLBTXujJeUS7AXwcCeSECj7XBExpLdKfEM8R6x7OV9FBAEeC5NH7BiyIofZ4GWkPf0ik9qL/Udr
Z9238x6MHOqWhu1mpQzkuhSRInmDqtUkQLHJOufsGEy+PDcCVP5MqJNPyFGpudy18iOX9eKuVqPx
XjeHPtmmYUT9XgAWXeJY0gDIaDsP9qYmKvxn1CVgDkmNYOxq5X9ydl67jSNRGn4iAszhlkGynNt2
t8d9Q3RkjkUWw9PvR+9ejGTBwuzNYIDpHopkseqc//yh++JIPi7cBAs3C3qXAKByGBQMUVpjcX0J
oHM91HNH8IexYrQP15WysUgH4sUzZ40b6uOiIWasLGO6nR7bt2DmcHlysWheOQfTQIUaHq1FNmmk
RBhKG+KOjXWai5dGFmjmTBlizVr/qxXmzB+pXPvJI9qvwgnGtgcfc302y3ZpsA10JBxN4qDAwbDw
dbW/S2wSuTbpvSRHoCulCTPHc8bQmAwwM/zdqW4nvagW9twylzeds0LxWjRpPBm4nTf3HRtsEajU
aE7EdCm58fIei2NDnbDGluQS/81xPWXQ0o3JqylBM3zLKdOfmqdoLZq1of+mDJq8bRaBcAwq08IU
MR47bnsVKunWusBt2a042m3sinEuTAh2Cpo8wWl1sqakC1qnq1g7XiseV2aRXZThTf61zOE4hSAK
8TenE/VPS8nwpFasWvuB34PHv45q+2CCbt8Vi6FVh0quFWUZfb8VQA7eBqf16OU7ik2ZXDdd5S1b
qo43skI7KAaoiNRbx3MG9wrEp+gx5/Cyp2LSqhulK5tXp2jlPSgAN0/qIU+ZcSKe84zTMd4UjYqT
oYuhAMQ3gmK/kX/rUGcUsf6dzRuPmFhbOdndEUtZnzRdwM6mUBsy0uI2OeSVzP5J5tqQoZJnjgzc
yoYeN+vG+FMlauBR7XODD9ssW9/W8+rbVOA16OflNqSFPmNBpoj5Gv0ywas09+De+Ovi4lFZ1u10
EIZWbhWSWt1kg03GkTHiZxfi0p19IQBj9MIpJsgrwtw9f4jtySMJhsRR4wo3Z3nfG5WLu39fTz/p
MzLoKcY6oJKWRXOHgizFR7hS0p8tf+EfuzAg5aidq5MwgSkaMDfqK2oIoeDUztMeHrW4rH+sXsnM
To6K/qOx4+YO3sKo4aOj4PitUHj/Uiicv2RatdIZOJXm7ith4q3Zxy7AYD9m7Uicno6xCBbwfbUb
1lFz/N5US6LxGkismHtLTUTtKi0LK1UoiY9MI/s2dKZ1/LUpaYfQrQyP8MypfuR/K98w76CVL2AY
PaceZW440Ehi0Cm64S9ed/ETYgDxNvTYXUYLMYI4RQIa0AS1Zmr7ADOevMunIb3qCQcsd4m6JG3U
w+cnHy0uGBl4XgbsgVB2acMpMxXiMvQtDtL1tOxVS9LyNfZ0MhtNZ+a/LW3RM46yq4deKcuJr7+k
oMTrHnfcGqjAwVtz7cm4IFiGtAYMuSK5MJgN5EDLHhjJzPciKQMObkJTQyuBu57PrF39PTlq5oQY
WPevTWs2A5Bj6aiBbY/p9VqQahEQaTG4BLezADCvnaGbF3pl7yvHuslFBX7Sw0mHcVUrN8TaK8xf
yLYvVQKo+XC18Rcxd1h1Em6A5zBLUNwIVSEsshyVEV90dtItbk5//9NF/8SwhBbArSeyQvNiHr9R
0Soi0syYKitZLdwuvdRKH5elTl4SDKC/NqJNOcCSajIjEAvWRJcPHNzE5mBqMCiLM+xStMRGMGmz
d2DNFTMBjnNr+f1ULOQ+WFaq7a3GVYkzhi0UIhXUiD60yX4Pp9VLHlNnITSJsEWFCc9QLB6pOGTP
+AIjWJd8AGW4gb1gmPj30IyEbSqdO9XMFaJytc5562ob5jwsT/XHwn6m72Tbq2+j3a9/9EW2P+Mk
NsVhnTvnbpjsFCEsYahfljTz9H2JO8izQiVBYJXIWGJxb7cltrxO0u1pojeEy1DzP1o5aiyGFMlT
OAnQJx89wPizZOOC5FU2S4atKolDGNOi7KKeGIe9UcpeDSaxjiJy7XFdInusWvBVBbtfDq86/wIc
YKrXOMFSzEIRXsW+cwrS6oWZPKASrZrIVWOKmzSRhhJBWS8t1hXnV9iMSfJo9S2LwRZAkH5B0Cvh
ZwQy6GijEGb4OPOW/1QDvlGayiHD+TTq1MxGywmugOLP+pqte3O1m+954VVG5MzECixkWnVXY7UU
vwDp7Tti64f7RtisqYKa2AZo7KcfLukORGV6gEyV6r6P9U2l+o8MGY4YqKOYyDA0A64/1dLpOGw2
cZ4V5EXV+Q2B5fMdzfEFisMZAB5Psc0NbhsJMNs5xpY16TEMrulOaT0ztP08qKJq0guj6P8Vqh1j
2JCY4YDjd4W0i5nO8XVMdvwBDsUWuVBXv9NcI2arqT1akU6xTASXxLfAnph73Rd1of7uvcQUt1Xr
JrNvAH+kgZUkMwImpXVfbZK0Zzr5XlBkVw4tuKs2scI+tWh0cWRq1kAZZfqL7Ab8pQXWtW3UuKaw
D8BrKjlUS1e8GWmpOD6ZqMt8V2QxbRHoMGlJTtb2c+DEg8s1PORv4Vi0SgaFaB7u0sHpTEIZJ+dZ
Q6yfBkyF7YqfWOvqDS902xCR0FokNKnUpLhUJN8Ii9H/kn5IA5en5qvIukz6MSlKf0W9ip8VFxmv
mMLMc1gXcOODqq/sP7D/0RsitJq70GTT9V4lSmOG6fqA/6SnNhapAjXKPKDYKXsjEap747QdHgtO
wyXE4ql8TceBJmAhcg2GCSWmvmsEU8TbFTOHHIwAn3/qVMAr3C7xliCPyiz/6bMC9kKDy2VOLcUW
fzXRzSgwvtNRCbKV9CrRut5vkyyLp2SBBBG1Wr2+YT26mecP2Aru1GWiANcd0cVQ62VGg8bu5WMO
ruios9oOLZE5fdXNRhJe1eRgXJ20SXRygM6lPzGY2qK/FJcsDEWUvI460+7NsiaHm3jnOUGVVJd5
IMe0fi6ov6gzKYpvubv8b9ZK6k4syKQSCWy+/ypj1R3gY/XU5pinv+SJsWp+QYbgTbZF6xUtAQjk
Ypg0+NjcEng5EnHzUxPkxWSDJV8+n+do22I/+RiQrVjskXwPfNwnU1Qyq3I3xxwtUOYhtoLas+JX
F9pIHOmyXlFJFIY2Bky1ZvGIPVA2+5rFaNcvOwXaECavCodBK7t7fQU0I0+tsh/0xbVfCF8R5BXF
1TqSS1gk31aSVacLrMf3odzRz4dHtxHzbR1dMTTc01Hl0GQZT38IKkz4Obbdicc/OEX/bDLMeHMm
IR/6LU8Jm/b5nj50/trOtjHte9IQmIBAVsnQFEAnAyxWpyshSWAiG6tV/xIR1N/Fa1zaOzJW1WRH
ann1Pe4RaQZpqWeL7ymWBb6KzPErO5qk88RC4V5N1NrzZd/FdxlmfuSd1AnqVNIsBNOreb5bi950
g2xeSNdiIFK+5YJBycGaVaKViPiSP6vWWH+VzZyBmPEdMdaQXv21TADJOYooFz9fBGc2Xkb5m1kW
02fUHicbLw1MrWgLzC9CxLo/oi69n2lLhvznV/k446b0gDCPfAp3kY9GYFgBTxqrBk/zGSB5py18
QHPuEg7WokE9ZJ3HWGBrELzduixsli5o4hgRvavctNM287rwgz7M8PhB3K8LLwkqAe/3+CDQFSPt
Af1bXLuT9m6BfkdPIMzXemYmoZPtcNOSPvtg1MwTGTqTuFdWL/o4gxiDk2DR5FnhIgSgn0l7/fmP
O//b+FmIbzAWO50vznXj1uRxtUQxoOfW6z7dWU38VLv5HH1+Je2UnAUNhvkq9DDdhRIDaez4MUB5
ywl/SVoKyQnnlUX0zl+vMelhK7zdPUM2obW1+g3BozubhRQMY5G8rZpLyINguO9LZ1BvBS4j0TgX
9bU7qEw+tsjwptfjrxd+7pkdC+M86hFIXZu10vbk/sVOmGEclRwUTaCYaXWV5R1EF8cTu7kX+mHM
0p5EKSULc0rPa5sfH9FWjteZGr96Ffk7BY3sE8MKnAsbQ71zBbki/lqZKdNsYgHKWesuLPzt8zna
o3i+aAMgrarwGbHhO/7B7VRq0zAh5mrXxtk1Gel8iYdF66LbaB/V7NL73Lbsk+vBvYdRsRHBcYo8
eZ+jqgDwaXMT2FYs77G2ol41zS6CJNQfYN1ZO+yv1KfJ0Vtiop0mNBzZ79k4q/9IgmdhMSJnY3ag
dmyG48c3rmpLReA9V7G0cfij5CJGwzbVOxvc/VDNtX2BrrY9yJMbhyYOyQ8AmLs/1UXPsUqKMbmC
AaFd9YNtivqfypbEYJpFfqFWPXcpSNbsG6aDG615woNwcUob4duCKiZYkfjkZQ5BEVMcEjDtXXKP
+7g/A3JZPMjNs5i98+Q5mtY4G4RatqjdEEW6fWWGacWG8PmHdeaW2As1BiE8PO7thJ+utFkGIpi2
HGirFerzrNxntVbfxtpof/v8Uh+/CNyKgZXgkCCaRT9zvDBIPOq1xSX0rJ0IsEn7Yj0oWtUeOoMh
f2G0efjfr7ftbEhMke5+uF6OuWE7AqwEIyEmexw+SOCDYhCpXuU+ZMSrX/KW+rhHYTkC+3brZGDL
nHL95aBNjiY4UUt0C7TWevyc625H5Jrm7AtBdJw/JsPzorkrw4i6KC/wU8484M3sCX4Lw1KM5E+W
ZxvX5JqMPOAqq617YyIRtda7/joxVAYUBoXu5w/41K9kc/mn+sKvlbqaW3ZOLogfj5q6JpuaFipP
65X1T7kjJuRq/VteTwMDzQun45mydXNnVjmwoOZA4Tz5JJq8lqM+YlERfj88/Xk6HPZ+FFxNfvhl
8i986u995/G2cnStU30ypj9ZrG7Xutm97LjQfr//+3zz5cJlPn7kx1c5KcQZYVVqL7nKLF7nhuGE
d4lV/0F39/6S2BYxn+Wzw27r+LNrJhVvpu1Gukh8nW+7YHmUV9ZNuZsDyBaBCDFbC5sDY3AyhR6V
nff2+Sr5uMNsdFE8+6GlI6c1Tq4PcNGjZm6hBAPT+XMs3YOnZ+2uH1b3Pz9NLuUhQ2OBQFk7ta5o
49FQeiJGEYnoyavglOT48/4rm59tWd1IxC6CN8RNp1IUvauYYGLJQPOUlS9dUltPi5kz7SvSS1zi
j1TJTeuCUwRXwaXfOnWnWO1pNherywL6hvF6hksS9CS2hh0EjZLBjJp8LytlCnPkDru81tMxzPTW
vmD/fu4V4lyMkb1tb4LHbRX/q/hiuMUuy4sEjtZwxiBr5mDm9TevT9ULh/nH74GzHB0bil6ELxxK
x1dCGZXjvk7fnyvZdIB9uyLeu0xk/lj82hprEtcB5OfQwU8uAw3G1aUjCJ5VkPoEQurNl472Tg+V
sat+GbNeRToZaN+aoUg0SJuV+pa1qvtcVW36nCamfstEZIU1ajkCLk+5UTcsJk+El8b4yCZNN1zq
pM48GsBImgJk8sgcTx+NyBkwwdTZgDIB8roJKZ2m7S68gG3LPt728GPg4Wibcw5ihpNXPaqe0BYG
LwyyibSL7ZqgdEOKiD48/9rruGRCBpjFhQV27t5szJbY20n/oCk7fu04nhEzbAACWuloHbzOacPF
iasL93bua9KRNKCkYI/gIDm5uUyDScakrwjy2sx1OtIin4OEGF/ACvIZid/Q21SPYqLesUUm6Rm+
LnZCN+RwqZecRc98U7qB9zgADBYznNvHt6wQAq29k50pHfPQ1YFZIXEue5cszPDzHfjM09W3TCOE
IzZL/tQLspv1zKuyFOmvNRPKiX19ZE+ozT+/ypmDhle4SStwiOW+TpHcxJMVZFEoY9XSEWGs2MWP
BTiMyFV4SwfQ/iwa1rLFBT2eg7rL+lAiD0KHgbkQU0jnJnfFfDfATg+whcIXB19Z9RbRPMzL3mvD
oeqHa+YAbdjhShZWkmnM57dw5p3QXXJ4ABlSZJzqGw34qrOWalmgC8fZ1T3kRUhWNwwO/zsHHsr5
uzMoeV1oKk9FIoh2pQWUy8ZukAyCLByOF6Ll9kGhVfySSzM56Gvafyn61T7A2GdkqdTe/ef3+1Gq
wq/AN4HoCTZ2TCtPPojWniHvuEDL81DY5NvAzr2zmsUEoiK7OVTc9G8/kyKM2526V/Qp+8IeZP4m
FLPYCCwa/+i8UDQVYuCmNA/9ihqUKNqp28cSu3cfesksURAxpc7LMoukulEFqy7/Ni/aJVvRM3vX
u5wA7xzEN/h2HH9SsdbRlGoLH1JjLN8YmbjP9IvkCYKfkIc6eV+xRkgvPMMzawZFrIqa0N2qgVPz
xrLBPtadOKGx5YACMmr5rRg7OHlEGF+o75FkfNydMSMGu8IdlQH8qT0wU+wirdIcI74Oqo5vaVIh
oTIFqpZ5CXNNlVvMoECKiM1CVRQvWbF6kZoY3ZeaLCO4BkaIKaxy2+MmzIeaVWoc1tqav6w2yhPm
ZiUE0XEjCEddPpVijxAY51LMyA3rOsEw5odeNNoPwnwNkqMhH0TKsOj3EsK8wjDAshEfxwwv0XyJ
CtcPrVEhvWEb+HXJqooasMWP23cMXXkcUm3KA230ynsUrvY/SlE7N03RWpCwY3W+L7oV1FC6nYZ/
e5cMoSl1hRjuoWv/jPbYNP5c6Q1c7cURPUxhpS2xzcvtl3GwtFcCCNp/DIDWblPKtsuT4rh1vNPZ
98fQqTrlephappvsZPm156ULgxhmx09bBoTpo+E3YshAUy8313DFemgKLEaixBz0wpdWAmclHZpr
Bn2Mc7tk6e5SOmkMfQQpx+GCozBfkztNHlYAKr96azcJLaU+JWAprqAJEnxNiBbKfliAtleD+Vl6
kqs+EdRLjGGIkz24iUU2slgEEeGemJb70V4Kg+BkCc+9LOwO67Ayyb/1cUW6N/Pt/ofdVPhp9Jxx
eeSQnJX5dlnzf/XqedVDCrz+Fu6Vq4Tl2qupX8U4HaIVG/Rsp5QmQwtWVwuR2mzJg3VnLKH3GCjA
UYQnvzahhlrmevKqeAnb1pVfcWeBt6UAmHThNOftobRip7qtZomDVcWI2S8AZH4z/lnXoBNqRlrr
YKd3cszsBuvNacSM31v0vYDlBZtuVuFXw251/5DIyRSk5NZunVbVWwyxR4+1OheCBG0hJfzLuSNJ
eJ6UBlaE2c4YiqqF+xuUaC6ue33p9cAqYfRYIz6fIbT02YpcZVrf2jkZ52BQiYIMM3BFeAg19bWf
1hlsXH2G+glfwQX8nCwveVCHxWARm7FBUveEbVPQ6gxEo0a1y1/sKOAKXVPUir9O26Mmw1cOeyVL
hirSCn1udyuqxy4aW9GRhYyszIXUTahQwMC6W3fkRpgt8x4SsK5WJgxM4oTWGqz8FB48C7ECnU0b
42aVijmQelks3/tei+W1pbfDGCiFXToRZplg93VctgRbGl6KtLmrTeaHfelZQZcmxbpf5Nzb6DZJ
irp3R+j0ew+Kdn5VVDHB7RCdHZ085cypD2srYQonfL7E2/Tu9Jw4TWJecUqZjp/12XTbQM9/lRxY
P1LA/T4qOCThdFVeR2wbNC0tIkJsNB68scBqK5v1BB1GlvzOBrV+mZqCnsURmtXcmmJio+zVkcWS
20zwIleaI3zwPo5/Yl48fCPvWHdhv0zOn44CjcmNFPjy1tBcbycta9Q36YLd+5oKNow4Ifbe4ETG
kINk/mjB1flKzIv+RHY28IQ6FdZGTK3rQHHLFc4GdtDX+Vj1RoT1YfJ7QV7/FYpFcwH9OgOWOEDt
SHhhV6l4I50UfNCkgPTEVAZS9rn6hHYJt10xaloDXcaKyTNXkvRxYk7+pqSGfa1IFM57z0y6qEVq
Qt2frNmFw+v9gD8u90FvkDriNwe4DgJ4fGQ2qTv2MyZX0EGE+XVhMAJLxFKtG5swd/aeyjR/TWNJ
2nwJnwtLYiIyPV/PJngoo2pUP6xUXf4x7YxU9GVJ6x+fFyhnKlfU8kzsmd3TFZ5iFxYqYqtawQ5Q
SbhBSXF+Xylq8fvzq3w8whHlbS/H4PjGA/CkCsqWBBbhzFUUZ/D17jbBvarLd59f5Mwg7Pgqp4+a
CeqUaVyl8n8++Ye3IPry5cIlLt3ICcLat87YJ9slcKz1y/AP/LvoDzRS/7nYZSHyqwslv/Hx/Rzf
01aR/QsYsN0ER4OBC2I7Fa3hELZBeWccsKIJjbDedXfevbZXnoqr+SrdYVC18/bNroy0qNlZEcoo
v75brtwI8s2FhX3uh7kmSM1mpshXd1IKaoMxgMtT4rToFiOnk+zChndJEHjmeUOYQlHHEvWAZ05e
aS6gKabYKwEjlP3BGix1Z+dz9Sja5lI61kdsecsGBcZDHolI9xRqLayazgtbHIjLDdSupIfn0Uq7
+TnFq31dyRkxDx4T4qVT+mS6svLkUsbI+yjgZK9g4O6RVIxemU/y5DNh1r44moSfrxVWXt9CZ4Hm
KQQzcLiXdi7CwnHl79iNnd7vFjH8tsjtLaO6Vawh2PKufyAB7B+lFOvGIteXmopxaJGKa+u6Lwl+
r9AeW8jfnK5Tur3ipcUB/1m389O2Q5zSjV17yd/6g5sXsxUGVpgFY3tp0QSdYMr1uiYjqkv0pkWB
mrUYCuOuJo/3d4+H7yNVdRsHstK9kfZ8aX/VguWO7WBrPivpbA9wxQzsmyfPVQ6WVoxPqQ367rsd
ZoFBjdTCjC585NvSPX0NW4QvmDvDa9JQjr85UMZunD3GGuU2dcXrb312jWoMOqcunoUcSbAGPvq1
Fmv2PQVS2C2F1KtLu9mZX4HwhIEOcSVAUqeOQ2OLH0+CoQxQyuQpN84I4hWUKA1TJAHUXkHhlcv3
eWgK28/adZ6iCrDqh1jr4ueFB/IRzKMdwjnGpAtjsH/qmShL3P4KuFyB1Q/5HWq9xtexT71JdHO+
zo3WOWhup0ZFnS3ErqfzV1YEIh+tUB6cOo7DCaOBiKHVckUnVew8Lbb30GLMu4EBX/j5j9124JOX
BxTOxoSGAkTm1EFBUyDaTRiTBbIwzM37YjjAZEG4uazli6mXlxCNM/sgw3JGUcQXW4zOT3YoOaKc
rOK5DGwgoHu4v+1VNyzz1ed3dQZYg4qIuR9IKu6IH/rStUsqL0+yMsiyEnAnngU0Gy2xFCiws7Im
kCaFXfuOPSBJK1VZL8TVZ8Nbsqr2hZ3/4xMmQJOuFLdXBsIElh5/HqtTzgvDQNSrozf+k2mNGwni
0b9Zq2Vcw/fMvl649+0RHr9SOmBG3e+sBPgUJ2dgF/eN0ddgyY70lD8kUk+v7NTaly6ntwZUNu9w
9e4QGpgyHHIrPxBmPoVGicTUVxalelxJHb/C7ghIZY3/zwj6yAf6yFH0Iy8ALyUa/m1+wFzydGbt
jTUkNgNUru5dEe/ovOHFkU+v/s3daU2jqvfsX7bR1jp97dA/Wogz/tpF1RehQldl+8K1k3u4VVMP
JdHAr2SFE8vG32wyM6Yk3Y+k7JMv5ro4P/vJVudoRM/8/5iEwOhm4+K1grewUR+/1yXvPT1JATFF
0cB0NeJUkXdLk8wD5iqO8TdbFPEkxin5Rs5ZDZe+V/Q7b+mb+ULRc+Z96/yUzTIcwwge7vEPEboq
8nnRwf5nz7oaEG6h5xrMG8YUl+hAZw4nwhM3ghukg+3I1Y+vpRvZgo4F00aB2/tOnd3hul7t8tly
iuxZw2Zm9CkWkj3HwegTpiMeSsNKboRmt1dO3csD7IL6vvAGzy+yrjkoSr5eafRdxQXk9OMeTII0
I6CNl7e1Eyf11pBCPB0wxQwWY1LfjFkMSBLV4abJsdZyhJKiz5XtgQw/85KH8JkPnpKI6sclmox9
7mRhjGps9Ct54KhpermwkeOOsysgDCUQAxvnIUXmAK88XwdYlU7n/ZS5nL56qhRqJOFku2jianGr
CHdMQ+gLmKeWcoFSaye9ZlzY/z/ux9hD0nKRe7Q5EJ3ux44g6CVlkwyMwi1vATCS0Nb65f/xNkBA
2f4sixjM0xPR6+jOR4m6yU0a+VxUDgpeJm6/ZyqWx0F0M31wLAa/pqi84M9zxr+DU43pKDYn2Htz
+BwvWRvafKlMbhHEHt5tFj5AN8LOZTCg5voLGSnH9KKJ5x2i5uWh9KDP+HlsdF8RQtj7rBLxl65Y
+0vQ8LmfRdwNywtCEuj+Kd0t0b2eKWaDbVLrIjic1AnrC7OOgSEKz4D3p+c/zd5CO1TpbMR9rb2M
hVrMZCq5ziHuqhZRXyIuUezPbCaWxmfDtITzgy/o+GkpM3SsIkXus+bj+lyBvURghNahcM1L7Ikz
l6IXwulyIz962vte8+9ebdEMDFViETQeXhY9zg+hnmXFXTPZl6qOd9/R4zMR4QCpLWzV72P/k30r
jUcRd6k5BHNbmssDasMq8pi55odUS9p7ROUjjpjku8hAaQZmO70do0MVnvFa5D3YDFk36UsH/Vjz
M3VMHw0iIWDNO/zH0HQUiYgwX7trx8mX1xXHBDAU6hwLeU+lOveuHAx7NzCC+g4FTnvFrEW8lqg8
v2mK9kv3WvXboEn1e2+La8ag5W6VXSGj1ZMZHij1quIj2ZkcLEPZJfsmd4S6i7PB+CI8oVqw9FUo
4kPHB4CMM0PBhIwJtxalhEkbKK1kfCmVKpX+3HrxH21CZ7kvSm/WdimzuNHf5q6G39SVh+pTJe8M
JL8u1kCW+gDUC2XuWxb3eoc+Kpl/TjaPz8+neZjhmcn11Vpm3BS2yPKav54pHMaD3cFumoz5b6mz
oexNyD8LAlW7fCFYzb7UjX6ctPARcRrjggOvCnOg42WLah6ZlwkSyvOMD4BYZmj23rRrC0u/wv8k
QRo5iwu72hlKDimBkCnZW/hUsAA7vmoxzeMqemopb0GVZ0Hrv7VQ2z+uuWoDys6OHQoEoYgrFHk1
MdgKmfiO+9Ko9C+96q07xADmIUHrRTOndt5tDVx3ofw8A/O9E+odPK4doiROXSzJi6qUEQw9cJD0
R47qFSE4ZB7VeAZ/zxJH3kOkd5GRMHEwqEkfGorA21La815LY2SEn5en72ZaJ58iJrckSmCaBq/i
9FUV7aTqWbppOqy80UIwNFmHLt/en3FqUUN1nWkNUTqrxtOCxOdlcZtMj1yt1hgConf4UXQNbjvo
/TMbfUyG74rXNvlLmsXL6o/kKVDbSk3cGYS3OJhX9YoSahYGHSioaT0ZcBqTFZrdmHlXqP0dO0DV
umSBm3nG72ydUImuRZE/9ERf/RJDPY67xLOXB9PUu+s6S1OTds4g42qAl32heDizjpmnwXqkZcH7
63QKizolwSymE4G5KmPYNcbwGxBWC/sqif2c8RpzrPQSL/HDRuwAAkM6oa7jjdBCHy/jWGTQlzEx
CfpSqQ6xk4trRH7UL1vw0+dv/2MByQWYFW4DSnpAtv2TaxkdgxQ2F6JSMaGK4lnpfjOq0F6yOM2/
K+ZIBWklmMRj1DY9I4EidwKs1bpL9VX73evaX7sfVb9ajPXF6pzlT2qL4QsjgfX1wi/9UBkB71IY
gWts5T0UxuNfStk/OKLt2sBQ4EPt12TopmCclsnamVq3ZHdajoVa2GptjR1Cv8YTbgnzxGCTug2c
DztH4pTB9Bd/zLOxeahka1ygqbxTVI8+Jof+jgZXJQoAL7QPwXmsQd6egWJ6MYsfMwjV38WqEFt5
lR6/OtaKMa8z2wsZpnn+Ta4qbknowKlxsDAi0D7R0PwFpVN26Ju0qUoOqmyhSk8jdokHvCip3b33
rmyANr7n/jA+ScwWCRj2NIUMMVFy20g3S0ZGrgK5c+8ZzWpeqFI/YtU4LaPWQNPu8iagyhy/DNMZ
amcqYBgJWZmkpGpMWgwS2NzUkSAspRsiZ5HRqOEWlo5MDjw0uIj3GC9fWBYf2tftl0AF49vcoOZT
yufA0WmUNSdNOlZvxKgavm6Jfaor10mWaHtdzjtoPAdnwQWzWysGaeWlTeJ9yz556/wGjjrY2LAK
Tt96zE7VCGf7DbqY7ify1zdzZN1+sxPTjX2RVARgOg6lg6MyYkrwl5lUjcQUeA6PG6EkFGm9HqY6
dq5Ekqp3nsnkMQYru+0na9xlddzhyDPP+7IDFVpi0DxGaCoeAEUZ2Y3Z7yD3JFHV9SjyxdDt3Boz
hUYdsCxvXP3G7fvh2+cP/uMmxY0C86Ip2Ehn78fcv6rFPEdeJTyLckZ48cuqzjIamtHZYfraPf33
S9HastBIrAWiOgFQsMEp+iFDgDGSPRlqpT2TS46IfMvFvABUvftlH79K+i7wlg225M7eT8t/3dbg
KEvSdTlHVr1iWNtNC5Uasreq12SEptkJKdk60zfGzg0Qfs/RXAKSTNpmNKbMi686nZqjMLe/q205
HtamRHo+Nd2rbqDZzFzepJto5mOVVsoDULf2mFAl45ydtVdmJ5PdXFRjiYVDrR4Me+kONcEixKo1
7SWyyAeEloHBdqht1RJ08NOWXFvw2QQYrILCWew/alqXdYhrk/JYxJBHdvAvpbJXiSAhkhMBzYqi
U+L2OZUtsy96CKTF+Al2ZkC3p13Nw5ikvlZbVhvOk6letZqLXLSbnLTCuaS0vulDeykC8sPxzC2Q
hgNuuX16tPfH25Dhsc+na4EjUC6ze22M54d2dKaDt+oFNFQPSGTNLm055y+KLQJiYchRpzUBWRxD
ZhKyBOV2Gh5p3OpQxMkYDthM/1iLeX0xB7e9wFz+WDZyq6R+UXBS3iKGPumYsgbDRGCzGvZD0VwR
f6BdtT1FPNpaqp64MJtg5R+0FAoGhstmhDOpKc4Yo9ajQs2VSwj/x/N4mzdxHrOIAN1OO1PDxLly
KvHhtDKu1THY35NCoV74IM/dN1++zRSNqMFtkHb8ism1KAqmVzDRl969FVmVfF30rgwQT6WHwRNW
GBeVed9gbva4mNAy8XKZb+1eih12T8vbf96K+B2M8tBEMtc7tdsf12yaMFOrAi0b8zc7rzC+Tuz4
u5p4VCafX+sjaL4xUf91sZPabEHOzzLjA028mFDFzL5GirMDR52wShE14HD2xhvGXsnFxaEq9xeu
vy2pk72QaosfYDA+8YhLOX70RllAQMUABqQmf8tdxXvNrS6NTNxggl5ywLRkEr8uDDkfZqYHT70H
NIahpPEiJmu5UFqdWW5sVhDcaVS2BXcCGym97LTaSOug0GCzJLZiXVmYh19abmeONVpIGOYmzevm
BXB8z465pnoqPfgOdIvEB7niSV/0HmNMWJC+rHHDyBuWa9RUVb1HQWlkhGzxs+ZJFakvjKLkL5hY
FBW1muRAslXZRZ+/mDOP4v0chPO/jVRO6QjpyL5UO7yXxAKjG3BCvbGLzjp8fpUzTwIAGwtmfN6J
0z49dZEDLY6ZEcyzuNgwrTIjaq7M4X2TUnuhiDt3Q1SSdDvm5sV/2oK6jceQ1WMrIXvAuzExsEvw
mqnX58/v6KOklUbufTxu2ptE6JTebSVZW3smVkCk3dfP2AhXua/GuWuHOayV64Uk+/yqmsUid2mz
pqixZTo5PqmBDlFZqXw2vDmr9zhvjWmkjC38uvV/mDuzHrmVc8v+lQu/81zOA3DtBzLnrHmWXoiS
VIczGRyC06/vRfm0cTJLXdXqpzZgA7JUxUwyGPEN+1s7cicywdLUTd8ewg5QWywo2n78yX91g1D6
IfNBfGy8G27FjQL4W8fgVjWjkXVb0zsCuPnMgesXT5zqJyVhBgiYEjtXnFdxpbtdQokz1aISkJza
rg3FLGrkubP2yev8ztkPsDkIZ4ogvCJUgc/bTo0FNyimeY5oZyBRUIC2EmOV12UBDTWvNACDszGv
3LJyLnUDm8WsKpUgjEzvmm6ispJqT2DceN3tiOjrk7T/V5+OMUS2eCgCBrXQs9MW314vZqCtBCna
hBIb3VB90+fI/kYUr7mXU6g69j4FfHAlUsOs1l1e9ne24dLbdHhVQjhQatH6rjMSJeEgX5R+g/j4
M8nFL9aFqxMeLi4eOAmcJx5VlFAzRDMRUL1o9lJnfHc2Pjvo35fGaS7h5uOyKcLdxrjqdE/E2cVD
HiqboFQb0P79CF9XzHKl4x2IojZJVg5EsKu0auOrCuRuvoIUH3+BuPs8a4qxQlolPtun36d9jEVg
0srYK2uHlPv0M0FbbVCymuCXKme4FWa3kOzq7E9Q0PPGHCa5QwuzVtLirSPJXpujJ7aDRpX54xfz
FwuFhpZJdOJQzebDnJ0XI2PcLSMVNZQVW0VDnedrOlrpTUNR+K6MZhjgZTFtI1XFo7NOnbVdiClQ
cKi7b9SaoXTEMGu7rua9lhn1J0Hj+0iVpjOkG8Z2Ua+Z1tkqBpDrWaLkmSkKiteurdxLKKzeMTdG
TJCYudsq+eB+0uD5xUV5ILSuljtCReksaphF2beWhNfUhjOnE/CsSxg+3bYeqymoQ6VcVTGwgE+e
w/JbT2MVenw6A8rLkIJOZH66HvrYznRIfXUwNkX7JWbN3FdIu15cMZhXMCKhY8CN815tOwZLS5lF
14LSApcFYybMn+y4i7+10ACuNCZ4F6WUM32Remk/f/w5f/ExyVNIuBAT0tw7fyJVLlulUwWac6fo
NrIy42PdgA8cytb4imT9M4edX9T3cORg1phYHecknsfpfalRWNSpxQXNHlk15wg+grlmzi+MEUUF
h7lefBNmOt1oSjQ+T+DyFmCRWbirUHTWOmEKQN9VBDvpuuFkOzRhmr3BjSygMKUj+OmP78/7I2g5
3ZCQkZGqBANn0X7OMB1iFYr1mqIOhLpRfBV1FDWkC4Lp9y+FRR1FXd5PlDZnd6a3iOBRpbKDgCha
A13E495Ne3+ChfvJt/rFK8HGycQQPU+egr1s438rKsQZhTxFpS/hVKBEUadX7rfZ0KOD4qkT1GCo
2Yi9jUb9DOHyi9uJbo3wbYmrbC5+emHwXzlwRBWgg9bU66jtvVVplpnvmX30Sbj4Xv3ngLPgQkvM
C/rAXm7C376kW6ZIeMzlWmFWuvB2x/itbBgmXCxPu87PRoOcGUL27G1GJ7SGtcOONO9EbkPfVxSg
mT4BJ66zdu0psHALWpF24cZRAEGv0fcRboaguSNZr71Ir8OVAmv1q7DBbfs92nkPRwXShE92ll88
OxrCdMnRGTMwfD4zJGoPmUQRiiAbrfgJZ0l5NDgQLiz8B++Qj6irYk7T24/X5vtznZjIQpVKuEr/
7Bys5kYU8oALgXaoq3AtKD76Rjqon8VgBo/kbNNccAuLNo4pM8xHTh/ZqMkhazWP4fJk0plRmOxb
e5yZ1WcaZfYTOrF7QJwWNWjTvFIqhl6R0kAQEYRNDIIo7n705vZTJc/7VYsZIR1vjRVFgeX8dVHw
zJhII5tAj12OzZSMY4ULg+UB1NBmL0jjAR1/jLWr6puR4WykJuvFEKnOc5igoRP5ZZs7X2O1yK6T
sJUgJmX+9PEjer+TmyjZ6EbRjsCU7rzX6OYmrSqhMliEUcNXO48Zh6hMczXZAGr9Lrfj7ccX/EUY
xuribKPihdbHcZZP9LcXjD0X2yEF89Kiqo01+CEbfDnCiRRI3Fci4ThltrhxMXo264OVj8OmaTFb
7EcjukPBah9pO38qblt2ydMlxBAX7weVGZuO1flbXyilBqJYB+kFgEowF+k63zMRp19iS8xvVUav
d+OZEshaJhguWfeVlPeUqIpqE4YuJgs5DRMmQEFbPitNZ/xAld2aK7edNTUYZ0TCGm2G75/cyvfR
I101dkRiZyosPMjTWznUiPDURlVg3PUYkvRtTitpssa9TkdybRqTybhiPG60xh6uas/prFWvCuMH
1GR78/Fneb/YLcNG4kHBGe0ddczTjyKg9hJfw6tsI/HKlLN29KTxnXmg7pNg8P2ewoXQlHKoIhRD
snp6ISV2koLlxYWaIQw0LUtpo9Kd+Pjr/OoqSz5iorSiafpuCF0P07juSHSyNmZR9KW7HisQ0R9f
5f1NY29kzTFPuGzJ5zOVel+B3rC1LEjiqgkWpeEGWGZ0aHXrx8dXev99KBjYtKm4NUv/4eyu1eTE
C50eE9isLI8UBinfD+2ncKZffCFCEdrvRAgE7O7yMf72bncYdhlaHTJnO2TeZSLG4S2i8rxqWiA0
A0vzOcq71GfWFl9iOSOo12S/AtBaB1HZ0NcEiHjMowR0fCadT4729x+O3EFDP00uQRZ4bvzFNq2F
YZ4zVGrWP8Is1yGjtcZd6mbd14/v9i/6ikuZg5OWdp7FG3r2YhoAG9lCMsXHcqvj9Zu1zE81vT0g
6kzXQzriSa9wZATISPVVaMftg2yb6Im4Vf9t1AQghWUSy0UmvMjkzp5JWlIaGGgHcdyhbDDVedzb
epTtPvnK79swHiwedFBLpZcpprOvHClyCrMag7FSb7JHj7PfT1xaMdCZ0aeYakr1Aap+1vXyh9FW
wwr2Tf/t4w/x/glTySd34j9Mm0O+O11+jCczx8gZySCDnWziicyQwoUE419/dld/cYwtbB68iAm5
sZI9H1TBnY89t8Cf0I0rHIOsKl/KaEneaUcsVEp4vrFl/ZlXs5P4FKvMy2kiHghC1UQYZeJBCw1Q
7Wl8zK2bOsHHN+JXnw43UiI98HoksOcT/nM+wD7DZRGplQs/sgfQttWZ6X3omLF/gPzeHFK1V5Mg
MhiwQe4SbUF537mly2zIRP6At8uMq+jHH+v9LkTpj5dCXzTaAIHOng/eFHmsdFkRtKPM0a2Zxd6G
2P27R9GiMmTShSIjGSNSqtNVoI1pp5KhlgEdKOWbyJPqSMN8pqlvqZ8U2N59IS5FD9RVmRLieueL
AGSpKUo0RIE3YFrYp0a0JUX/7boyNF+LiSTOeoYq+cPpFypDBZzmAO+dyQOxQ7wE3rtxndXHD2e5
LSchEOV2ClGUo3iDUZCevcBJ7sxjCBQxyN1yfKyzxHg0wMg+OUar7tE3235kq81uhOAO8m6ufv+p
URJePC95h1U+xOmXTMLeq0qb1ApJylJI9cqtcCUeMhVeTx9/03e5EM/LXUTDS8N/eYVPL4WIjKC/
BUSi6xX0rsIvdQ0Xq0NMaG50v+/0t9BeFk3/T3UaMKXTy7UAZjzRL6gZ1y73BafzurYHlw7nbK/0
LO23WS3NADc9sWGejRzJRfCg0fz1OTeTNTTv/u7jO0Bp//3T5kPRPkAmQBfq/IRyBw4et8bKhDIB
dheDhN0cUMlTEb+U+uAFVjZifTEWRnTNB8B7b0JO/po3lOh8tzLMH0mEBnEbW9HwOnfGdKSDLbc1
5BQ9KDRbR6dflBx7kbAmQAOtrGbEQd7M8LaeIyKdI03eIbqwO6ZVatW6t+1Omj6DDkjEqMNiGhZr
U/MQh2CYAzMaAFyE3QAw2WmGqTgQhCILLdmEAya/obyokYINdDfgdrMuOzNLVrFd6Vet4oUp3JG+
PUpAVpD7y9h9K+Kp39lizBU8mtIZhj86Vgaze7u5omnlpsCxB2wZvUYacYCQQHlNnWQ4ejHSPobu
E4M1GkUYdsvBUb5WwLafIyfUsfJrphfptMaPKK2Ur0JNrBLbdCuufKlnjsdZIJUr/HkV3N3NQQCe
JkqqL/oFQbQSfQePGEkWZOdMnWErobJJlf2sxsl2NKEibYvIjme/1gWUPbcSgAWwvlNXSqt7Xwts
EviCDKa9CCx3TV+VKh5cysTE2HUXm2xUGrhtZIDFiJuTzCfbXkurxiIrT2ego8A1eUwjFb90QwNa
fOmLqtBhtbcz/LQuHR9QCuvmyhnV5rEph6JcSa/DZwW1b+P4FeL3esWgEC0OS5sgSrWeowp/mIR8
mnFlfADiTj8qFXVXbnJWSYQEUYzV2sP6sTrMYpmuE3NZ0H+QHG5YK1DMX/VgYnufVWZbKzxM6eM1
jY0511gKiH9k0Pq4spfROEYz5/xHOrcjLzY4ft2PRgx5DK3ySj/yLMyREG/JJ+kVswqiuifSpPac
4Tg8DtUPCp1yvPdUWT9l0MFQEyLAYoWQiV7QEFC1oNNaVNwJQVSMFsvob9QOcndQxk6zDObTfkBD
GIvFcD0DWMH7FPtRODiP0ETSKjBiz70Sc9NfGNxNfp0TLV54Rm/O65mBSjx4a4ZbgypfvBVYiM6i
8svc9VRV1uhTGGYb/ngreH+EcVgSLrHxL/qZ87gtnMe0STOB2DgC96+qHceMh9T746u81zQv01lo
LHh34EaSg5xugrpwnESvFi+YIYFrO8bZfT7oNrYFCFLD2Mx3FAa8W200wEKXFmMuutLFAIiFdeNo
efo4yhozJUpy3oORezY97Gb45EO+PwEZUVigshSRLCqc+ulnNOmgzjInF9Fq5pCCZMESe2g1L+ok
MW/n0ZoeUQ3Bh8Ev0i8ove8/vknvHwXSO7J45jcYzaQmc3p9RFszUgoTKrEq3OuqzMf7tlW9T77l
+9iQ88jlrCVBsZew4uygp9CjF2qcFoEy0OUZ5k1oetg+qw9WZG2c0npCPHWRujN8K8xoJ5PWcR2p
103Rf1K4exeuQ+piboIRM5q05PNnB6OmC7cbdGa0QmMKv3m4Z6zKam6PtY0R1O/eWl4+inEusCuO
fu+srzKY9ZAThS8WD8LZCiMP/xSt89seDzQwlwSTDITZVwQHpw/Q9CbLaWmeYTHaZZvBjMyHJGmj
Tyogv7htRIKUP2hNofA7b/8Dq8fQQlClasI+w9SkmTf4wC24fueTPPb9gkTXv+AiUEcCmD0nQDYG
6gUH6/HAcglVssSZNqFAfvzxs3mvjeKJ0KNGr7KESVQFT2+btNq4TRP86j0IK9hKlVSvglnNZnct
Q6IinwHFAU8isig8xNJpeM6tVKRYTBmooENRy700ZN5/8qL84tuTptCchf5KZetnkv+3YkYb17kJ
Dx+ASlPaa0Yu3XWmwTX6+Nv/4ipUHN2Fy0FAilTn9Mtnet1i3UmV2Mk1DOc8OVypea59co9/sWbo
sFOCp3JGbnQuL7ZkZvdDqi0ANnCDQ9qKDRVmptMa57Mk733xY5m7p8RLr2ERmJ0LMkVYVRybNYmE
06s3Mb4yT+nsTY8yseKdjuXAjZRadhuFUQLWXLcxHcush7onUf741v7UTZ6mNHwSg02VDq7HIjnb
0GMBvjhMEMrY4MKSwxTO6kucye4bAsUEPRpj8K0/1EPpHgF9GU/aUKfxobeTKQ8KtzPvQ3ozj1pW
YQ9YZswH5Hol91PnjPE6h1b6nfFshKM69d1j7k2i3czzoP7IumE0wNhEVPBTURR/uuHQ6Ksqqqgl
JuZsP378Pd8/XJ0WC50W9IsLn/Tsa3apPQoNFVAAzDddUWo0wQ6m+gsjk+4nl3p/RC71XZPuJWMp
aCbPdAIW1WOGeUA/T4aR6IdZlXLt1GYb+SKtzKu6wMJ6XeHZ+kJVQiADH6z6M+L8+/QNdiaHBsqb
pd50/hnspp6gsWBCNGJR/VSmmJbgHN9uDKc2vupxNm7MsM6ePr7H7/MldgIGNniiFLnf6fawMWlZ
S6Bh3blFJxoOlvUMrsu6bMNk5iTNPps0fs/AWwZn2HZ4oHRJvPPGbkaSoeYmQxNZptX3hTtjpqzN
BXZodeRKYz9FRtTg52Yod7HuMRPoZiK/d7xSYl3W5fFNMoSkF5VQQHZpqLzuM+xYVkbHYAHyApi6
e/pN9feqLZu7eB4qWoBWnHzB2ckDfoqZyE3LbDN+kCXtK2yzFIlcXEnztYiqLLsYw8xWfGwja6ah
pMDypXaVQlvZJmqZFXmP+afiTG25S/GNNlGNtNB06wZD02TOppdGaZx4kV6GcjdGnJJ+yb712VjY
u1eDviAvPs1HpBLkGsvf/20PbyzMSzE6xMNsbtsLCmaSyQSMlk2GElYfr5B3LSTqFj9DCwZ8eA/P
O6wRU1WumvSSwraTX2Y6w3ELgKvZ4VdQ70hxI6YlHP0qrDLQfx9f+90hwrUXGw02AMqm/Pf0azLa
pURMTAJHoWNyQH1QB/yAsf95lf8+gSy0//of/vy9EpCdo7g7++O/rsVbed81b2/d5av4n+VH//NP
T3/wX5fJd3xGqz+783918kP8/r+uv3rtXk/+QJaedNOtfGumu7dW5t3PC0Rv1fIv/2//8r/efv6W
h0m8/fMfGE6U3fLboqQq//HXX+1//PMfPxsi//333//XX169Fvzcg+xfc/nuB95e2+6f/6A/6v1B
FLvU/5DAUUJjZQxvy18Rwv+BKoN9AyQ54+lLd7UkB4/5KesPmx2UpIvCEP/LhvqP/2or+fPvNPWP
5ZxGuQf5hpDA+Mf//mg3/z7e/v1UuBV//fmEjHH6DlCZVjkCkYf8lL8iFDnbs1vHRAIjrO5R5hAW
iknax9EIx3urkOYuka27L9ux2IIBqG703hAHE6MfBmDs+QbmT3+UWZYHeVxuI7gUgVvV2YWHn/eD
po3lhbNwp2xtjHZm087HRJtVLFStllmPeIf5rBU2vxXKkLng5KRRSmMnJl+laHm61lWm1208Uc17
K5PRKipozaWu+10dqJN8/FadvtF/XYkKL93MpYx8PsAoi9ZLByGte73IrXUcjy7ufn2yLS1RHGsv
ti8FyEWMKXNkBh9f+vSZ/bw0V8QWA4UvYdt5ryp2BVbywAvurcTr15iXRcc8NM2LyLI/S43eXWrJ
xsmI+I7UspkWOr2fKeumB2lcPygDDjjxZL8WdqwCfdesT57c2YDZknSiRCc14oVgNBR/g9NLOZAk
o4JhoIfMUZkfa/fIwjfu3F2UcIvqsdhgs+Jbxr4EXd2bz7Wq3GqVHqTpMQpfC+cNvlXQKO0uHroD
fi4qBGnQynt0XpsCWIiMH8GDBUbh7GjHH9MiOTZ9BIBVTyi+aTcfP6LTiGD5MsD6aKwBR4Fpw0I8
/TLuOMH91PPsQWOcdOOoWOCMIV2dYqKEghdoufn4eu9WI8ZSpGDEPDSkqcCd3TwxjE6WQi58QHJm
b+dwnHfUafLjANx0Tw3Ru80UJrD05tMVcnq6LN+UYA2qBG8evUIkuqff1EnT0aavZj5Ixx7WkSjD
VauHxSdv25kGdbkMFellCo85+8XmZvkYfzurNaFVKQpP/UGGWrVLceLbmZkyb+F6BJPm5itKBZg0
U8YDC2cn6zaMKQSa1GtSXKivhCyNtTJtdVm//uadx1oChYWOkoexWEQrpx9MjHUuqzSMHhMceYMw
7+S1A+EqCAUe1BrMzTXGfoB3Fef24wufcau5JYwacTb8TKOo1Z/P6Wgd8OnYtprHzlzD6mhXVkyV
2hnwwm6n58boH9IcO+aligjU2vjWLUGG0QD+NUMq7/ImHgwAvZP2WnVim0n9LdKMzifh/1bZ88p0
5+0o6vWo9p8s1rOhHz457Dwa4AReqFiXzP70nimL2Cua++mxtnR85uwtlbNV5XpXzP0emTMIrK4E
SGM+a/L/IUr5P8YeJ/HKh7HM/4dRChs0Ex/e39bQEgmdRCpHIq6++nuk8p8f+ne0omt/4FfFSMBy
cjJ/tIQd/w5WdPWPZSCP/xshFJqwRQP1V7BiGn+AHKLUxJnLimTg4T+xiqn9QQNtCVWWlJ+9Xfud
WIU36vQ4WqYDF/3AMiBiLVNj55WKPA3TYraZhdTpRt1R55kPimyjfd3Q+gnnNltV+Qrf79aPpkrd
9HqbPzmW+BFV+dd+Mg667F5TPArX1lTMazEJDNSqHgqJRbYyzo5xO/bw7qXn0fTQ29coQWE2gXKs
tAn7cNyGIQoP11GKAJ+W3NPg9Csan7Sa2uJW0YxkF7sTxvU1bREReVhkadd0DW4KFdZD31eDbyja
pUuR9b4ZDpWrHSiwR4dG4XBKujed3oeP54e8KnW4EkrZh0xIt47PiZnxF4307Tj8pnnDLrbrq3K0
Ltj3X9AQHcy+iI6RWRs4BMi9Jopo3XvZRaiTNUlb3GEQVWxJh+F+yzHfDXN+Nbe1vg+V/Og41YU7
JUdkE+Zlkli3cjLvyzkEDD4tvT2vqjY1cApGDfN1b6AkJra/oUmlHEx3DGQz7dJesbZUr8utlwKl
ztqtUzlaQP2q90Vk0DWynzo8ieeGsTqjlX7qiCDFdc+HjHGPp+xVLXB9Nqs7QFXrWopdUo/rZm72
yYhPgjD2rhpd9KqxdhN5MdAFHGvXDxeb94JiNSvhAcH24qjgPHotRR2cZJ8Y/a0WkTU4axvMc9E8
6qO+saZQ2XWzDnXVNKlxq8paaZsEwws+zBB9zxhhxsV0S/DmrLIy1vcxuKRV2s6MKYf3DPD4ZWHN
vplhyRLF2QpZO/wIs1mnMbzxwqH+IfNV7mZ73K93GMLuasu+THJ3g6XrFp/4ahUtHcgoa4+ijo6D
CGnDIdz3laZgA3eqF00TTpCVKIoV2O2Nhgqydd4YrG594u/13GfSRyCJEipxtmEqv/emdpF6WHlq
7YRHsu5gxJ5tcWnm32n5VtVp/TlzDH66x07WmF5zdfrKtO12AtK5mWR5MefFk9JmN4Utr2uNgm7b
P4QFwmYTXPlYrjW9mykddOs21baJSNHOpmJcDab7rc6L7ehm5sYudSVQNdBF6YCffSqrw+Cou1Dr
7sZe31NHvjAqFEZKNvj9tAjopEpXa+Fzsn6ewtK5wk8G9Zm07zTE1pjDVhdKUkfrsql3iKsFEply
Pc04ACV6iU0jXvYFHeA5xatGmNG9KLNNJCrmosPnYYK5SJbxDb9sX8zxd4SBT1NZ1gcjQsPam99n
x3ltKM9FOibFjDYS11oPOrLk79JO7q0m3I+OdmFY04VRJH421Ts9ksQbE6B3K9mmtnbdlGKLFewt
hqjgmCbvosrHR7rGt1Gtr5PKuMeE6VZoyl1Sslq8xl/Ul4Fnlw96amh+mGkbaB1bW6WnZObes4Gp
h4yNK7MNX+ea5T1jW9C41UqE3WUnxG6mlOarKT14Rd1paQ/ZGAJfKKofTpfvU/eHnke2T8B5P2jK
oQ2zpZVp0kptZE/3nk2CGicHrN3t8gGOrV2Y310HSh5TJ8VGjE/YKR0JZVZtUXCDG9aUXuoP/AHC
r3TWE/USXN2+sETDIM9gUTtmsU7r2vI1NpxaUQ6aLTehoefXdaqVe7uxNnYlH+q5fdSH4rpHch00
Y7ul61kHndoVq5BW0HbwDPROIn4ET7+ykySoMVtOUgNbmOqyJ31euX2yK44DLCH7CVPY2H0s3HGm
2lhthBZPK2UwbvukY/Of+0s17Onb6k9Z02w7oPmtO31nvDroTMAV3gTHIyGD27UdERq4haCDFWyN
yZWajrijm6UMjMQ+0ii7LCoIU9SnA2qIFQiqecUw6aPllDeOxcsmlwJWiGeOP4U0n/XW2FtSfkkc
687MZwQNxU4z7Bsmd55pZtDPNCwE1VHjMQvItsZcdzwZsFvm/kdbGWL703fHqNJbOfY07SOio9Zb
np/72BDbeWJouFJlBbZVvA5xYvhm0dxWNUnTTBOUAl7vO1P/PEj+hId75atllew6xfs2LNIzORqH
QS1v2ApG8CnDs51p830/xk+tWX6zI/vCK+vvk6nfREX+wna+b0J1n/feDP58USrKJ7WRO122ahDK
Zu9UgCYZB0TEPumbXEzS5+wYfMsuVb/GhTRQp/GAT8M3xVaweYh7zZ+Bf4q8u5x093vej+WqB/6y
9hrjqURjjTYj79ZhKq6BLHAy5U2gRd6fA8Mnm0mHC1LWGqCvMonWqWP3F1UdfWU0+QWbosNsFtsG
sbHP4Ya+xHO+k5UfKymuE5pl/gwzZIOtg/A9dgbficrnUkvrjR0lNwzKPBWq8ka8rvve0O3NSbvr
Jsx3G9vZhZ5zOzjZpVl1N4w7v1Yzh+qsOb7r9lfo2QMgaPAR2vGIEwp4/szZVYNmL8d5uy5Gb9cB
2I2l6IIFgO6nhv7DSfUbHucjG1dzkWVilxm4ZPShK8AgyTtnED0PSJ153dkyJiykKzm+jZF234Xo
BTqlP4KNu+LoyJCYo01iZHPdML5cdK3tL3yLRJlu8yYd/aF1641ZZTcMCR3wc79NKDSydKXmez0T
BbOJeUsyRN/aEe8UGK7Xhpl9b3X3EHth5GP2nV4S0WRsNtpi1eE8Dyb17m5uCx9+yLqKm8QXSXWX
iOJFMxBqpF6+6/syDRQvE+gXGnBa/VWxhF2dvNDz/DGv2j8Vz9iBNcixnTD+LKpxrTTuEdOHeV8I
BpfloG5BxvYrI8IhQOpSQzf8xYaoK2f8ROx6BVxr31nqVdZ527gb6pXXzaDotJntod0MKPOxRnGC
2Ov2FnRZsN3z18R2v2FRj1AuAnwpLfV6ctKtJ+YvVchzwteeXw0yVQzYQhjZa4s8+mhM4zFOOSN0
r78zdIGaKC22hnB11n3Lci6NiwSrAJykMQqA7cfECZZA27KOk8ArrFd6I/mqS4bLHLbeuret3s+M
dlu4NpKbfgAvMaePllvsmdv+Xve2FjRecllHo4ajBKo+8DA72yiHjYZYZ5Va2QOcqgvdCtMtG5lc
h70JfGdMmIGqqiSI1QY/IqzkNo0JYc9dpAsoEi/owkiMjtk1Uu0w9U0YxGH0jBZfbuapNraG1emr
Wu8x5yRh3MQWmmhkXAhSoRZnJsi+LnUDBERXpaO/AqISfsNZsGmn7op97tgb/QU7Oa1XPbnEbuYV
B5ZoSeZUf3BbnOsn4q0uXUkVupjSdcqmyGCFM2hnrVEIX9uTga265T52+nSHH8+XYZ4u9SK5wCzk
1ZFO5zdOx6exYBXqcZ35Vtcufj5JHdi1IBQI84kusYPZUeS8CUPaa/ZFTJGz6XrgxMXobCfN+rIW
oeq3/XCt6Ea6Anhx241szFqpXg1YjnSm0R3xfsFURFHui2HcTmN3LHTjEFVTRU/D+CHoch6dcbif
hfvYmhD8FffPYTY9ZHMWtBux6apwE9sCPRvSyQ29bV4txVnnBUc4MEcjGMpsXKZ781WrVmw60/Bl
wmdGmjReY2+4YPQqxAiIHb8T/SqxpxAHqfBumPqcIDlt2TLT12yUF5oGJYHqzLCa9eFqIbwHbZqi
G4xbzFWicpepJud3LW9ZfTEGlPqPrq4eQ6pD6SRB4hhr0RtdYE7zA1IJpv3z+qGkG7LOJuPY6tML
1kEkPwYuvM04PehhczGmxkMR2tduNt+1pTyyhlG8qcOD5uqUXTTrW+v1l52aDkGkjAcjzXeTNRzN
2NhjLwRpGQ45bhPWekoJqMxK3vQ5NOWmUN7wdbosSoLhWdDE71PvOqKvyMRRfxzKCm3mzIKc2nyl
Sgx7FexLaISFO0vxbnTh7bs2+jM0YrlFb7zOOVVSBZ+tkBmKQ10Mz5kbpds8Kr5KJVtbjbdXzNK9
UN2u2BZdJg9ZbF+ZHr0s7p7PXrShc3opamtH2LU2RPxSOSO7jirkXs2LbofcuN/Yiip3tfDo/6mx
tY8ttmuvwshmkh3RONsq7IVOXXdhPhxgZR9ma3wMa/M4GS3uSYn32mM5tWC6CXC9lnFz6yAkpkdl
3iqbZOEoagTtIMPRMnQeS7XtvMNoqNnGNdVkpQ7TS5sLndTYuolN6UvgA2tqL2ShWftsdMWFXiVP
bl0ek9AFd1QZzlpgT2cI3kazctzAGSAzQbDkpxrCwN7CQ6lsNqli44KWFj6OdvlNPyctIykhakEM
v24hA37T9Hg+mtI6FBaa0b5mS2QOcmtWUbNVUxkGoU066kTqlREXN3FsvXZWY/g4XF51ipn7dVNt
FKv2q+WKg3XrOIwCzO6VSRTrpx2/hFG4RqnXqlu9AEtKSPwi+mcxANDUQgtsk8zYvRFgrvXI6/od
dt51nCz5RVMgSJ2aH55IRKDM8b1dfp+M/Nk2mmLTgBEwia3JYBmtm0b8dDp87jdZNmtfYw2YvhuL
mAaGPrEQFSOYaKJeUMXGw0EQw2n8FEBIlbpLfN8xx8sejfxyhgwHs0xd2ZNCAuGtaw01X2EmK2Ff
TK7yksa3BYFgl2tHJqMAlyblw0zbnDQEqyqkkkYEkEMHPZn0P9xqPeN3GfaEIMY+NLsb0WfszcLX
AEXs4j67s3EYYjI1qKnf+LrTrIqp3QsxHcyqPjBEUvkKpXSGBGcYbPbRU/FL0/TmpYxwSKJCwKaI
qdbaVvSEE9287dQXVKfhXhfmpiTJnQtjb5ey8023fh4ZKkbzOj/Vjk0UM12G7N4hvlxVazSb0DGu
9cICr+tsvbLYj9VwW2b0n/UuuZqr6pi06iXw7MuOECy2y8e2ah4KYd2j7kFhoe3aOO4AwbY7OZt0
VaYHyggAGLz2hsE+jchEJwrCPWCd619CSPa+bOeGZFe+pOlV0daPTWGpqyhus51uTz+a2TzULakp
cARsp5Y0HlRXJqT0cUzXAoqPGGSJMcibISExLg89bR1/bhdJKO+xb4TJodMHXwm/G/rzwIbYz/Vt
0k/xto/yl2Nhe5eVKC77XjuoY05y3YfXcdPne8sND3A82c8mI7Ds+K116guhuoz1FFtFkE2rVn3h
4B5hOgoT2cnLXLzW8sYS/4u989iOG0nT9r3MHjowAbdFOiaTSYlGoqQNjixcwAU8rn4eUOpqZopD
jmY1/3+muxdV1UUFEQhEfPF+r/mCjHUJI0Qfo/XbtqIm0VN9BQubgxSr2by9blRHMyQsb0fMRzHE
zfO1PcZ3k+VqB33o2nVrT9m27ntqfVe/nlxxX2bee6sxi4D4JyoApYyLbF5Kyo20YLfOZhS4xXxN
9NVqNrth16nqAiXXdUUkKEFbF45q7hcp2raYvtip/cWtXXefjT+hWOxTkIS80N/WVTdf2ygeu1L7
TtZP/LBoe3Td+1jUc3nRtdn3MuQpvH7qr9G8kIkgnJXpxDhQ1zZGwijxN9KHF4tnsLF1s3wdTTFo
XeoFuKeI1VB22s4A58Pdgd+95EPxi8T8SUodEuqWQkeYbbgzRZkee9vTLu3GTQ9Oaxmb0QAGGAg4
WSOhngmdsu8ewdTfHeiT5uo/be3zDvj/n9gyHdWXcOWr5Me3uP1B6suP5KRz/vhzv6Bl/43zKCBZ
hDdozR4B5F/Qsv8GKw0YnnSQKEt0mjz/hpbdBVom94q0H5oFxiLe/t0GF+4bxAkYc7L70kWHVvk3
0PJjSNETMhiaIGSJSyMc/SOMZ/usi0XVQqdF1U5Qmblasxs2h7kVBB6m2RrHI9x4bWldxzYIbCtA
Ji3A4rVVTBmk6M65dzOLULpCdMe5bMQuQ7xottFXTSQfvTxC5G1zMcgd+63vZMM6g7WYttlVTyVG
BK56yBwyEpX0zH1WuXiapkvjmHvbsKnw5kO1noTIS6O8/Ek5XnFY9xDucxmuEq2b32sAFKBTpruv
SOoJ8A91giLyiq2HgPvtVDdoAZa47FSP32ka7nke7fAgMwZCQa002REDB5XZKOJdiHnLLSbFv20o
/urLuC9z/ndO9zhpufz3Pp7dj3IhXjTnf9T/wp7MIxPsv2aO7Lqk+EG78RcLZaGaPP7Ab+aIyxdD
5fbIZ0DETRv+X80YzbDf6Bx7KIMxNoZWtNC/fndjDPPN8oIxJ3Dx/tLRD//zybhvoFHzT/nPkoPD
l/U3n8wZMddevlWMo3QclR+dk87ZU2lLgKSVx0dNDerLKHsCfFRbuymRERk+tCT7iXcc5Ga55pwu
uo05mN28d6Ix/WF7XT7ts7YZivWTjecZPstpH/zXL8UtE/IMLVkXRt5pZxG/ulo3R3mcp6m6yxFK
fKqGSfrwzsLss4+K4b0/SP+jbRM5uHp56OWP/vcW8ntoEuaxkcLVBcbP6dAIFjSKtPRYVKmG6ryw
r2i+JwFFlf6unYz4698PB4EVP2B40Y573ne28hFRr0yPpK+lLvG3Kv9GtmTxOYSDs+5pQ3x/ebzT
1tuvx3s63lnP1uIWoDrGw7w5psGjV3ssw/UdCQTx5uWR2O//mEieCYW9DhkEOuXpRMaJqkog/qMm
i/aYahmpyQiyXnFwem6hLC1EDL9g8NDrPB1Ea1K/c5rkWHpdSSZoavxUhHFfTWkj92bY1l87ZHhr
JR3zlaejI/vn03kuRxaj8vWezWOTzXpB4X2MUMhbJPMJa2tlQ3TrzbZ3iwNZfxil369y+JO3oHzw
J/8HswsXkCWKSgma7umD+66aMltn/KzUNxUpprtoqF+jYT3zLcAIYY9BaEv6kbPM/hO2RmZ7LeGh
8THxEvtbp0/UbDQ4bsYsi49mpdpX2DZnrPLHxWnAz+QYZziIlmfjmXSf8CSKjmD35UGNlfYR//7k
Xalb4Y1nauMnf8qbHSmoFKMkmjRbhNvSXelDMW1fnt5nPhM+x+W/LGE8w89eb1/0bJthdMTOEAUX
wR9LA7ego1y+ZtrzzEhLGQV/AhEaUoTlM3oyx50iKzoP3aueSuOjNSbpXvmzs4Wlnl68/EzPTS+a
Ehu1A+QbpMZn05vX7GRuCr6pJ8Z9y1R+dqvM+yqMSUOzmjvyMPPXZeDip0+ScpxnX2ysdCocber5
9uVfZhnrbJslIYZnFhBgFhLk6WOPNprJyjGu+IbwO5tlJT5XMwhzrs/zcTKiHC2hzPe5FM0r0ppn
FrXAf5CC85FhvtTETyecMJbU7S3rqowy78KcfAKWZOwuwCL3XqN4zWzqjCXzuKgXpTVWo7B2KU7P
a1JfYM/om1cIwuh1k0UGfa2jpU1Ibu12H4feGq8U2bUPieYZF1pYWA8qbV+LN31mvzr5Lc6WGTt9
6HaVeUXhydkeTnH9k+CKekcvyw50eYU/itxNJdaDLalTr6y8Z44CAe/QhkLyaCZ3tks7RRYnw2xc
tWM+X2ataV8YfQRh7+Ul9cyXhBMudBPCSjhQYamcvNh2oMFVVcaVFuq0neze3LVxrq8ao2hfsQQw
nhsKJyUEU5RoeBwts/3ko3XpTGp2b9BiI8ts1ZO4rgIXyGMr2gQCAOdNdJx0yPCJOZn4mDXZlZ1q
NXH0dVh/mGI1HW1IHtejHNI4MG3lTa9MxnMfO5duc7G28WD1nFM+vQJTG2GPV0alpqsBe6WNUfjy
HXHHDj7Q8XiLOtDfNskc7ivSBbelGut9WLrV/uW38kyBibxhkf1T63JWPkoVn8yVH9PgqjXnIBN9
uAq9AlgnEd0GXMK/iV104zRpJL3jUd5w0YkvXGhvO9dRRRhUuje8UjA88zmiElychXDMt6guzzZB
a+yGEkrqoVel3GLe1R21TlRf3QEj5bDo+51yiRgzoBtujGrIN0ln9x9emZJlJZ5ufosJKh5KlLYW
gS1nWwK2QzNGCO5Bs5LmWBqze4WzY3htN0pbKzrSt34yJhcFUvLLxCmim6khx2tyvOmV7/KZdfw4
E1zLmQzcy84+zJQmcm904gADJ/0eOvjhRzhLGVnhrLt+ktVqysd2F7XQNqxaT376hurxqayLtRFb
8z7G7igoeqGuvWF6NQxvmYWzWYLOBPjAGUwFef6RGUhYmUDrYJtJpK38LrbX3TSJPUys7ljnX0JI
JhvqLVK0xp7Ygw5pPkV9d+CiEtdBafUTt7Z/7nXvfo39lGb/3Fo24c6Rssuv5UIKPv3uI9GOWjbp
h7bCgzYYRyHfgaOrddVShkRVJW/B/EkT75ovsQlg6+EXvQ/7crqJVRRbrxQpz61lfh3EBex6ABvn
JhfVgKQydq1DNGUR6zZ0jECN4KzdqNrNDB30XogJcLHX1BoTk2vN4tR5eUr+PMcBbkBwDEyBHnmg
pzPS0Yt0m8E86H3rbgkDhD1jYEiwbmsr+9RNjtoPRvMpg1b42tp9dnkwJmxdA/3E+bmaANPo6H0h
mjb1hdDaBCS3dLeuLXWa5b7x2Rg99cPPEc8GmZ5AAvLl3iW5JjCZnnWe++0re8ufc4Hn+2KOZC8+
adAsT+eC7N4xVHN6SMpy/qIrg6U6TxA3nCwSzcpqnQlaGNXehROqbv3ye/jziF2UgctusoifOQRP
x9bwGcwsPz14RpXetkM87QpSqL++PIjx7ChwuI1Fab2QOE9HsZO2Mus5PmA5W15PTtPvafPB41d9
wvO5YitZDjt6m0TCZKMIcrui3eLG1riWnUVjvhUiDQoPKtjLv9kzU88pg8iGGprz/1xeLEOsOcnX
ODA75sVYGvl1LvxkG460X7yCLKqppNWVdOErW/mpTnEp7pBuUMQu4CWuNtbZtGethaF+rl16DhmY
67H0FN4WZNkVcERKwrXlQHcnMIdofO0CeJbf9GtoTB25+KKsBiY6O0RaHPcFFhUH5drllVVr2FwO
CZSw1PjQlGSVQYCo6ZmPN1FfO4dhgL9la1Oz1bhZBJWmsneqzglwssP2zhX1W6DD+WY2bHXMaTis
yHf5pvTuntRl63KCsUv4eQ3rUzXaxuFvXykT/qzKiY/Dvs5ZCgVqt2XlPakSXJXILuncS7Nevg8J
TWo9x6G1U3btlxsLx7ybl1fMn0t5GRAbbDZOLmDnbpAsl9ychXNJZy/aRB28miyri9XLgzzzVHyV
iMNgOy/XnLPlocOtnLWUjirRgu96GHZhUBdRitSBnOSAcCzt7uUB/yxMXUo+H9sUlDfsx2cfaJEN
iqpDXbZTnax9UgU3MoZ2qtmF+cqjcVnilTw9n4GrqH4f/UTACHTrbAHWhezGVDobkzCXFsGqbZar
JtKLB71wJpquSW9XgRPm84NZsXMtvVdlbtzB6mETNqFzNAeD6tfWGutCH7LZvGiIr4hX81jH1IfO
lL418C/M12nhOXhu+SM9s2Yqv2MzlP/QRr2p7+C3kTUpOtRsq6aW1odBSRB5q/W/NdSRhODS4/1i
jALCSWs6CJcFFmHDZgg9+U1VnZtjRBp3QyCgC2GQj1c8F9+28bdmZ+bZSo25vfFJ1ItWZSPltzYy
5yvksAM2Fh6JPkFSNnA7uhG6fTBUMnvn6rOHPw+MlW98/OpnLefxkJVu3/PvDhm5vbKTP5uqGNt1
bJFmVKK9ueWuqv9sitG8sZJBRgGNaRe+BXKVr0VLlNpay+YZ02FuFl/S0jF7GCh6+FnkBrbguIhI
ax0OenooMpHddFLi8MaNTrsHDzBpCEhZ0atI0AAeoDmWw0qhcUyCxsRoDO8aHxqeFqZMXimToK26
cp92PvT8tNZ+KO5B71vsv+GyoBFiBVcTAVMuoVrGDokpYc4yVg9m1xX92jcgb23TmGCqTS1C2ujQ
cnycqluslegQKgK7KdTsnxbEpktCmpyPqkBLv7Y4KGkc5gU/UjYz8nY9obMYGG1EsCOp38Oh1MSc
4MUk/Qa+qeznleyJqHLhNXTcoYp4gH5GGAK2ThyF64YUwIumIZQmaEkO1NalleB8Ztd2+DZXvQX/
DYeAep1piflOkHQZ7xT2V5dtqohxRChQY5yFnaJHn1nx+9R6I6NN6ESkTvg+DdwDzHxZbjoC0Xax
lnnf7NRMkOUXLauqsZKxRzVY9B/4DDRctvSFZQrho2k3lhLT3mqs/BPCGhPHm6wOv3Y0snklBS6L
0BGmbN/BAfjApghzPiIl9R6rrfhj3NSj2mTNaH13Cs7ZwI5rcauwg3LXYQtRBY/niWwvliVRemFX
oDjoxsm+G3ShffJii+G7DGbzqnLkcJBeLe1dn3B1DlRLcuxF1MNXu8TbukyCOEsBC7Smm2d8udA+
ERmWTd8qJ2lqYpQkSjgjKuGRDxn0ssqdCUMhPz3x1xG8SkyPtJiAw4bF0x1EmpTJLkpdSnMfYlCx
G0qydOlg2wM3L1IqSw4weKqrCksUxKgQ3IixnNoQVllFcAzNsKz/SvyyqwdE78SfXRJHW16UJfWt
jwjwSgz6vMPwEHasJsgsZCGjk4+KSL6tKAZhGpa4lpGkHYsr/IVgGQ6FHdV7o7Sti1EhkghCW088
mBoajnH6WKhDWWUzFvi85H6TEBb/VThRWm2I8/GydaTgIkE6y7X2wiyr9lPoeWn71m2j4dYeTXLV
8Ukl39diIqOtRubGh6LKkgFOdFkLfMzwAFpLkbDRhENXZ2tVQ1RYy9kbSfKuPD2Hadh3GVWWXlpB
3zhuvuGo9L9VEzqfjUTc4W78ys29q2yC2gK3pxwIoZYGxf68sMpFWHlfo1rElEDg43DlM/My12vv
3kpF5kP2tnG1Quuv5TsjnE21oX3aN/CwItQHWAo0mLYlkFGkAhsIWsNLLQCzgh1a1l1BQVstBXaS
mN37pEP1Dp+ohC6KNRYVSWcU0/Wca/N7bGbYdqIeGjWmabPHfW7QfrqJsKfVIBw4IY49ajdpOHZh
4GDub6/SiY2XhmjTH7tJg/FQV2V541ioPAJ39IcH3eiHT7apzCMzZZtwkr30PS+gv41CV78zEwnZ
x8uLfsJirdBLgpBKkW48J/XrICTY3Q9GeLDF1owS987nNusGc0lDYdVYqXnlWPb8ye8ovSBqSaJV
rJ5s+iDDGFEPPLVE55TJQLO57705X0+CM2U1DKH13YY6fLTSIrVXE09YwWiDs0TCTPUA4GJ+7fVy
/Da6OaRGJ9by9y5X13ciVf4HzRHDdWTB7KJPXGjOpmh0B5kNOjucR+VIgImOw222hYGq38BsqSR0
Op8347sjXrOqEogTkqhBrUxBrr0jUhH5SdvK4SLxrfTBFL3xAzw2fCfpqE0BvCLntgyhn67qeXZp
sVFjX8mUN7cWakaXQllfeUE/zJySjmeH0XrW9frnoFMdXrDr9iV0DKNLN5UnMUmFuJ/lEHwqF7FD
p7LysrHt4aM/NI696ZPelbDtkvRjjc6lX/Ndde1+wppHHSYv1u6nhUmo1Tjy7SRRBPTPZz/10S4U
8n1m4B8ZxDVkRV3DQH3V5ZjsBemotwYCCJfA4dzLyUUQ3YTeQ9hg96k2wvEaJo1d27ZjZQetFqos
EHjBwcE2LULhyASOVtMsVIfnpu33KG0ziH0phYTBhvc2Geiv/LCdHlyIswZivK4X3eXYWma2grlP
arAwSu+tIn5GBroVsaVbWWV9FjjE1fDHirlc1YUFzSBLnf5ThrJ1P5hN0UOst5DZjD3KkkLmNRRt
08y+46nbTisS7sHlwMRI41TCgOJbWHl3y217TjHqs6S2qjo7/9Y4PfI2gfijOQ6TPcHLxDztoqhl
YwQ0WYXFhibtb/EcRteoTatvQ6KyGne1LrsRuat9LS0/6oFSCpGvG22x+Wg7H/THIJuVrMgYBxFS
htI7y2nH65xdnsYW9TqHQtcqOH1h1GgB9G/9Uuc2Ml+GoTtoDzl2dtlOD2O/24dDVdRBUSikT4Md
auJosP9QE0Jgat6hOex1wnJliUxF90N4RCMrqof8WkgLO/ZWNwOzZGkGcLNKI4g7EPRN7GPz58BE
ioO+TipANDpTG4mW9mMDWY/sFNcl10y5TvyQ6Mr57oQDDphFT9kDeJOY30VHIg8mP8oLkHkb8Jhs
5dz0oWuwA+ZRBil6ws4wsEjY5JDyqKOJ8hw4zr15qvSgdyODgsiz7I+xlsRXBOx5dwSETXcT4Ou9
ZcTC3mtF5XOKsuBdSFthRSpWC/0O0VlfHaCEKUKJLFB/MWXTD1sNbbVue8u+H5t4vMdkmdg2YEz2
PwzAXEQhegU1jRbOsPXzrg1va1tFA9uS3S4Vlh3Wq8GamySIGg8xHhRq30BvoWjxUytAZ0+L5ewp
VX/jDlP8OddqeGb+LI74LjebypBtvKOWZ08Z0BukAZJl8xqTpB4XudrPdOjjlv7ZLEGM12RteyPi
u9w+2l3f38+2ntf7VBdNdYGgIL+RdulC7FyyyNKpwgIxCh0ggNCMRRGIUoQ/wljPbysow5tKFDXE
nMiDXKMP5BeuLLbPAf6kljsrkl8gaqaaW/nbOW+1eCtIljQ2pg7RkxK3838aDRI/FPo4ka/zsuf1
TX7eGkc/E2a0rXziAFcFnk/OGsIx2SLTHNp3hezl+yrmp7DjHFEt91rTfurjVFNYmrp1fvDCaJph
RSSTsQIWtb+nU5l+aZMxTwiM4p2sHcNrvlLoYvToN0NUbNupBfLpK4t3Iokh7xA0CPdjqSXAARq+
lvd6nduUaag2mo3dA0RvdAcGf5UMxpEe8vx59MbsA8mV1qUnuxhypDlMt6gfvX4FcajbOWPmQgCt
ZiRD/tQjPgMwDS9ICLjvy9TfWcgQjVWSUWztLGVqm4LSyzqOTM5N56ZJelEltnfFeUtcXJDoLsV1
3LQdtVDa5yOcJrsvbxcjy/tCRLoTcJHGIdQbsvZrDnfp00SW8W3OopLrwm9TglHGDntOvy5a54Lt
NaT0mwwdmzdY6Ad6MaFGtjR8dtpPFfLLdBTjdyVblkMsmvGIW2yFrKRp+k/Wkh+KRikyv48YXrGi
EQ1uqxplzMq32vAOu9NSrqJmyq5pS8uf7pzqw9p3Z/GxNO2eyLvESE0yqsvCvkzScRzWWjWNw4Vy
M8/gYlWTgEgAmK9WwNlZH2hyrIER/bF11hbxD2KldbaTw8jQpyuYbR0rqg/tbItZHXrEWYZQNes0
+gGY5RIMj61Uu5atNn50VNqJnTvo4U9pIJe0MT4E82I/+rS0I67jdpqSPW9h2LC/F9EmNs3xg6/4
tBvZ5G+9SHZwcGYRD1eWp8m7MOLuS1uElJq15ffOcc4IHkIh4TUDNO1JrPA7i77GCiunlahK01nj
WwLTDNUYNlC+IbuVNxQpqmMz1951piDsqo64z6y53gw/ib/Wuq1CyClh5MfDCEbhu58K/slxGurm
tuml8U6GTA0uyhliUswb/Y8wL5EmVU3rwudFIyODyiEoeDVHnYaWmbgijmq63tvB0vOfmVto93Xq
LWbonZtIyiXf50+yJSIvA9cSpFFYt44ry5KzXLkptdomHwbUjlpuF5coGGW8VXZHxZyXydRwR3LV
UvMJymwMGe0lzNuGa4fkh+CVtov9z8LET2ED6lJlHCta+TZSEVpiVXvJEKS6qq5n9ngk4x3GSqty
JIO1VVZtrWQ7euV2KFPvHi64IrM6NqP3j1DNX7Hp/ntUuf/XPAxs2iL/tFX+sC9Y8eZU2Tzlyy0/
8IsuJ8QbrE+AM4k0NPHdXzowv/iliz8BVkrmwpRa6J1PfZYM443lLDb4yCCA4C0fqOo3wVSDSQc6
C0GIzRdSqgWh6y+Mlh4d2f4NekHSA6AEzCNiweT3c/yzDpCqG1NPMtCsKuoUAl3Nni64FM235O3q
t1aLvSpXOdvYCKPuv+mFniEOrvI7s2jsdpMqfd6XRfFJyoIaBMEgQdRkzuBxoxdxuYpnh2icAUfm
d2GDipxvInaPBRU/kcke1VdgN1F3jzFd+EEaw1L4WK38XKkivyoLxTFTCI1A7lzNFD9iPBKd6c/r
FHjsKDGb/jjFrrjrZCZcyoNyneTxe3xfywc0t6ST6DjfwqhHN07Zlo5gXosfpjeED0RtFt9GXzna
KzDio2Xa6YRi3A1HCtc9nCqAKU6B39gHwpI5SE9CuX4/l526xEkWBn6dDd5NOTXG9zZDKODMYm5W
A7aLOrfqpr7lLpY9TJnPBgbGdjGHbWUEeZg71BVzcqdM7J7XZSH6S8I7OdSyARPnJwv3mX7gKby7
LAZ4SlgeQ8KkASfO0VapzZGsJyAOqxirzeDb4Q7HhxEJBiBCnSb6+uXxHrs4Z5N1MuDyCz1Bya1Q
j2N3kHaQA0tpqf42B1E2kNdYnbiZREatC+YqRu9S76wt6MsVm+m1lCZheNODGfabxlMrFDKvNONO
wfRfE0H/EeeQJb4AvsHp72WqBomvgXacnL1F6ZaXlxre8q94CT87CrQdeCTMwh9xHJUGpOu6FUsF
lf4Vyge1qa3uNULWY8/mbJJpBxBPQDAc1NtzQx7LyuZEpNhP0yxEuJWUQsP9ApnOwQTR/RB38HmI
96qnB91R+geF6QjMMEdHwmdEA/QpsXe7Hr8FKypxGsFkJF77eZ79MEy5CDbn0NjM3ejEG0o8aLWZ
8KoLF9eLuOovKtPv3uI3RIhhKqPqrpdN8bGuYudysnPVrOxQbiJctnFiLLqh4U7QFA2ZeXI/6r0p
AyMd5z23CSf+1ej9v+PqPzD/ffIZ/nFe3ZX5F5nAFPg3v/vxJ34dWLbxBj8UGuC42FAA01H658DS
33DqYOvp0l+iXWdylP2L3W3wf9ExgfhN/wnr2qfn1RsSN5deIv7gaLZs768UEaefjGvBVTDg2UFn
xrLQgw90+mE6JbgLPEsTdtKkviaLU1Ta6Sgyn8zIqxvh72GshQ7F54/Q42wYM0mbMJwRgzoyba40
Dy8f7rEGpxpKK0g+7t3L45mPzJSnHymNT5/ILtvATgyD8/NQ3TBrZ7orGBHQHkz1dh020zwCDBc5
1+U4n7RW46Zcd1EdDHnFncNrqriGTuOGlJqi9cs6XhW5094oEtC9S0GPyN8iUp9Kb5d5sW+aq9Yv
MlRpJNmFWr9KknQgXC3x/KhN1hr6Vz1cjziU4AiSRVKh/RgqrevxqeDugR4Sk1VwDXxyOnzxwUnt
xB0wq8um4RtK674P6QlYGBSscuBsuMK9jhOjuZZ+ObnzavD83LE+cbJPybCuE11EqMl0XQMftRsA
npqNhlYf7jx+4uX+xVhISPlg9oUVfrSnoZ0/uLWBbHY1NoalX7Qq4d/jGss1ASlmvbBo2x7ID21q
ZoGigPERMquvbVcb8S6gAnDQdpclvihzYNsjxw6SEzfbyxkN11pXFkYxm3iUeJURDpHbox3wu/jm
ytOExZ1HxAoNCs0N00sQHUpN3eCZpMeXeddrfiAzHhyT/aRU+SG3DfkgcGRw9hHIYLKhFWeU1TqH
UhZ9pq2YN3ssticSMVw6t+XPCUXpPer/wtxrKT4jQT2CXq/Rvsc4+9gG8SZFTRDLvTCaioiZIkK8
gM9Ekn4vo9RR6Pc0V98x55oRQJrx1JYqyY+/DRkhlD8wqQfNI8pqNkb6YCBvBygtmN4ShkofmxNf
9N7XTBhmtq2SqQWNMPFWgWpSlPWgrRxZjv4V6IWLGNbNwvDAbbcH6Jg1rbx0uA0BQuZ6XxXGchfT
5BVSuK67qyKlO0eJ0V19i6CaATONyu1aDvpgHUrKkGzV2AkpJ4trSwYohFuItcm9xnIQv5pDD6qG
djLBNaLxQwfRXFQ7b8corjqiOvKiKg9aWvocFQmIUbs3pkxXNhlSYOObccBkSm0ERrPYC8gUO5Q0
IKvSLbcRXi/A4b1l4keiMsg3t3nWONmqVZ7I4GPx2t4BhZr+tYpaLlVa6WX5nZbgp3ENt9wy7oVq
HFodpldoey2c84uJ5nJgO5VPDEybYQ/Ui2ThywyhLK6T3suTY5+AqTHpk13tayDzqD72kRi6DKmn
7sN4d4dElzvPm6tpD6RiOZep087TNXhujCuEWznGGnNgVNn4H8wzYMVc19ik7xLVJO5FZVSO+uTX
TTNAlNBDGqmzr4r+TsFfkTEFfl1yc46pmT+Xdpq3B63PkGCmEaRudp/ZCNtw3Vl6DRI/OalJ0E7c
kUQ/3w79aDd0zppujMr+TuRCU9UdhGMr8a/Zs0oQXTWYXPdv8CBHM3CoK3dS5O22dWtjU2XGobpH
TS606a4uR1Hhz2JBpXFKVTlcYEEf003tEByD7Z7P1WTjpg6yV7SS/QB6Fzsx5FRYjLRAS7ZS/y08
rqRHcs/iWyDJ3HebVZPp0RhgA1ZF21nVodq53On1t76baunljLO0tqFr6IVrBfqvXYwtRe9apRo6
TB21PAoSNg7jvZZptQ3rKHExp/HcUMD0rdSh4HoB7i14HYGrgYKsJBLCyVvj1A6It6KtXfjiorTS
qCeaiUoSMehcRkKlnyKtn5R/6Ccfke6NX3jEQR4jIm5jvCgIe4hfs5I+PS6hNXlQQjnEqf5oOUAW
PDsuzaSD0YNu1ersSG1oQZZTIJ05eXj5/Hp2HDhziBR17pFioVY8qeM59/VWCixYSlJZ8FWXVX+X
lngJvTzM+f3k8ZCEWoe6kNMSM9bTYQD5AKdChtFqzXf2cz4ear3eN8pWVyIWvbl9ebxTFtYyfTAR
TUMQXmSjxzl3tIU9HI0osZm+eewIyiu6PJjtslwXAOrY+EZ0GsWkf0E5ObxyFVtm7KQewMMXXiZ0
Z4vZI+Xm9FFLfeodKuk4wI14STzJyJ6r8Q7UdTWsX37K54YCSXDpzWOk+IdlMIe1nfc2Q81Z6bwd
jCy+6gAbgyhqXsnm+HM+l4cxsep0qQY9+2yZwHaVjWshLxXDvHTcx4oHCnP7owAXxqV58bCb0vii
JwXw16v8v3L/P1C+PHnff5T7xy/fv0Rfmm9f1NOK//GHflf8Okpn0kX5nnS64+gm/6n4rTd4x7Iy
OPUXLGPRDv7LChyIin8XTBPWJHrLR63nvyAqE59wICWEfjAblryev1J0nu8tFpUxEuwl/xRZGMjX
6ZfgVWHnGXEMKzNG0j97ZQnO1L6m0FxgmaffG3/+AtAuEnCSiXnms1EEQfUj7blVb9eHWK/f913/
0NnjBqYG9YFoplc+8PPHYiguRb5gvlG98qmfDjhaOTB6NOJ+xDXsbTxV4c6ny/jKjvnHKCb4As8E
ZY+3i1DgdJQ0i/KBskvB9ombNRIOcycaS7x7sqKeuS6df9eQq+Brwtz2fFS+xJecjQJZSBpA0/QY
R7Gal35rHm0zkVwlXnM/puk3zD3VK492fhhwAQWiYuVyFSVUWSyP/uTMwUUxakniwqXKqaO10WEE
7la4ONmaOV2VulutX37I821SmAT+oE2EnGrqHqjN6XjuNOmh52AhplnuR5ezYc1wJSl/WfvKSH++
NByl4Vx7iIws4m/OniycVGniX03qoB2PlxR+1JgV3p0vP89zozzuxhxvcCzPxYl9NnDN8DBdjGv8
qi7pRoYai7FuxlcG+uPTWm60fMPQTQwTaPFspaeCamfG6Wwll0ZQR+zIziduduWFibWFSmb+bNo2
v3j56Z55W1yfHu3ooXQ+IhJPV4eOeADslU5Ra4pi44hixHBMaNsCL6RXFuL5RJJS8OjqT/mD1R9S
69OFQenldBh1WbiLYuBUlh5+OEOYvzLK2XJn8bFDsdZRyVOVgM+ejlLDRoh8qKnQz6vsIougRpvy
Kn/Iw7+UjJPlaRlLEBLXbZoD2Oyf7YU2UuBqHCu50rvpQPyfzfvy3UtcnMp9ncXylVf1zJMRd7Lg
zrwwpCjL/D75kMlYwcCnM2jWOQ4Ne90r8I3oSbI69JLkSmzHpFu8Mptn74xHxLeDhWFANKCHIs7W
pFU4KVnXScZ1y9H2kIzustpu/vrBTCYQwIpJxIz9/JXFRlQ3Ntz1FW5szZ4rvyC+sk03cVjj+zLg
ef7ymn/uoZaNCdk9nHOO5tOJFN6y3edauuJzT7ZcFbEj8iPtf/BU6KcXRBknCHQyp6MUlkymCtoc
sHspg7DQ5LpU5rQq27xZ6W1mbP76qTjBllKYVKGl4DgdD9ZvN/Mx03YP83TFpgklxsAa6W9HWSxL
OCdxrudUBqU8WYT+VMrenrj+11XiwFdBBJV1zd8FBi9fFmuNUoPkCpANoNTTUVrHbxKYNgRwqxgD
W/5y00QzuJVlha880NkG+DgUZgULeAP0Cq/rbCgTn8F5cOVqnLGR5QpPMCMO3XBVpxRw+J9+5zPH
/3NDMXNLd5NH1M8/4G7uO1nNi97Qie6rLhwPPfTJoJqG7q/XguUC/hL5iU7MM86rtPA/2TuP7bhx
rl3fy5mzF3OYVlCVKMmyJcuyPeFy227mCOarPw/dX3eroFDLHP9TaxlEIWwAe79B1dq4C6OckzF0
0k1vd8p2jEtnxQ8iqlucH1RvfxVtn0YkfF2doRU4kduJIm5mtE61dzpU1/AdIu3VGfLt813LDXc5
5jno8U6QPTIG4EsuGbWcaiVK5OwuRILL0D3DR3nhK2gSQVheaJGICkm7NlfUwZrYotuhISGGavgX
c8p+zxfw1/Im8cVbeeGiUtOSzqi4h/+AqjYunV2R7fEiNW/Dth7OlM1eWG4nX9FPV7aO3mtc5E2O
mPoQHd0qA3bX1uB39eFcXv75p0yEoUCxQOtnxcl8UmtQxqnu0We1ACmmaF9apH50K3nM3O6cc88L
30IvHxkDFQ9hvPGkGfLSNNUHE3iRayXmVeo4xXU7hPE3XhHmmdjwfDGYaNFwNpEb4tIilzeGQFdQ
C+VTGGosUpMTkoQ6EMG3w8Lzc51KMvgC/DjhsD2zICkSKrtw1YCUhlXY3+hdWX7OEClor3pAgHjE
6Qri87/7TZ4fSCEsUhck/+SEF7CqXB/KMNtWJFZAKqgNTBPL2mUI/mxNgwTD29/Tlll58m4kzFL3
IlNkUyZeQBRynmYpfEVlDXar8wKxdYzKCw+2V+EN13qT+0kZbC9doGwd8th9KyZkRSv1iy4q8Rmc
RW9v0ckPdRRXdKCkthd1tyZOz7jf2emYHcwqRmazM+Gbz6YRnsnHPF9yQD+4Ji+PXsSXVKnzTSJC
vFU4joY5rwqgyb2oeA7MwZ8KtlvnrJRe+hq1QEqIy6uGITvdt6LJwKEBx9wOidNOFznaKA+NWbfN
tqEaGf326iPpaKoulEYUe7jNnn5ND+Ik7nLOP9PAgWc0IxvGX58h0a8YVgn3xxjPRfKlSWktoAiP
LgTBglqnY5x+Ug1tCHApXA/hqUij2j+nWc23Ka59cQ1iyzSH+7dX3/MdxjWCgxc+uct17JnZF7BU
odQch/EwYmsYGo/eiDZzFgfbNEOP9O2vvTB/DCY5IlRosCVcBPGenopG1iPj2JgIgvJKQUGqFdVH
ZarTy8SMjTPU45e+tRyHJHrJk/C6P/2WW4EbnoYMMLsrxn1kl8pV3oeJvxjH79/+WS/M2mL5w+j9
UlySfQiLqADkHIhiO3tVtavr1HnQXaHuS/yf9zwekz12ReGZM+z5zOFaDgeO6IEcEXvv9PfBYgBf
RaFnO9hC3Ig5D/aWOmiXXpwgfY6I0Zm4+PxHuiRdubQvT2LzWSFA0ZWwjlyuaN0wDge3L2NUzDFu
uc6iQfUTyM3vFb22dm8P7fNZRMdK1U1EjiikP+PzC3NCwBfkPWWhOTvM9cI6S+scOCK0vLc/5TJg
p3uP+IUjnLlosugALE8HFKyyg9YbBiyJXnQ9OHwzf197DR44YN2LT9mcZvcprsXRJp66rjwTbJ4P
L753rFec1X7lh5a/P3nCZpSxzLjCAMhpmvamzJCahaIUpRtvHpJ3ipUlHwMrt87d8Z+d41Rb8DfC
9Z1AR/ZNit8pYNmpKBNOOy/3LkeQtmicUyV8e2hf+goxFCgUdPwFyXj64+Z+1ie1jnmfQ3/fOWnT
bD3cXM+s0GdrZVEFBKTECFKr4iw9/Urbjk2vWdwdtQZp1eVCBhWuZboi3N7f/kEvfopsCm9FAI+/
wC8nszV3TZtbKNzq+WAfYdGOO1Od8r0Kuebw9qdeGDsuWIBeiGWEF2v5+5OFkWux68TQM7aIfy1s
CaLNLmiy8jezyZRvGD2kBZflT7ZLvoZAvumSvJh5GImhgnMSRNlX21W6aff273m20H99B/g/WkFo
4MiPFQTTG2GFKD55tR7j4+EGvQLiHNh5OmrISpeKLi5afarObLAXx3GxEqOy7iwCeafjmBqJldgF
dtHwmWrAf0ryzUoNhKHf/nkvfwa8H48+02Mhnn4mRO2icewh3/IA6SwSvDE+IQrpsDPLQlIzYvQY
R3Th2EwOwhPgbk8/lDppWcJCRWS5gb+JyHUUfoR1DGXUyi7Rh4PLQPKmQE7exSzpgEPyudrmSz/1
SQ9k6RcvG4XT2RoPwk6x+y3eRsVjZ87W3e+P6NPPSHEZLcNxEmyuLbJg403uIfYMk+VMSurl37KE
Dxj8y+3/dDT1vp+VIVjuWpArmgs8uVBVzxVPPTNtL61+kg/YvKF/ZpJXOf1O0cQ4XNX6YuwFTXIw
R+1OmPpAVoobn7kpnTq4hn957pHx4s9DloagyG2PXPPpZ6fOKj18GFgsSwkaUHUyP2ZhZ3x4e6pe
Cotg3ngYLfhffE9PP2P3k0LGkvtdoFreBrFL82JyWtIs5mAE028fKmxm6tpA37kFmbKcF8AEzEUs
fpNSDS34iKhCcSXGIue3d/RSvicDBq6O/PmzF7xRoQdVErAMZAySjejN8GCNTXzmPvd87Hi52ziA
EhPRD5JfUs6CZtFNeISGwGgomcW06yOItq5W5md+0bKYT246JlcqndVH7ZDrv2mcTlM2IX9k85Tc
RsgfXiSlUh8qWH23kY0DKWo84kx+SlJlIlY5vN5RMkGDjic1MIjTDyZWZU260o142urY7VUZHLhv
GS/jhreV17QfYO2qj4UDBhFqo5Ppn5xk6pxL7gxKdf+ba9QBokA6BhUSYJnkzE770hR6ElVlP25T
p8Z+wkGzXiWZ8SEygCS+/SmWiTTSWNkvSEVitMW5Cgnw9GNBXRSAoRCez8pCIVJOhdJ7t0i8meJz
YVRqggWdO9Rw8mdTMYNhy8t3nm+bPnLbg8nRkWwz0rAf63RM42/Y8TQFDIWwhMk0l9a7jJfWnUVN
0fLTUR3FpqkGbdxPjWN8NpO0xfK6ziEI1wATweyhZxc+KJxPv6oj8YB1Xj9z3TP2emv2LVzPsYSY
AJS+UJkab0Qt/x1YxKq5C7zRbLFF6kCz4yWVeUeRR+aIEVWSxkgAeFlnQ8RnswKzUmcndhHxK7H/
ShD2dyrjz0CfcmfaggfLiw9ThGkvGgKhomVio7lNTgYOvpfIr+C7sgi6VrOTBkBTaBg3Ik4C+KWz
LaDY1wZ86Ou8T+GA7T2vyUfs+CyrgMmAYm+X/BgtJRh9NHhREQekOI3fDTfMMRObo3oAjl/gZa1B
9RjGeFeoc548GqMRmfVmjKfAvnP60vMwBmsK633ZDZ5zUaOuKrBiAkq8bdGD1PZ2BWSHn24WRrQb
Si+pD+bU2d67dM4mbzsIbLiug7SuMeaZm0x5UMJcF1dB38IcdCeAZzst1lS/DxcxCGWc5+JnrQfT
zwQTAP3a6AZ8Ht0IZK5fO5C/bmwzTZpLqFtDdxmGZdDsxeAV9mesmPHnIgzaeJyEQfjD5FIFshQO
l6luktrEFc8YxjAOdyQDo/gRjG4ALIegXG5602ym78VkUM3fGBoKp1/ZbSnGnLVVBPdBkLm2r1mV
61yIFH/JLzlGA8kednZjfxubSM2KTV/Bl0nQMtHRr0oL4SIGEDWjehdGLahc4H3Cvi1SvR7QXapV
fs9QeH81SFL9RFhFDKhn4KByNDo1yrgQVlBehxSg3EVYqsqt4EGabioxxONHo2sCbZsJ08p3+tRb
zU+049UvBk42Dng0+gbwv4LYP6MVXV80KHVfY/KZAynVEcF4bJBcxBatiTuUcoPBafGe4vKy0Zo0
/qw3OvrysEYscyOsoMOpkCRjB988LMN9ZhYqa3tOHWMXqaPxXeuR495YHkhAdE9CINeFN2LkkFhl
civaRPuu6gIfzLKfZuMwpAqk5QCo3qWlQlCA3eioUBtMUZrbVBSWvcuzqrYuikrFqTgxcK1xkZro
DzMPcRij2gyZPYBk+sXBzsi8CbFaKWDn23aEr30A7wWFlKncoyygfawGuKu70gTm7i8Aa17OUVql
vhtM6nRhDkX4fSh5pux1LJ9gfmt2i2xIYrUPMZfhbtuECthlI7W5BZEAru8xxFKnGwfxi3ZbDxHy
Wmg7tB4Y3r520ndVqUITRlMF6m6Wu5G66xXgiDdRhWLDNgxaV/gJoHNzG2J5+HHG2jp6nNFwZDKS
JJkAOxdU1pNWMx8I/NFjhajRHbFbT1F6sO3kAbJ4Qbhxa3U+DsTMvxrVbL9Yfd6MVyQNEhC4SCJd
TZh/wCwTtT3uuIMHyg5B5PynqgfaQ9RTqAaxara494V6j4WPx4rdDmNQ2l/7so/VD/A1NfGYIyNy
pzZKe6vNGsmjQUFx44o4VNz2s9Vll0peeeXRQjBh3gLEru+rtk8zGH5YZPVT4JWXUzt29QHjMj2+
riJN/aJEqhUekAXKlAOYoPCnAUm7AhGKKfRl7tUWjjlFAj444sboXmgxcmTXYTF4mN8OqvWILz2u
d2hy6p8TlQc7ZmjoQtRs9tGN/SlU3Su0efL5uuqiotgJq0yVvTuERrm1EQ7AfRZxW9CxA0Y276Ec
R9ourUXeb9R0xtwrd+GU/hlQzq9vRF46iLN0UW/siSWwqQMnn8atUJL5QzaTUvvaqEL96kLMTh8A
O6XaFS5OtnmcwBYD/g0tA35tp7X6VutSJT0QSwBVAsausGEB4Ar2OAQna20FjJ7wc6aN6Z9VX+uP
wMPd4MLUlBwYhAGVb6PGnAHNHnnSviYfY4T1Haa+IscQ12i8R3iqcXhwkCEhdpc8RTZ5aeh3CKOp
Jvj0wEyutMAz6g2vohwmnzoEyWLG0kTAdtMu2MEOTIrbsOir7BHlIEM/pF7mztdOCGDsIWorcrxD
VXFKphFg8F1KmdBlISYo2nlRM4Cs7JF0OTTYY7pfFCjp9haplc43lXAcLs2Zydt7bqyKPYCcNNh4
8BjSY5GPc/lXQ7V/4s3UL1aXjvOzRpG0+Q4PTQP61AMl2MdKmWrYu6LrsYMvaVufCBuZgVxWkKne
B6KVEMcyN8LRr9ijBgZ0LSp0aBu16rgBRN0Ej3qNPeW94naqxmJ37WkXq2hAIm6fhv1dqplVdJ9j
wGqi+KOh64NaCEjtvds7Rf7RVZF+QTsKJWZWyYxa0Q1uNEPqi6rBAzEMTZD3/eyaUwByPqmbxwL/
uxbacjvnKFxhI6z1X1uPqv43qw1FeBf3VS6+GwvJ62jFQWS9AyTv/jTLoOewV70WZjqwjXhTJNo0
X052r2BfXBKWD4HdpimIAdtlhLdFiR3gJ25GNcu4wk7aOY52ppkfzRQZoNsGGLf6aHepCO/x/XI6
hPDrIUOOZK61C8qLUX9IwsmItq7RZY8Dbu7T3dQbhbLj5yf1n1Rbcavz0snsLi2IbeqlqriLp1DR
oZyoTY6B/w6U689VNJOT0xdx3A367fNVos6De0RiguT5qGE4uk1Ej0YOQULtj83U68ZOczHKvBVT
g7XPUA3M+VaYLRtzE6ldoXyFGacMBy2qw+FCUfnCtYlIsXPBuzLTblItLkYsgcYcK8xeTfQLYCho
DeThrI/v0R1J9U+9bSjv6qYrUVGnnNt+rzy1H96ZmIeTbXEgaYj7SAc/ssnFoLcXLRoS2nunSBL3
oLam901pVVV8coJhKEDHVQs5Yuzg/+85nsiIKhAmTGWbBvaklhvENV31WxVOg/K5LsOYo3TKp4df
l+n/g9/+PwAPT94Vz+C3+Ff9zL51T7G3v/7H/9xUeNGDsQXmB7j8b4L4P+BbRXP0P5a3pP2Pfz1v
zn/Qty6scjJwvDjJQ5D0W8r5/6BvvT/IBHNXp8qPGiRIxd/hh7unuQc4qQukXyW5uKj5LzDL0zcQ
tSePu0ql3uvaB6O+LcIdb07eAPpVqV8N4aWh3lXh9VRQbB2xEnpX5ThxX8y+iWr4IxFmjq4zz+8K
lPX80CaWQl36q9wBFbI+NigS7Gpt2yfvnfFdKLZgHEPzFpr4qF219vu+u/HwgZj2o3FN7WCjm5f2
rOFDRJ6HE3WTBA9R80WNt3m1rQ/luG179+PiCtjiGqslvlW8j+OvivbFLm5H9cabj6K+zfTbAv9E
FTEV177R0k8h1LYSF+GJYzC8zsJ7/IfZy5v6VtS+hQ/ek+l///dD/U3N5V8jitAhU24sdSfpOT2o
elu6CLnfi9j6bPVhvBtD07kyZuerA8sgbb1dydt2eFTG1rpBd6LfJQNsnzPdeD6x5KQtUhaa6QJx
kOGsBdf9yhDmfJ9G+iet09w7K1Tjq9K4slCzGtzyGw+lh1wdFQhOzUFX8XC0jGy6LxNIY732d4DA
SCn8Wb4wLKf1G9YZMAGWF+Upd+mPDMgDNakT0t0BnnujXnRVjJY74ietMR3yxPZBtCmXSx1+/39x
qZ0WzyagvU9WxLO49Cn+2Rbf8pO4tPyPv+MSaP8/yIeQYwHMQ2FtqdX/LVtBAvIPyo88XSidUMpf
6ur/i0q68QdrmvowqEqwP8Svf4OSC6n4F75eJ5dkmTTyO0HpdOkqEHIIeWAcaf9pMQXk0VTO8BD9
AD33yfmmTMZvJZL/a1lK7I6xrYFOwAE1aofvRpp+V/DufjK8Lyzw1zotJZGqBCXSUilGdDgd5FVr
7S418nMc/1ca16VYAoObPH6W8Fi0ohy55vw2S4NzsuyvNb5s2Se1K68C1j/o0eBbTneN6g7BHAug
M3HotcaXVPuTxl1bZGXT0XO3tAOshpQCpoV3jtXxWutSQWAsWgiMuuj9EpDbJqHwvVEn/Zxk9Wut
czA/7XsYR0nrMok+RNeefFITXHHZPEfLeq315d+fjMwUTLHNSwu/X7fy8cpDFu4cTu802P67zGW8
yJDG/RikU+9neqnqx76IhTjMepLW32BOz+O2mwIIyRiGKVdmYaLKu2oPyAh5fWobvW2C1h8bZC25
RPeb7Gxp8pXxWuhLT8fLzgK0pzGg9e0+jt/neV7fNJZ5xmTntcalwFClncsLAnHE3PFugkYtfYRE
x3frhkUKDS7K/p3dqa2v5KN3l2RR91FRzhEhXun5otbwdFhGd05G6O+dX6D1GGEqoZXix6p+69Kg
6Hpe8ZA3UIzU8EP9YM1FdhmjaH7O2+SVrsva6TyrG7xcos43arU9eG1ZH7QuKtctRrlU7rEQnQQp
Xb9olRuh2XtUxT+uGphfYMEnW5dbVAcz1OlI/DqTvcn7pniPONk5k7jXxkUKyEKxVKer687vQkwR
1MzlxqrBx1/XeSkih0hjRqpS0nlk5NBttsNdFswf1jUuBeSqmgHHhXS98QyvhiutVTzTtfTb282f
1sb+DWyaFJHREPJ4oxBg9FBBNVhB18bvjDy/w5hmErvAitXLt7/0yhzIOOpRnQ0HUgfRJolIUWH/
c5FPSbpuDmSCc+wiZxoORusXVRDHBySX4tsxduaV56JMChgmNxiESsQpBNL1HcZhG5DT39cNjTTH
meI5KVosrV/xcv2iKNr0Gc2L38Mt/DvFsq9n6/UJIuJMcYVY6nbwmmFLqeD9210/LfD/1/gy2082
ro7qVTWEDslu1LuRuLf0q6KanffAG3W0nzvkLC+8wrBWjRQ0xtPPqZFOwbZpGx8a+42RiXbTNdmZ
B9XLCxT6x2nbZhiGEXYmjZ8l9YUdjCiInCP0vda0dKS0idBNyiGNPxfiEVLDHgjomWLza01LR0pZ
VeVgxPS6jbSbvM0OSXPOYOe1pqVT1oqqdAosrfWNSv8xpNO1rgyreg0B9nSsB7uqhWtylKh9eElx
5a9xRtv57SX5crfhnJ623cR6WLQD15rMHa5wd/1o6ueK6a81LQ32gAVKU1Vu63t9dE1R4nLKw8O6
XkuDDWWsoO2Qy6tdzjgjKF9gFwyrhgRK6emQgKco+0olOrY4Mt3MWjoeykGvHtd0nTzEaeudFmRj
m4TC95rDFMDOgri3rmXpZLX0ZEzVVm98JcEkUQw7MAW7dU1LMbfAqFGP0N7xi8y57cb4oXS1VVMJ
E+p0PEaSAwqiRfS6pX6fq/bHaKSSs6rfMqZkdtpU6bK48bXU2saIRmJ1tW5IXGkeY08NZs0uGj90
ym/4d9yBh193R8JG9nRMwNmMShlWjT9GprMfyhTDyahL9+sGRZrMCvmDqB4ZFMNaFNjzXZfox3VN
S5PZoz/a5EXa+FZVOIg8Kz/QFv5rXdtLmHlyeAI6z1qoRsylYXyNpvIDyi8X65qWAmw5UOFN3bDx
GZtNEP6kMLRyAUrhtULiTrjLWEcKBi3Gd5IFK2dRiq6ucNDmqjjcnSL8gbgiapqD+HPdeEjhdRpG
xJhRNvX1ccQoIe9+BtrvkcP+uQPpjhRdXfTY4hq5O9+ZcBp1tH2a9etCiSNtSVtUgPTMrPHLQX3f
N/bnIAes8PaQLJvjP1jcf92Wt6SraGPlcLwj1l0vhqQLxcfDe+BnnuvATczEbVa914HgnS505L/Q
GQ+txvecsE134Ki8izYKRvvMT1naeemnSPt/wq5gBDvR+P003lhC/wrJ6O7tUXqtaWn/eyF2Ksib
CKq/9rTxqjKkCmj+HlD1vzmQBgblXbUdW42jwsMKyxW3U39OOui1jksRYMA5KYEOx50TO42Nmw/p
RuTd78HL/+u4FAVKxEXzMVBqf9KmfRhhiYLY0roRl8JADskBjxOOocpRKb96AL2Ruvi0rnEpDnAR
6oTdERcRydyK8Z5L1m5VyzIwXQCLSr2GlhucDmu0aUvnDFT2lZmUzddDtVfcUQsYaxsHmNZ2PpYZ
yvNvd3tZxy9sHdn9Tu0N2HeoLPiBVqeAkyqj9u4Ku7DKT0FnOQ9vf+WVnyBDb4cSvbaxpSzo5rMH
9on4bvfnHEhfadyWdj96d61jJ4w8QtXH1AavhUTdqn7/cr57ckLrUcYNH4SQn/T1rh+LY88ldF3T
y6950nQqCLqt7ta+Kn4ItdlgU7WuYWnjqwBG1XKmz6bIr2szPcZVdRbi+8pqkba9iRWLVZQOQ11E
zmboMQvDGWzliEgbvzAHoFoxd0Snn5NjPTnoLpWJvu4olbkAHXqkgekx3jCrt3iQgtNJ13VcFvZQ
9H4copIRH93koquVXYxB4arJtKQLAIPbQixj77eFdWgz41rjnbWuaen8T9EJHcbKZkBGe5eIe0+1
V46HtCG1IexwGGGoAdnsKte9KJJzavHL7nghXMlCeEh2hQYWvrWPChg+DR5I2nP3odeaXv79yYZU
O8JdxQPCR+FzN+rEwlBbdz+xpC0JIDlL24kFYnA2dKgPTX20coFIOxIp4rpIbKP2cXnT70yjmzYN
nmUrW5e2pEZxDnlHk1iyQNq1xvkIePPM+lvW2UtTKR/FuBrhEELW08H8sb7Agcm7mUbNWGTrHe9H
P08gMEfVzMWZo+6VCZb5ys0cYI9S5OylRQnWFIA/22xl2/I+DWoM96ah8VOYcHscWbzN3KAtu2qr
yuotaDwpduPGtT+Mk5+79WXWrDw8ZfjIlCCAAwW39stu/KAW+r0X29frei1dnXPsCQHDaoz3XPs2
sHmsNS/WNS2v+gaWoOKlta/hYrr14lTsnBx+wbrWpVXfaNDRjLwCxDQHSG07YLzVZF2i7xmvyuzm
cXQiVmEpXN/yWO72iMfkqp7LUig89lO9nzlCIaa0Ov58eCMcvKwsx5UfkNZ5l0+6meRc5Hi6bGvo
JRV2lOv6Lp1HSiAcG7RtTTxIAfWm79u6XxfGDOlACroK2Ct8FYalvkpGpE0sdd1rxZAWucCQfgD8
y1mnqDvPDi/CIv+wbkCkAwk58kZH+6zxB2TetyHawCUCwXrxfV3z0qGUAMZAIXcCKpHH2t0YWeNR
zK71c13r0g519cCDIlNzJ0r0n0kTfVZcd2UO1JD25zS3to7sXe2nIvhmK807EaNcsK7f0qkUR5lS
DharMGu8nxqGY5V+FkL4ygEkg47UvrNL02ZCSyyb9b03etW0GyvL7detGF3anXWLu5fuEbhSxPc3
8HUOvUjWLRfZnidWgDBqJXvIFgNOrsElxgGrsCIka09vXqVRZ+Gi+QeDQH9sLNfv+nNXc+/lS4Zs
zBPB6FECfCz9JpuE9UGr2zq5cA2F9ZJ3Go68NTjzT0nfOtjBWlVrYsUtRL/yh0k7GLSBkblZidvE
UC/GZ/PWcOp1YCpYuqejpiQQMnqxFEdaL94WlXYZzebKt5gMgnE9ZfD0pq39vJ4+FYb7ievZ51U7
TAbBJAaqDn1F6sgrZ/WvHoT/bm5KdNzXNS9t4B4GsSHqjmu8A3ETt4hNDrFkXeMyTiUQVVCnBcMy
ieh9H1RfIhVJ/VUdl2VlIcVGEaYMvMdc+9gFxcPc6usySLJEiA2sr24pkfijUexh911BT7tb12tp
77bKjHzLXDDcRhJRaeizTd+tzJHI6JSijzPMK5fbI+SLiktMLs6JIb8Si2WolKjCLEkdXnuxan3W
ewcr627drpdBe1g5ZrOiDdzWQ/PYW4hiTEXUrlwl+umuz8h0A8JyuD7q4fsGxqFI3XVZ+l/SG08e
wBmaWFAC2TkzBpc4+qLUAF33z3XrRNqWi4Yr1rkeu94rv2ZenXdbDdDU78m5/JuPltFFJsb2mM+Q
cmjH4EMc2JsATahVPX8GLap1rdGWeynC5OamEUa2Qe1r3XTKuCJTwwS3NzixhTFg52NbP3N7XpnR
UKW9WSth2xmNWvu6k95hc36D5/y6tSKDirq51YoQWyWAqbFfBVzW4bmtG2/p0MzcprfJ4Fa+1waf
9DG503tjZdPykTlMxtAGbHq3S66DTnwq3GFlBkCGnYwiS3so7Dwa++YHMeC6zot1d2lVuu8KPU01
ZAKWxR0fbCW8yt3qYt1gS9uyjIXrYOdKhEXP0snyd91Q3q9pWpNBJ+MMJTzR0spXk/bH2Djvwtlc
d1ZqMuSkdUcr9ma6jUS6P4fKO1Dlq3YkShKnAVZp24iUJTtSK/oPThXded45IeiXzxzNk/ajW02w
dA0CLMT/h8hUr2d73X7EjeK016WHZ9jc55Xv1OpDrSrtBu/5dbce/C1PG29HlHrS5UCDvXIxwRKH
+qivKyloMuzOsso6T9KGN0vpKvtu1rzPijOIVZdNzdNPu64FFpSYhnPBMoPDOHi3ERXRdetb2pW5
UQNQDuvKH5XwS++q9wh6nxFzfG2hSLuyt8be8GaOHB26LdodCty/fopW7XlNhhCZ1Wi3faRzP1EW
XcOiQ7NI2MdVoyKDiLg/aEaM8o1vd8W923of22j8sq5paWdGhKYoFjz7h94W28QtdpPdBOu2vSvt
TafTEzccWIbV3ONR56WYZOftfl3Ppd3pKFlfFkv+VhmjPaoiu9zVVk6mtDcTeEyYeC2ESzFMG+pz
4SZVQUGt67h0YA5Bi1qONdV+kKJYY43e+7oW61ItKOOd7s1CdJYIQsJh1xkwTxCZQthzHSgHpvBp
4+gGV7PaMZ+jGC9CM3loQrHuYJPFI3F9K3ov5hZhm1G1wZjhXgv7r6sGXMYShUi02VbHiycZkJzP
hnzem2pbr1vkMpwozpQo6EtR+TH7ZlCj79YAR39dz6Xdict9ks0RuDBOOC3eVGkU5rs2xHF9t+4D
0g5FlskMosqs/CCoD87Uf0y0ZFWlAubH6WIZ8qi18yWrvWgCb9qoC3fKiPv7uo5LWxTPaQcHBkp0
UW1dW6pxiWXDyqal/QnywVCyDLrbWGLiiTvwD/waozVRa5GhPR0VtbKjRhRud6xHxHo8DIm3bSqU
NdMJIX/J2D15bUZuaofd6HVHoWndzojUR7PPfs+c4n/PQRqXEqGYYvXO0NB1AQ26GqfDUK4KiTQt
rXPIu/roAMQ5qlT8NyUKPhsvLNcNuQxlwYcyCEPP6I6NmXrbDvGoDyPGve/fXoi/khvPSq70XVrn
CJS4tV2q4qiOdase1SlqlHdR5XXB1tL6LLjP2FPusUpReTmEtt1QgLUGjGwbbyyTQ6bmsQkf1BvT
d9E81kMMQjMzV10zbc+SRtbK2rTvh0xgxRkQ+zTtL/Axf77905e99sIvl+VX+1SxAhxemuNc5V9M
K0w2EJ/WrWQZk9CXhhk5eiqOroiPcYYQmVYHP9f1W4odCJ3WqWtG4jj2lb6p637acLty14QPRlwK
H6UaxuOsxcuIp+kGqYERe985W9m6dL53fV2KtmbMO/biJtSCctu61l/rBkY637sk6MmY0PXAij6r
7XBpNMphXdNS3Ov1eEY5K6DfergzR+OIQvaaXBJKI1LQa/MW4WTBUtE1VNAoMmvbGdTdqn7b0loJ
esvuERUTRy1DiyIZd1ZRr4xL0kJxe9VtEg/hJYxw9M1gKZdpYf+eC9N/wVpaJwg7Wn2sDOKYqt1+
TPgAmYNV0GBCnrRO7BBVrzxoxDEsinxn9ahVQ4E7p7r/SliRQWVBgI7mmGj9cc4ddPbK3BzCTR23
wZqLCRtUWi9Jkkepphb0npm9jJM6uvbawU7WrRgZXdZ5Qwj4m01U9w/KWN2kXbImB85Clw5gdaiw
UWCJHIO2/FKOIQJszZ9vL/PlsHohlMtgmB7ZqhB2f3dMPLO4Gsu68DvPmFRE/YSz5hpO96W7ptbW
gdqq+JoBFnQ3QyG+B8ilrRt12fPXiAEgYwnHereSgy6+jIW77iSScfac7koxI99wVL0pRE5O3aqU
2taFcxnDi5W3VhUzjUdOfROgzhZiwf32lL6yjUwpAtgYopWWNYmjbVbKLrfTWyUMVmF4F3Wn04tm
jqFPow6GOGZ21u9js/uax+nKW6ysktwaKJ3GlSmOUxLfmFgrNW22bgvJWJ6gtmME1zTWYBjHR9WK
gm3V1avAcNg0Sxs0aoxyLjVGxa3aYxEZO0R216SAaFq6x2E5kuClR8e9OEPADk3X3F6Tc6NpaV+q
6N/ZUzsLkCrYtrT9JopX1Y1pWrobW6Nws1yj6QxN1by4du1vqxb3MyEwu6nTRqHhHijCjRJ68UYk
9rDusmJIJ3PidYvucyeOTpAP4a6t6gIbcaSe53XRStYO0tFWdyvRLrNZbSure0AF/W7dyEg707Oq
eoprLizZmOs7PRqPQ+edszN6JabIGtR1g9un3XJlyTPzMLQeHmTqugUu43hQb26dOaNpI3N8Rel2
UbUKM4m1jrQtgwJzg97oWeCKF92kAQJtVRY7Kzsu7UzcatJFELc44oilQeDrIiRKW3fd5pRhPHNu
eo1W17QeRzEG75lAwh210/r3PEj/vSjKYB5LmYrEyqriGBR5tql5T1RTuO7E15dl9CQdkcMyrtGu
FseumTfKXF2lcfSwapnLQJ0oEZ6otbw+gsbsLobImnHGIIO9rnXp7Jx6JW2bzBuPsdcfkWJ+byft
umNZRurMhmI1aTWPx35U4p3i5ajSlhjDreu49MxC5VZENrzgY5m5n0JdlJvCGtednc9wOikJdk2v
pyPIMmSa014/CC9dlXVD7E3apI2OgnhhBOMRafc23wSIYy++LtPwc9XIyHCdqChjUmFMqUKX0RzY
2/U5/sSy01+4PMtWckjrdvHYM6WqlfR/eUyvuUdzufle1maGoCKQzf/P2Zn12KlrXfsXIdlgMNwC
q2FV36TZubGSnQRjwLTGhl//jvq+m7PZ5ygSd1FJca3ycjM955jjUZ+9jbfT6djfsrtWN0f6lSfE
XaP51ZuAvJFHv4Xdjt10WzK4GLhriFrNbNDVGx7Kk/8bTO2tjGxhjFmSdnpSnF7AFDwinMDQu+3K
181r54q6K54YEnyErUmr8WBSZK/gKZnofH8a3VWwqv6E3BG8PtfRD/6UYaAAdf+PBbTbtaodRuHq
pL/qfubsHVp5eVtgWBzeyzku6esWDLR/n0AahTh83dDm9t1FNlgloKN9s7SwTCalHtADyLrthvKp
lKnbSjm+UXg9D3ewEzTVDSbr6/w4rWWVnGoiQlHMRMkx140fGliNRzZ+YJDN0JMWAeoMS1gmAjbo
YVJ+ZR4cibNmwxEAH6ahG2ENHkHvGSRwN7rOFZJRz8w3XniuZwKoSeQqIZ5tH7NsC1fnTiNdb0vr
s88IoswPRrr5Ifzcv+iTfEW6SU5lfJ6CYf3b4LetWYjqVXSF3Egn8Nkk8W9vNAOMj2EFWWZMV7w8
w32RdW9U+cvvzSWdhuN5O6ABDbCpvuhcELY/KVhryzX0mra7SsXV9ln1snHnOY689cxjkFcKXyPV
f+dNyTI8gImmg2+N7VdzDZD7rwBemtWnqVzDMhOhBSDP0K5vira05fgIaEW3vkeQwFZ53RFqMvAm
dJTxZQ7FeaabmG4f7TEyJxruz0/LElYgHgN3mvxYMenw8AcoCxrNJgnUl0o5QQrPwk03d5Gc23Mc
tT6axwPUB04Rd96TDTfJTl0J2/aMMSOip7Wq9Kv1leo++oU1e+mCasanmbVuMm66mGRDOTVxCi8R
XZ9JPYrgCRarY5MN8GIHbGADpi6V4LREZw7z6BkcIVN6WaJ5N+eb86YyI3amoFwMIuIFo6zrLnGy
gQk6sGT7bKehQjU9iHsvs6QuGWB3htfnTa8kObWTKVUWu9F8MU1D0eYtYa1/gY20x39t4TYG10D0
tLwEFL04qYERgs49LxlNJgYY43Ai4BsfDatXZtvQ+9/xayY0MoCud8NDv49SGg799NWoeAKdAbTE
5FqFE1nSTvjIpDuGXZTOOojMs0lgLg4Lcr9ctlTB333NQ3Rb6zP4DGuVTSXkL6jGbpuANXfHEd+C
ljWdxt735ow1RFSwnpV1eW7ExFxOVV9/t6p0S+qRrkOhSCsYwcekTpb3wTD+BYkDIfPehgmssYUV
9jLhx83VxMEM781mYPETSgfRlOpmsN1FtPChhHYavTEy9aIBXMK0hg+7y0dj5PqVrol0azrzTnW/
eJWMSU6q1gSwNCbNL3+rHLl4sef+HlHT+wb2lP8OR7AaRvJB5QG7UtYbySoW2e0ulHZpukwxEFBP
s4Dr8rNt1xBWt2Xb6GI1wu8u0vJ6AMPCLE8DmNr6jL0VmKwLx/6nrRgyf6KCL94VBW1PXbx1Kb8k
UeROvSFsuFu8seWfbNh5t3rBT9JqURP/MvcxCBUnNbumq0/Am7DmBQ6Tjf5NJYxSTqI2fmzSuBdB
dHNzUML9TS9lKHVWoyzUBykATtWa4Y9dx8ce/PTlMnjMj+9723+sAY+XOJbA+MXXhXeheOMSkJa3
2ngVGCNmQkt22g8lsmjAx/SfNDi01c94CNry55Qg0ZOTUSDEriqAQO6qUTJX6IhuzRNaz6LPjau9
ABBV0KLOYyfN9IjT1HMZq0wXnUE14D5gFkndfrLrGiSfyo6KW9wruRRDK6by1kcu+t0YvzXXhnFt
H7TWCBf8dpm+RGFiIAOSRv2em2V+7qQTwPT12FFeNm1+3b4ps3kipxtijHSZ4FIFhA9fhwvpsSaI
F8n40SWiJBcY2gCjohCqeWjd5mVw4k4lZT7FYAGkEq5x3kl5nv0e6VgPRVdvebDh7EgtLcOP6X31
4a66bgCCIEnCUgnm1haMT1s5nUABfqm9MdlOOBI4PmFZC5zOOhaMnOcGXPTCAyK2ozn489PnYQ2R
L6PRlHwfacDv4qCzD9EI23dYV1RtcAkbdECdGTbB/IAL8NYC2DfYpICDECy3o2oqpGLbQxzp4R5p
LdzugVbEz1auhTp3NQc+YWXIGINhL5NvzZKsj4lkDc8Sa//y1ZD8BKev/OH3pNcvPa82rISKSppF
pIpzN9AaF6LUqYtC8Adi5OPSsG6qH2yJzwurYc6oyXBCAl3mbqHwhp3FpXLuyojq8lCidDTx4DIG
lICWuj6J1o3wbtjaNBkG2HcHIRz1PfWCMMKAL5OYzDjPppu1rzWMb3LBYUEgOt7dK99/cLTOQz5+
FdZbzj5RVW5Qoc/RNnO/ccCx87aOvXyGzCgX7ZJksgMHCuAjIy+u5K3E6dzwhyRu3s06mg8u3A8u
xHxuhprl0VLbd76UcDpXYjJ5G44DGAugM2HZxiWOn9C52+BQL4Aq4L0GWCb1cMLjatOfwIrBeVgO
Scrw5WZe3dKU0fWBruJClXtIlpGceDk5CHphmw5YW5UBt/fYROYvTGN0GsqNXpHI+iGZ2E5BYHN/
0SKHZeHvxJLq5ME0JYuhvEEA4JozPMwuayuGrEzInJHe4Fox9Jm08ZNZOfp+PfoBizCAp8QancXm
0rIhue9Z81BKZ/MoWl8aPfb1uXLeX8zhQqjL+g7msg+0FF0q6PSps3V8m8DLOJU2+g1L2kcBHFSZ
wcHqIWy6GTsBVu4Die/x5Nw+boAY728Qa9cMhApoMnwxItoKwCo5yyCq09jJJfMb6WWsH15LLvjV
n8WYk468wHE8OPVAvATS79PawKCgJ/g/XDciXcKAnpqQ1QWSFVGZUssFwpkEvce6AUDKhhw3TQnU
SC90vkFkKtOeb9MzqDTRbxuVc5knS+W/Vx0alvNhaVB0pLDTVfcUxvHIHSyGro9bmPDcEi3kRcSN
rDP8fRRm6l5b0jP6kqm7kS6gDxHxYHLKhAN7yY1d/He3wra1V4EXF3FTRl/6tg1dGgBR8xXCxYic
4RlRfrFNYyfEfI2EoRtA0SBcQHs8pqKvtk8JQyX0BCARTPJX7X+ZNIhg6aiq8QvvB/F7BDXR3bWt
wewAuMEB8qIDRwdEpTZcIEiUPUaea9bXUQOCdOMCvIHz6AsCwEvrzezU07FledxosVwDbctH4EEn
c2kCVn9rt7mOrmySTOexL7Gs/H6CG1zXronJxdzgs7IYVYSXIKno3xNIqf0n2ZHGpD6QKTfkSO3w
lcDLxyCoiqvmWpW9/tzNK+v/6mZuf8/oRKvSMQrWIB0REaN2ZTVl+RriTnteZNt1J980SYhC39rU
V94O3RuhrKxPfSexIAcTuxJ/7QxNrzR8fJqtFRtCkxHgGFiNG/3cD7348IDUAcXBosicIsMaTudk
0oARgAyzDsD+Cvo0zP5Wv8HSMZmeRrhsDueemEmeFS0RG37goB0wLr4Ps7Ne6/m89IHKWUfIFUEz
MAs5noL33gdFnipKbywcJn5XJsZHPBZu23hqcM58IX6wuZ8hwEEe1tfgzZexJ43KZSOVeKkhlw2K
AeTbElOBjvp0WaiUGeF+i3MFfpCpxffZXENdJTqdXc37LBRK9S/wKNfqCdh2XeUhQl6azt0Wr894
t6BthcGNPz4htn4O0N06Z3gi4CrdlnXdctgkROhHZaG8xVTM0NdE3EiA5Ke4TBe1DW/OxON3NsQK
K8MDcyuLAD+Dx1kt7e/Oi6WfwqJk/qRXz+JWG+DpfKXtR1QSuaQJ8mVG7A77nHi8mwE8hDMV49+Z
CcL3afDqW8QTPCjAhrvhKKTyMQwAxEvrenHslkgB071ELHcjY9v2u17C6TNedTG4Y/1YBtnok6tf
CnnyatvO4F/FA7sEzHMu6xZG3ctM1bxmQdcsOc66+Otm6tIDEQbAGeyxXn/1CI/dqW0QC9wPOHm3
pxrhKvDaBCS0CHCfH2SeAgCn2lDpy+ytdXfaEipeWcyS6rR53kJv3DGW3InerO+QQsrf0HksIpuG
TsMGFuGWQj3JDjTfWHM/L6314fT+ERhpdOfZa7uE3c/EVyx6Bn9tO/WrnniG6t/VCQOe0AQRaJeW
HnsIRzgqZRtXyD9SUq4TEm2gfuQmYoJksqprxGM8CF+Gqvdea7AMcRPNNX+JLZfmaQunfny2IMT8
0FY7P6+TTnrpKn1cT9MUjEEe9pv/GGq5PFdT3aMhyVZfpVrd8LWkUQdCZrkNBQwtPS/HBqh5JhqQ
5zK3wnYYp308j5nb7FgBvbb5tyWegSpnw8bAsYK5IU514zVfEdQ1UQqLcoXuHnyQty1J1K9QSvuC
dHnwqeKh7U5ym2UxQZGNIGmO1gYbMvLIrYLyJ1eOLqeSz/IqUalLpYMP+plo48q7epmceKxGIj4N
S/iE5g2wXX2SR76c5YmjKSrIbJWUyGgFrqrvpj6wQFw1AXDVDLQueRJ9Ik+zY0I9GhVs3oUsNbmH
B5/9Antf70F7nM15AGoWUghxgMz4NuJdcaIDqJoP5eTLHw7eNHVKEMna0xhSE98B1suva1I3UFP5
C7gpiN5lf+rDwfu8ggaVIonAMw1b8Qu8j4cPmc3f/UIemen72+zF0YaYouFeDo/qQFxEOUwqXcSW
vCS22b53YSdu1IrlsZZ4CaaJa6l6iHGHrz8gh16X07biDrzMQG5dHd3Kb702ANcNlmvcNtL1y1mX
lPRPyMnhUb74CA8hhxU/8Yb+gK/Py7Wttug6xMvyNuKwLPw1KKM74uaqfkYav/0lYhDVsl6uc+4P
roURYon4BsTxxzkRTQsSgYdjrAcZ9esA3RaQMNBlb6cBTK7HuVezOJWh5U8UMt/5CnwdnqXtSsK/
sbM/kjWEr97rOLjG4EGb9Pe6cf019A37OpUqAosWL0mwDmk3YlXhUlRw66ySIuo00IKr4p2XuWRY
/DtRhyLJBw7Urwya6o1W3WO9sCCv6+2mtnVIoR0nr0wN4LoRt5gHkDnd+4a7Yjg1wmp0YJUe5o52
PCp645x/08LwdzmtXodJly1AXBGj3zBrLLhVQa03cvLCwdcTTp1pdXlph+UZdCCcoxX1phcp4xIS
eNkmd11jf5Fti7bvUxuWv7S/JH0Oev0HC21dM+c1srlYsa4kXYGjwYKY78jmTiFraHVqW+keSl9d
Xdk+r+3ELJITPi9w+UNylm4V0SGwvV7ycxUxvQKTOL1V1Dd1VrpxbFLa0GkoGAw+gEIEYebV27Sh
qWmY/x3QwfqvxTcBu5IWdxKw0KEbzmotkctpKHJfq28fJjjAI/yqO+9iQuQ7MjvaTd4ID0Nzt04o
yoKb7fv9vVeTGJNvJXmvYTA2PQI+AloCUCTx8KYsUKtZa9fWvM9VV/1GkWHuclzBC9IwsPHEKFu0
Lpn0TajuPYf59wMXPYdd2zXnbtg+bDjNuIbXEApSGFAmSiC8ryh7UrHfhdmCg/2BdMJ+l1XT8gsH
q7FOcQqpKY9r4ANzVVZdf9Yc+ggmHaq8pAOcMZ2BpaizjlHcfCMSvhQ1celH157rpS7gGtEMhVmW
/o3XgLTc9WPVYFGzrsoXzbRKW1xoQLQik5Tc1sD4XYo6Dxr8a9Ia+SX+kEfnuDNAgg9hGNGdWd2y
KR9BVmvOPNBT9dgBRIpXj79EPXitcvkB0C0uALr4qDMCYGvijA5V/NbYUIls8KKwuicBMhrveAQk
axGYYKXvfgkh/U8u1aYfbVzPBlYgtvQvwwKA3XPctn3wayt1LS9RYsXvZYam+o7itb5h59Zj+EQr
JAhyOVaV91yC/Rdi+XxQOrHTp3jEJQqctsnN2uI57cAo1J/hD8SXUzD74WOA7Kbfph5OHfbsh5rc
iFZ8yS0f2iA1BJNxp6p6CC7KT4b6zFrM4Gfb1pN/cqVbWb5wpXG/2bnVX8284nRDiWtwTxT5wO+o
hAxrKuKalFkLByuRV3Re3tqgCv28A4MGih2L53SKS0SCV6em8WyEh8yBmU2PYDeaaP9Y66T0czBL
efXmNPF6YGhjYrN+3Nz8zI0aTq02eDbiCdLWZwG6XPIbWaTQnjRvwgFVKwTa6YR8VP8KdesCbhXH
fyiaGFgncGw78B7PgiOP+XWgpYSpI9IXUZJikwXe09B5OGhbYADnIvJ0Uq1o+2yn5b5GkCVdGi2+
L76XQQJWIBjmNfiFIum/yxr/RoSkQpu27Ya/o5TN+B1J7wi9U6iFzlkJvCNamTXfxqvFL2jyzpGF
I9HE2ug76ZZJX5s+nMLXxLZWnKISazz1V949k4bM9d/x6I149DaqVLlaieRQFPgVS6YcTbaOfZvC
zUv+DpYO5CkQAI06Qfnr4fnU1jPLeDeRJHUIxdcj7UofdKN/1k7nQNaqEl1/naKuvepkjJ+QK2MH
qzH7BtyR9rSDDUp/jWfi8kbXgCJruMMeKFCBMbEryAjHpmjmDp1zY3OavOV5LZPzsaF3+gaNW4zN
DE6Wy+gDc0qaOfPW8EhxFp97V4jZkLr34g7Sf7xh7uNtfMQz5ohKldN/SfPV4EE6mnw4EYBU23QT
kHUHGUBA7f1zsZTRauChjpYi7HWASZvhGc/8Q2pPfPKdwGFE2a5ZiYKHP1CVeLK++sQ7IuPB0Dvp
UYDEZjBE6FZiDEYE3KsQtsMc7UgVH6PvyqQN0rlLLT86xAIGivP8aeHhp0OrcC8LRmM5gGCR19+G
Knlbel4Mdvh8bOid+AiRhK9h1jzeBJ50mnZZvcRH6saYkN22VJAd4ekCXyUkXN1DbAk9ayuPuT/Q
vSo48Xok8VA9uxnfu8Bi/hdIoF+OzcluX7qxxSEIMe3tozMEWaPMU+7YnOzVwM08ABg0l3AfQWEF
lO4PoPs8HFsmey0wRXzlZh/reyHNX0Fr7lnJjmhrON03dowrgerIg7NJErToI2pfl00c0Rxh6N2u
9Ac1+PBkRZsfl82PQLbhye+q+uDo4T/PKiommwBihYbteKNnSLwfVwSdx26HcKdfAGjNZ+2CdtbS
f0l8eWFTc3Dk3bbkzCRULTi/6wEpDoj3kAfrEHodWuDhbmcmJV3rEUrUWxKZi162O0eHy7Ghdxem
aOygRo6FsoXqDMTrS1InX48NvduWqPFGMPKGGSGi+t/O1WdEl6+Hht43dbRdGIfBggMWuaH+DHXq
dqnHdrkeG31/X4Z+3yVaDrfRhfe09259U74fG3p3W6IiCh/cAVaEYeSnEasuK4jmx4be7UtBFoWU
InYOqpIQDcBbQh5qK+J0L5/HHaz9DbJ/UHEjZOK8O0GOHYF7+Txc70vde/gi12r+q01onzcVK4/d
8Hv5PFRk3dyjen7bJMm6oLln5E8mwR/f179EXZiR3Y6EGKAByWRE6y1w6uxbC//kb3hq4VWF7Fm4
XZN4Is8rYcH4h7/lY+39l1+4VzROdtMcjfj1rcMfAWVPVZb3DuXvu836AzQPKNi/giQgKihduubY
Yby3JPOH1qdrNSKO6Wb1lUXbqtOtHtTBFbs/ewInYlHhy48T9jyU/kNHu2OffN8kIJMIHrp4HN50
h3wt3uHfmrCfjh3H/2oTYA0SghR2OTwSp0Y3jwFfj2jVkNrcHT24/ozoJnzuaUJRcOJDmgSQ4Bw6
IfZdAnyuTBOOmO/ZVL/1EnwCe1r+YeyP+/m/rM99m0ApJarpkDzdegKNHdqQXpdARV/Eekh1j5nZ
BQZANrR+4niPcB0AbzZ339Wi/uSL8D+2878bBtD4sVKY2yDPhyUeNPOvvup8nZUinmVW1oP3LLru
4Km37yCoxDiqboEPaKCmL3T1H7iZjyQGME27g2k2ukcZDmYgW4KMmtcix6mrhf7hW/4IlP7bt7zb
sV01VmLCqrxpGwW/JSEGpp3WHDSm2TcQ0GCEaRGcaW6oia6fiHDqr2Bs5bFtu+8hCJohGjnVmBob
dYVPPYXqrrLPhzbXvo3Aeb1rtgX2XCGSSbCMSpAv9id7LD+wtwLdavBWZobXk1zczUvCZy9Yjh05
+x4CqMOUjSCUu0FQqVBmZQMK8pHc/nDD+//jZPh/P/8Pmb8OgxKJy6S7WTMjaR7Jen2c4SoI6bNb
lgkZQtO9w0VleB0lJZ80xF8eQqOW/4xZW9/JOeAKevI5QVW09D7FQQDVTIi44aWa6+6vOm7GEQ2g
xP2cvdDrz7joJ3FPEY5DZTZgrKVfxIeJujtm4E33jQt6mHqGviUN343hbhz6B9Ulx1JMe/1/5ezC
LCRKBeLCXzLps67z/j62QHfheAMV7JjUGJr5D3BjH7djV+1e+A8w87xUULUVpWugNccKaqo/BD3/
47jZq/4XQatowoOwgBI5fvm4rd7wvGq/HZqQveYffT9rUkYYfUTxx61l3lc/j428C8VpWY/NUvaY
atKmTtzF7cHU6d6eUyjbJ5HokkJPJw+KY26OQcbo3p3TlxHx3YSRw6A/rVN8b+G5emw6Atwm/3EC
2ECHg+kwNE3UOZi2HPYpx667vbZf9mguNSEWnw5NmZXQDkGg19rTsQ++u+7QHluVvj8kRQ1pWk4W
/bzo+FAzBad0tx9Rntt0xDE488aUh+cIGpdDH3tfHED1I5gc6CgF15A4xENq1fuxkXfhKSTZfth8
yO5prdD8zdPE/nVs5N3DWClnY0hWo4KzsMm2eVIZ1egvODb6bkOyWXgNR10MDtoE5U4DTd4m3SGL
CU73zpxwQhclVOlRocKwukPhV54gFa7+cIH+j0OQfPz8P3aPg44gangfFckc1A9+14h36EYPLvE9
FjYZPJ9NULYWMdRMS0jPg/KP7Z69PacaG+s2tDUUlCy5332rxu3Yw3HvzlklcWwnOkfFPPbQ8v8c
toMRKNltSgYFUgC4KkaeIUMoGX1VtI8PJQnJ3p4TLOsGLRYsLJRdnsTmHiY7vR1Z4GTvzrlC6IaC
ahgWZJAlONmiTW0XHQv7yd6gs9RRxcLNhkUbBm/oOXgeUSk99sF3O5PG4B+QGkMjNilGWt5Gdiiu
JXt/TruoPoYHIOSU5Vpd6WTMVUBLcuhEIXuDztHnisLGMSxwrsgz98icz10rjzRTcrJ36JxWFUwL
hHLFkoABxMNbONcHp8X/53FiLRx5Q23CordJLrwEPR+HDiqS7G7Lkg2KbtUaFiuN2xP0k+SUUPan
Rrj/fgySZLczew61aW0wemzD/tR0VZARRFnHvs69QaeH5OnkWyxDQDnuO6O+dBs79HT7/219/3F+
z0zCTKrFrp9MrL7jecVtZiflTcdOlb2T3ip7KGPc5oqkI1c5+dkM8dmhzcl3V88mvJqh99AV0QBz
A7sm7wDnHDrDIdP85zrU20jRvGhc4cJeQvZeDudZ8O5y6JPv4cc1xNgTmjHwffa9vKDtrb6OMz22
0PfGpZuMo4pILyygsXlVAvoSpqODB0sc/nNe4maBw6CPwSFrZimFZjCzbIkOrvPdN5rAiw567Tgs
bKnQIcAG4cF9sSrVIU8PTuLd1wrUEkddcGRFu/X5so2ZDw/DY9/p7uRqOhoPpGtIMQmRUSqKwPrH
FvreunTlZLCgKpCiWsBYcgoyu+RQFET21qWweXONnkpSDN7w1vvN+9B6R6yqONk7l7ZaNhDuLdCm
tv5nsC0BVq/tsYWy9y2NggW9VpDUF2T1oReuki+Wu5dDXyTfxfp1Oy7b0MqtQJdx4yMBVC3vU90e
I+gRvgspdK2cHyiOU8tED5FuT1NCDr1S0Ijwz80J2E8CBrdyhSEcZjjNSUtx8Bjf3Z7QHNIJF6ct
dI+kGCqPdTqu7OuxGd9dnl2EchGpElugHwIqoPABwvRjn3uvXBJ+P8tt8kyBpHbOJ1nUaI499Kn3
uiXTN2aqFjRHVtOaMuanXvh8bOTdCuxAVHecClModKSqWJyXQ+6RnOw1S4qtvewMM1ghaOCLQh7C
7ilIju3Kf2mWuqB18G01xYLOp1wCxXcK7DFMHtmrloCvC/xKLaaAjhatf/ShtMeAHiTa3Qpo23BV
3JVL0QfmcTJdDiXasUNwr1pagqFE91H30UE7ofWzrguviX8fWya7PTlYNzSriUwhQ17Y0cvLMTp2
Bu5tDONkQRNzhRXoGHB+jV71WZLZOxZz7mVLIQwS55FQA+FZsJzQ5RWmZTLT/NC07HVL7aBsgHy7
KSrtvW7Knqs6+nFs6N3G5ED6uZAoU1CvLoSvX+Kt+Xxs6OifZ/fKAPWowtkU4Cg/Cz/57OtjZvNk
b0cb9noxeEKYAt2bl8auV36Q6En2kqVJydVZD5+68UmZQpx/h7aYv4/NyG5X0ubDnYr2pvCjryWx
J6qrY0HPXrCk52YOY7QyFz54b1trLkP4J4btx9f17xIkCXd7Eo4caIQw1hS869fkxNuRV6dFjP5f
JYrCUconpo7lmUi4uzbdbAkspw0O86C685vxNvfesZN8r2BShiUSSL+5SOo+EzDMJ9CXH/pa90ag
Ygv61e/YXKzKik8T6at70fJjOFKy9wKNooHjEvLmImglST3T8LvAdeuxK3/vAgo3BmVUWOHE1R90
wCSvy+rYibsXMQWExTawmBY7R5cgme4NXE2OzfjuVdWhTum50ZuKbUpS9NfCzpsfe/TsNUxbjSJY
YCUaIr7FaCXpDg7r//MwRHuvSuByNxd08dAgrwo0ch97He/NPxOucPohvVEYjwNFqq6wb/iTyuRj
Qv/L5t/LegLmFoLm4bmo0OJyZ7GLrh5MzY7dmntdT+ui3qLZaSpGFX4K1hjtvQk8GQ6tkb2yp+mb
AR1D61ygl665mbH61MtxPvZ+3St7oDMIEnClpyJO2rPi/KpceCwVuRf2SMlVtZTtXGy0eVP+mIcN
utCPzcku1+G5oMSLQc1Fu/i/0Uj+rTPwGDo29m5PRnM8xqqZp8LvfoXooa2T6lj4s1fvhI0ZfDFj
skW3ZZAznAHuPHZv7tU7cIXx+/FjQZftZK+RqcdTGM/THw7XjyDqv+yePcQ38TQ1sFyZcHWq4Gah
WP4+9Gi6hKavGthphp0TTWGzhY7PQ9/BXrRoJ2fhg5SMRet5Yz52I/qSYQh8aPC9WIisnYUOvYf9
S0m2tI/NkDWCHtJhgCj9z/OxnQfmxUszFRrGlOc+Un3ONSxqD330vVao9mbXRiPWJjWS3DcUvgZ4
Pa/H1udeKySBUpNQoo5FQnWUy7b9Gs7NMfg22auFQu1PsfOHsegS/qjVS1VGb8cmZXcYlOBjMDT7
jEVQL0BFBD9r2R1Lf+wFO7Os3KgVhh479D/hJE4ja45ReMheJGsb2lVbz8aC0vIOE30/T92xC2mv
BoIfTGwX041FvMZwOhCpbo9VxIm/C21tQgAEZu1YVJ04b/0vn4hj+3KvByIOLikjiYeC+kEOLF4W
zwffWXs9ULRVvvQAGi7GWqcmcTAC08cCor0YaG27Gu1JcHtou7L8GltXPW+k9H8cWtt7D1D4TsQi
ifqhKEEaDWHn07qDIdFeERTPK7qOawxtYznn9WpUxvveHVuBe1VQZzrPDhqjD1Rd6g62ZGF/rAC0
Z/aqUYK7UzYt7jq09Zdlqa/SQHJ7bMb9fx7g/Ue/WbDpsqBQAyGUe4n7gwW9veVnZdsQ7edOQapC
oawVurGf2wmehwc/+m5r4jgRYpIYf5ktzYft/5g7s+W4jS1dv8oOXzd2J8ZMdLT3BVATZ1IkRUo3
CImiMM9AYnj685Xs09squ60jXp2wIxwyRaAKyGHlWv/6v/wjLiJvzCCeaoOcBAePqjPcg+798wEr
Ihm9Te8hTpuGk7RcO+3gD1Ljz41L7BLgh/PGstgptXdZdTkajXO0aLKDFeWRZ75tbp4ie8WQOi0e
ZvrQptrZqSRe93S967dtxqfaIMSRnYzdWB9yw7s0sFvxdfO2JPapMKhWvekOJLEPqbVicdX5V1aU
vrFQeKoLKqapx7KBp5J2y0PXFlmAlcIb4/5TZZBvlGQl+uNDGfHSmKQ6a7G6fFvQeSoOsrOucaYj
5czH4gMvr8kL+fxvSyKc6oPKKNFGMUsuHkX3AFqfouktMaHnn4qDurKpeiyu9cEosEPES1DiT/CG
tZBLq+/XQjPBITWZLPAtc7LRlkIf9OltVz5J146dWWoHW5Kjt/WHwih3U9698XmcpGvZJJcuqScc
etv5otHpzl/fxLjneZxEmg1lPCtJWn3QWRntsPgy8Q6urbccmLn6ycHTd0CXU+LQh26Wm1Zkj9H6
poZhLm1//yJ1mZNXaUd9GAbzyorjIowt803ldS5+smMSHuuiwsjlgHPPte9LzOFl95alimufJG1l
JdK6TXJ9mHBJ5EZ7W+o3jpOT3bLvRO7im3LkQeEyJ60a56H1TalUz/+TLEhnUdOKQh/qnjLHkq/e
djbtL2+aPKfcXsNCGznSj3yo53a/ll7AQ3rLrsPnPpmXQg01eXIuLd08LPo0bOI3sn1OxS8RVt0Y
I3HpeV53Pv7JifDf9ipPpS/d2IpVdMycjJxQUFfZoxLdG8Fb6mRatrRFud2M4zfmsKFrj9sK35m3
vciTaZnhNKPxp9OHo28QxSvcBL3Xt136ZFLiMINdEZDGg706uxqjmkCRbX/j5z6ZlVUJgCjDfPhQ
1tm9lX+uDfkWWT7j72RStlXtQ5fgYdtiZk9w93E7vCU6BpF6kpkRo53VuGURmPRgXYtkT1/PWw47
XPpkn8Sesy9MSskHyG+B19ihh7/Gm97jqeSlM5kpeZnpQ5yum1yeDc0b+aWnapfC0rWlIeIc5qTa
kE8KquZNkhSex8k+KdpuaUXF6hcv7bxJFd3Oa2y+8YmczEccCb3cjPncvt99xhr7XhdL9sZr29/v
k7IQBjp5rp3Yl6OpQvzl3njlk/lYYEPuCQ4Kh7FZgiV6bdTT2wbIyVwc4sRzh5kBgp5mg5I7mIr2
t83gP1/m/4pf69vfMrz9v/6bP79Q++zSOBlO/vivh7rk3/8+/s7//J3vf+Nf+9f6+lP52p/+pe9+
h+v+ft/Np+HTd3/YVkM6LHfja7e8e+3HYvh2fT7h8W/+v/7wH6/frvKwNK+//vJSj9VwvBoGdNUv
v//o7Muvv3yzMvrPP17/9x8ev8Cvv1zV66fyc9qOLLa/Xe9/fun1Uz/8+osj/qlsadnCU5YtqQCy
T06vx5/Y4p+WaeHDhCkh/5FHyXtVd0Py6y+GKf7poGxEv297rmVjy/zLP/oa4zl+Znn/VJ4yLWH6
tqNMhyrj//14372gf7+wf1RjeVun1dD/+stxgv07Uc9lbClREyjbs7CJ5F7fj2MhM9eIXTR9szAN
LFFr97JERHzXej2W1n8/8L6vp/92L6y4cJF3qISK0wRYrqWv+6KZAqQpkSYfrchtxKiNXvoaR1pb
5fHP9aF/u6WyXdP0lWPjxXxaEnNzVWaZ1U54/U642dqLsa26JP3Bav4XX4wWAt9ybRyzbOu0zwpb
KlSuLlbOCfyN5Ey6poezu3LHXWJhQBpMLib7P1ge/uLFKV/Qc+BYjiMZDt+/uKQoGuli+hxE9BgG
sYNPeVgkK/3qgxx/pNf6qy/o49treabPQzytyGcR/BcrVxOW/1VzbVe++wVKT3toDY3bUtr5P4pz
jvvgH4el7UpQDdLyXYYJ8+dkC2ZACl3nWHLpKbkQ/fJ5TqLmgj68933m+pdl5V3gp7z9+/F53A9O
b6qk4I4O93RPExLJEM01Ves5QNu0YOiNQXVf1D/XwqWwFVBCCHrMQFQy8U8Dfk09zFhFMQcgdfR1
Kpv0Cmfrz3//VU5HBzfxpPI821JISK1Tgca8VGptOjaQxjW7R3/Kl9vcoiW9N8cfqev/4lbScpnQ
viXdP3+f3omJpSd3CbI4F2sI62Zyg9RepmdEBeP6g3d0PFZ8/46U8livhOVKh0XkZGBMHPLKGqvx
oMhTZ0+xu/2QNHp8ckh+3eBFbZaBl83iB5PtdPzzONES2a6vLB6qc6oZiQevbRuVcFfTG+5SGqsu
MuVXl3bTdOGyVOLnmm+/DRLF+djl9ZmCJf4kdJkz1SpR0hGRRq3a+qkdHZRc5v3fj5I/D3jFXTDi
w18aQsnptC7gkEaYtK4UOlooNTizb8jJ/Sj8+ouH5wvTNtnFXJu97iSgiYpVJqvo6e7orHZf565x
HbWpPLdS2X4FGtT+IAPw57VD+abls34cv5h5egxbOuy966ZdA9deD3x/DjSr3wb1MD43pYlXbUcj
VWf+QBfxF9MAnACYTAdgCxvBSWTvOcIqu2peA8olctuNbr3DzNg/RMY6Pv7kazuuUZbrIe1VysLm
9/ulv/UaNFH24gRS2f3VtMbZvqranzvFMgSxWxce/5H4UCr7NMm0GiSWHBPn2HxJF2xlsb/bNGSF
7n/yyxxXKToeGeXs0H/KlGWtotdyyMGKeU1N0dRX7NDwT37yLj6Bh/QJuNigPUTT3z8ykJzAQJzG
AoiSGUA/8Dfi8Ch/C3+/i37/LpiymbHC94R7XAltnt73d1lc09JKlbwYRxnnXb6ut0ri1J55fbb7
2S90vBUIbkVAZVmnFSIxx+kyZUfjbDex1wBTZ+GcLU0qf1RqOS6o3y24visJWNzjWittQtHvvxNQ
lrHGi4hehMaLTNZ0bAoPKZ65RmjJZVrDwVryJUSzVwyB4cxg+9SUqfmnv69H8MG4d03BKzw9gzJf
bcyjYf1ks57j8wVLebG37PKHh9w/zWN8m6R5XD0IVLnPyTw2oqyMOxAlQTHXCKb9VgbruI6H2G6s
h599hx43cFwYFSZRzqmKwluxROnKWQW9XpsbaTjVoc7Vz6FymcccMGCdOxKstMlaf7JaLBUGFHax
qCBTVbytcxvc1zgl27//LvhsnwwUxRmGJlW+kWAzkacNTm6aZauWE4RyDo0zdA4BblJMSftFKvgz
H4w+zTBRli3x6WZIG9BNAdhBWH1xnyfVvdf1stxZc9uyfBoGkKjOmg1zY0UlsIA0L9cv0tV2UwUZ
VoWvUVTUWehETl8GOFWL7j6moVXuInbjbkuv8lyVgRmbWP2IOVohSPWJ3RbpOaQ9lH3BYurFlbQw
J7njX7NIxws1Iivz07ssmR29m8B1ePaG/azVd4DaFh1k/NjZrhX+7XcYWMNEMZts1AFQYt8P28xd
5H6hOpRc4H7dvHeBt+ztWudliC9Q39xEjm/ID0mHBPBK9KVcA8cmJxJq7WE2jtxo8A95iqbmdvXd
ejmbe1iLdwbcx3Zn9jA4Lom3lxLRoBxnN6iQPvl7XU3lDJHEtCL21Nyt5RacUuq+q8E2JLukH2Ag
2qtrOHd56eKJk1tRe0cfrQlGCVmJFWBbNq14+xNcQb1Rjbsb3d6qnuGAxOK8HtzcfrQ8kaxx2Mx4
r38qEsejoVJVNoXS2MbqAMeCsdwMlWqHQ+doWRLd1rWERTPFH/NsUnGYdrOVb8rZTB9FkhorQsLG
sDbOkjkJ2JGuTm/lkniP4E+K5QBrpZjOdCftr2uvZ7Ep7GalOljIuuOt6YVWoD4tkyYE6ZHcxWOO
eWopk9LceHVeVMShXP0uMTR0QANYSBbYpVusYVJ4M86ZY1kMkB2E559XtMzdji3Ax4fFUf1y1vdO
5UYsZuXkl9tOx5kTbxZRxANF57lPjM8q60bHDldyj/11lyFyuZhSw4WtZGS6+5KWy3rWIe+MQrsp
6BmpPBJzgcNajcs1rCLL3s0wmrv7ZmjH9PPSuY0NvKQSqvO3uKMMINxzzzcseGlRLTAMq8o2xug9
bgt/ktAgsPf/4tu1GC4d1Rb964jHJkoVHxOjNd45i21eg6mqkvO+iZN5qzvPbA98iP4FRkDl7iPI
ZzjSi/ar0WPMHvh1OhgX8eTLeQwIsMv6tjUNc3A48tm2flmzKOOtjp3hG2f+vHr6s5hKq9rHo1+A
p8BQnuap3KXGUNXZMG38DIlrgHdzrMKugpp01ukUItqKH3J8Nxc2/ubm4Gv/ah6Spt8ncVl/oU9v
0PtkYA6/lL2dOMC42upiWGOxXBbAEovdpBqtzjAnN8V2YfJMmyJx9fUw2XF8MY9qKN6povbwWy6B
mW0R87TW1rSTeN6sCZ5oYAsitQRmlOtmm2esndvWhiy8hxdUNiErKTvYPDY8BmPxV0KSGs7lDJry
/VLUQu8ll3S2Tk+lPehlkuRbhWa4PgxWasfhYIuxDp0emlSoMh2DcOhl/roOQN+CKSnQKTclpIOD
O07V9MHNnRZ5ISceuJEAC+2LpoeACysSGthTXY9j+m4SftWceapQ696qpxExpRUX7s6vBv+pdYf0
SqBFibdWcUTwmWMfXyVNi+5ixaY83eZRUzfbKXZUcd92qgCELWrz+ILG6ZOj/QF+Xl4nD/CRCj+s
OulnIUiA6jqfQQiHJDdTuk1icKSh2TuWG2QeB/7DlCemu6n6BPqrz2x8rqWBktlYivKuH7tKhHSl
Gtf5krf3LPx4ahe2MgBtWppVo6r6oQuSsskfGvxszdCKgXTu4zkCJbXiUN7cLJElEt7f4PW7Hpou
SETQX2rbgN1Mw6GaO7VzzKbtwnrOuug5Jqrh6E4R0Ly0/cHork18fs9q1gvnUJtulsHrs9LqwxCP
SbatxtX/4BVsnCGUHdBrbbvQbQBhuhoukAx3GvgGJe1NOyraab1WpJT6gbV6mLuZPd1Okxj9kE0c
bIiApzJu4c8OC+6c2lw3STRIHTa9TeXX9Jca3BDI2fU8YbaYO9iDog/VWM3DOXCIDlCo17g4Giy9
nZ21QmCuERdFZj0OQ9cB/ZNO7INzwGc9mKeS4y98JIKhwlv8dmdXJG62sK7kZ5a1Vlx5NXzaMXYd
4DE0gYldk0ZU6RJZO/KjzjD/AnpSivx8GeM4gYJi1uQ7kpGkRLOsfJMpxkxp0zhLmoWurmGm+Tij
PS+wK6eAbqFchJGpwdmtjbSL0JgmMGrxbHkLFJ6GoBALqe61Nrqo2zrpUkwhAwr61uLb02HWfYcR
DJCkFihX7sa7gT3gY7p0031mps4QlobHVCyKzrhpjEia8M8yPQVFIeNmY2GCnJ0XuYXed/GNdGbt
crpsR2NHa210O0MZJNWYfbVKqyvDwYdjF/ZjuXxWTdtrmKP2pLZ5146s7V6sjAAb8l5hYY2Bx9YS
hVUAY2lGeG9ghfa1bvoqhDpWWCGLrh+xImvvSQ1VUp2lZWWM2z4xy45i4hTB3gXMd0fWb6lCr4dE
RhBj4O5Se1mBctM1VAhv1Xkvwd5aQdmbHEz7uBDZxtbjIsIyj6YV/Wg93CXrmks+T+KaR24QbNhW
gsQI4Oj6SyhBIQOImHJOnML16meLrY8pX62Ytuu2AwM6ua39JZFdxQY42aS1el0BKFXsBFZAeRX8
eLeyGWxQsUNkS3EA/LR0Th0HjV2bD1r5MVtBYWH3S400CXEznIqtB1MExqLu5bXdm6vakVuYFQFS
0YYkSeLID0bXEta2oYab7aylidrbOBJtfLMkRQMNLVblAJ8u03q6gFm72luD9T0Npajq5CrPi9kK
QHFm8721YlAS1spxs2sHAqfe5w442sMqHMZOmSyeeRENuZ9fNMQSw0OV+UeuW5w6UXru2bDAIBYm
vSNVULvRLNZdaaTKOYNlUw/xpWUvqfvSTYQK7K9WK+MN4N8WhpaWZIHysMG3v/lI2GLVmNn1PRyj
doqijWNAT03ZEPu99mLPBcRnLMiXMMcFBMLhEHpgRWMxe0elYbNyEnxuDaA+512BhJKbdSZZ4Vou
d2pMW3+T4u1dBL4BcGzXRR70xFVRqdiQ+OmaDUGXrYME2yQePxDNYcubcc+H3u77/egMxZ0wapjC
XueuT3XixoB1YzSs9JJ2zruunPS52+c2PFpWqMs4sp0sjJfOG4CPeQY7VI2UeztBOtHPY2zZz4Bj
BcPN8kdzJ6KhwoRLQBnZ6XQZYnC9/mqFEtsVGmO9L+T6PS+o52Xsw0XY7W3iHHXELp+8YQFka6SF
qzKuRUcfPUO+ivh4NVaooSanEG97M82eI5GwghhGVC4BtK6ZJgH6spsA5tb4qWNTn8IRHykAXVY5
5GEHNOqpzZSzsgxbUxU0ZuM99Nla0C9vmriFWkU+eFAuyhSM2xp3ervAG9OHpaQnMUCFWz24hmXD
aoNyPuwI++StB85FBHZB90lop0n2bFlpBz3a1bMdKKCOB4/K58LdKc4E7Tird+aUGeXGKTNKaYh5
yyw4qn5ece8FoBkvDdMwazOMdsdslPwfWw7v+3FJXmpwPwBtlemLDWe26WullubJSzPkh1FELCVA
mOXgJyugTbGR95eL7JirmOvOx/1mgPBaZkamQArLhqQnx6FPdHHKi7Vy5nJrxVmBkqRwk9uZla55
9NOu9cALyJ6hNC45wiHfwf7elcLYdYmXe9C517IKJaydMcjqyhqwF23Z9fIlW+/GKouHwGczvZSG
juPzJKuMx9aLpXhslBVNQdfl+mZtHft27vG4wqjRMd6lGXYGW09obweqebxshXbGYHCXVrGqNfVn
p4rrWz1yZCTEziGF95bXroCmjsDf0qwK+7gdRNHeckZcETKPg8YdOY/pFexO9bVotEsrudGze6Zu
TvOQb87Vp9lRnsOW63RzHwLjXMwI2puL6jKQS7XSkNJ0Fcs0w6fO+gvJauN/MJa17O5yYSChhoKM
FdBOpvC0H236MoYyaKwlRj3s25013CSVUTArjUb0bRsSAPGTIy38fdnN6+MkmV7boqhcvQMqXvSb
aXDd57jP9IPDUbALFadQG5Ay7tEMpWwZwnqYldothqkv5pWgPZTryjGE2Zoy6MTo0ae7tZwhee1a
o3eCplbrp7ntxy9ZC7IqxFAe82ylDJsYEw17z4knznvo5Xl14XpRkuxKbM2GMKrKo6t01xMBr6Vl
v8fpSLzXGas3i20hyr0vC6R8VWXn27aYxXXl2EXJe2i8JJBE6l9iPKT9vQRH/ty4hZ1shqEqdnnj
4JnkWav/7M5oaW+t3JsiTl6e7Tafx5SD3ENRUiT7yLNdzG2O8nvZJjOhd5DPo/eYNHh0bWpNERTq
r4QkH9ml1rsYVqVzUcrRfXA8a5z3M6FgVbBOt4N/Z5DOyC4qaUCu92RuQLPWvdiTkG1fzMV1WNu8
jGBFDmPkclDOZ70l2URAXg9O3KDdbDgpQDmEbDatgBRb4s0+MMx5fVhXY/wYez6S4DoX5rNaXO+q
WrhI2KbDN9yip99P0BF7Jodo3S0jjtiB9Cn2GmpsgJEhAxnrgPQwdfe2y+Jij72rxKe20NVL6WNh
ExhUaaFPudlkhuMg+3Mb79B5uyQ+jTsEoKUZTGM9fjKgpaSXQM1pYssWJbs95c8oCgg1xndAj9Oa
bVrN15XZlz7QDPCrbPLt/G4dUjPfQ1aFqD4h5kj3pP1svuqoZMMwnLyDlJOryUWQeA5cQ5jtdZ2m
eAynqvDkpS7N+LnqVA33y2uaAT/J0nowaq+sWEMJdgM8/o6xW5F1F1Dh53kjVyN7T8i3EIAm7KFh
F7lMfgiJeRx28NuLAHVxKYJc+aMM9eh0L7KOpz4gqaXJ80jIhXtghkOzYVyyHNYzoIqtEZeAxIs4
E3mYj2nxEfZh5gf94hBmr2ItHo1WrTdRFs+vXQlehdA0pRFyarT+wrgEnmZ7HDW/rktegS4nNjbO
MYIF7TIOa0J9WndmcVDdOFR7JX12ztZUo73j1CvEx7J01jyogHW2204M6+e5TVl3xjIxb4soneqz
3Fi7D7bjdQRNGNcqYNxrvhjRlbHQ2VTeJwv2HYesHZdsPzWEJOO1aNQCPrRdLXNTr5xUX0gcZOVH
kXnaDOPO7Id9HzekqYI246z+kBPGtWx8ExSg58IRGNdSVJROBg9xzZmniSuK/h3yeNcPXW+m4NLm
U9pcqcibvk5g5JdwqeacddqKOC3LnPNKKr30Ml9V9Oq2uvxKcDt+aLSfWE8aFmvxFdubTO88SQgd
QC+1zLOlB/x+nyRx0+6tAifzB2+gWE0WoM2ehnh4V+WL6jhEDGYSuAwNvOYJdjOj4ljkJpsIa7ED
z/ljX5qXbdXdVLXzlfNuvkka+aUqrPlDBulgW0Jz3HtyOu+PIafRmHtVzkOIPtpyXmLlLMnFfzRM
pQjAXBUknWFWG92D0TO8yu63rpXRjeU1DjlDBK7DB9ISsNwW4DN87n5yb/5D1TMdchz/OKBX8QxJ
LsNUcuiy8cYfbfOekxm0bYw9CU+XSfW3jV/j90yglT/+fS71T5lUKRUVEdMRWLba7mkjQuVrl5Hp
GRxAMmQSpCjDuQGw2Qtj/kFh87QCyMGQugs1JLQER/HpiSbIne15WJspCkwjzXFjyeaNMyw/19qj
TO5CSURQ8qYsgqLmpC7Sey6+CUlmBKMju3MOQdUlwhb7ByqMbzKLP5YquA3Kc1LpVMZsxzptC+vj
oXOsoTewjDWKCOAWu04Qaadqt7LHEhystbqepOBMgRccPt9seF9xkiH0+fkXaAqPhPux4OmcCgi1
GzmmYfACCZRpPhikHxqiF8wJIKffbvVTiqur9KWr+/rrcKqn+k6CddO8VvdD9/o6XH1qTv/m/4/K
q+Ng/N+VV7d18an68p3q6vgLv6muLOefIGSErTwEV0QXx2rsb6ork59YHEmoCx/LgO6xnvW76sp1
kGrBl8fmTHoUCY/j53fRleP/U1ClUUflBiU3/tLPaK5OBqoU2GlaCqkEFXHBTqNOKuJCrmaHmFeE
dP6u6xZnVTF846LTfhkTCgSl7KEqNKSAb9c28bZ4Dtnz3hqtTv1UyfLbR7FxHaFsjfGLa5+itrTT
YmNoCxGORbdsMX6JtmPXvVtU/COB+/er2p/vdFR2/MGkEgCUtRAOkeOY4Xl1sQ9pNO+yGy+1ftQ5
/FcP2EYCYB/lcehSTmteVs3mSSu6CKuVfPKq+ymcTafhPE0GAxb3uFmclgjKz+wgtmZr5496+fiH
4cjoW+K6+t+Lwb993z9+hpNFb3XGPvNQd5B2S9Ib2+aYH1Wp8W6G4fqD6vbxUv9e+H6/leO5VOtN
1r/TPkd3gYAewbYO1bqMl2ZHtEpZhELHpmIiIOsr5+nnOvx/u+dRJcV0MFHjnK7prrHmEO75ehlv
MSFaN6atZRjHunpvXEMiBhCcpD+yyfkmazv9qsdKNBkemKTm6dIKa3WpiPnMsESV/KRMjpQxKqNs
2+vJiyAzzBEQe1kRRrkUUzYOoGxx1i1oDT8uK5qug4uZl7kthde1m7qqVmL1JjPue2CqtxUpgOam
6fKcnNmS1PpWZujsfrDp/tVMQKGCqAKkPdrEk023yKsamYBtkkPJrQX0daL3gJVScg/2WH/4+2FI
PPrn0eFQ/WNv5IkJ59ReY1kdf64QAoW1sa6E6cgJfFaYNL2rKRCpwB6TJtrAdjWKEFqxvJRwtZER
Ni54l3Q91mnRhUYweql9UfJMhubSNBxPQhYewAeNbmUPB436teJ4gxltmK3D/LAkBFMBz71+1Dh2
lo9r6qRJSOqqTMPMpVYYyNihGSiKmvar1eAAHbiQfm8raN/zxjUrXbkbmWbLZqFy0FBldZV1MDBi
qjcqa3WzEWNapbddLR2AeK2aEsoXrUk+usrXj1U9N8WuzChZXHVqJBaXQ2zcd652SJO7SbODb7m6
mz6npTG022naiKhJMzZtQ72YsUCh77RmZwQ9Yqx35qz0vuME2gYYcySkbZOWeqBnJANZY2sy8s08
mvnzIFr/lhRWdEyWOM3jMTCSV5PW9Z2bt265X+h4ZoVHFfXoD008h4C+rBvZ9e0HHhOZCVrHxi/U
9eWyG52Y/Eu5RvRz9zR5vk4OBYRgMnWUh7oo+hfPWeQTxy3vmcCLtFndZN554w7rS29lK5xXs7af
XXDplCmn+BUS0HSnKYlYwdpG+cfchja76ap1JfESL8PdkM9WskE/5b5fej+qA117y33WcRwNm7UW
96thxPFWRbW+h+mt3q3y2MpQaAv5K7I1Coa9VayHxq2LiixcOYIIFwiwgkVRiQ6oL7V+YPgUlDiH
avniVXOU7dfcSL8O6I3STeYY+aUTteUQMJjTaQPsHTNzN+6t8zZLJ5KCLI6YwglJOtRKLUmWWvrO
+n6mXK3h4syOd55wjnDOU6WtqMceDKvuvWer7LHCxkuGKnaoVVXZhA8EZerukaSTpFE5953m4CCn
cM+cEeTnTuqeo5Sj8NEJ8OAnXg44CJv8v8zpU+t6qso1JqXQx9GxvOvZWw6c810sRGWFPTtNGzQs
ZnZoRjbLcTnXxQu1y3TertQis6BLRDZSP9PDx2ZKx3aH8GEV4QAodjks/eoyVRzJ4TYb5PBos5Mt
5J8WsixsbAOnXbL2ckuo038q2ijmCIWWMJgaYD6BxjevCLVvGddxmUTuwUpaUqXUPLzpKkce6m0q
q7GmvaPx1N2pshm8TWtHDIVBLUhx2B+lT+poct3ssW4Jp4LB4JS+qTyYdPsln9VyFSECMq6sjoTO
04yMTG/p5XfbXVMN8/xKlzlJu3hK+CcgweCN4WLJufhsMcmc0J+K/romEzC+70lQ6RtrsPLkRnST
S7mCiXLhxEvSb9IoHsVd0xr2kyuGSAWA6utuH02FEYqB0ZmEk2VUGUtUtcShJfxuuGYI+E+iWeAa
kLaX2GZV1FFCyyR/fTbP3QDFVWaMYC+ai40tE+e+Mq3ECawptZOQ7n5xBV/JiAPw3xy1h3Tp4Tm1
Pl0fHgXYZUtLFisIi2btmk8uebdb2cTTZ9MdV/1MNRkLqSCvoqj9WHtet5Lim8a8ElcJhSUkbpZJ
VfMisqOWhnYv9TQ5ED14VU1ysrUaMxDwL5wbnL8wJd/4oi/igsAptTl3Y6rM6TSNU++hGF00KNTk
Jbtg5TpNYCeeNV1ZY16W+8lpGISj5Rr1howIIPvJnIeH1vFUgiDAnJugEEoP4cjFoJ7JOX9aXLFy
JFwaVYcYA3reTlNM2dfRnJdX1LZz69AveJDcjy6uFsyjynufj55+8HTlXxpml1z50iOJOudmhH7K
deKLuhvnXUJiYuPFNtRy0fNcV9089rUd3TvJsU4Qt9rdTKvpjaivyupTlHCMm6fW5MBdLe96dAKP
5K7rS+0vw8YD5/E+MpaR6UzvYSS9LcLBYTsZ81WRtPN1lhWfaicqiqCNvG5bTc26oey8BkNfpFTt
fL1zrIkSUQSSPgEWPAVxVxYPVB60CNzRFBdL3G/bXOVb0bTBOmUf6CmKN2RDlQjIWbuHuhzTnYEA
/jkffSNYZXzX6cFND2lDJ4XvR1fpOkfb1K52roabMM3CuzA6FVOpXhEZ5To/98YoDtdlvY8WSYlZ
HlPWqPvI4gpvm/llvrUdvdVUmxA8pGXgANEIhIqLwEl0jzVmkewG0Rwi2T61a1KzFDWz+tSXvdrJ
uigP9L6MZ3Ahig/+bM2HqXb0vkRUEcyzq/Y4ZLCqSHNdto0zv1R+/ZTnUXHo6mS72C1bgNWQaFOR
bnYS38+rbIYXmEq7v8j7xhabzIw+OpNj7pF+15T/lIw+mzgBV7YRHfLKelFTQ/nZKM2Pbb4a4bCk
7OZ9lu/HshNJQLOdCJqofopmRA9RvzYPNqteSIyp7kjK29tS12Sz5fg1SxoPs9H/w9557EiObGn6
VQaz5wVpRrml093DQ2VGqsrMDZGiilpr7vvJ5sXmY6CADmcQwa5a9+IK3LoIc5o4duz84oR3gHG/
RsuvAXzTp6UFg0O95gxC9Ads1veDE49nKs2VmyxzlaRpewwSXXhzPQHa+2pdu1qa9xc/rNVTZECT
ibRPIpX6IS80WCB5VZ2GuMHlTPeN2ymBtpFHlTxEQB9uR26QcTnp6lc/km3t+XUwnbVcyEc4dnrh
VtMce7UYYJLUvaBMnVTfqUKEH3PRg03ZalsZHq73tgBJLd+D4puntur9C5nsJ6QR2uMQGdw4osrf
Adfe1pFzk5WiPNhN8RNOwmPs+Leinp852ziytcV8WwTWuwhRxsHpmvtQUMr3LQfjvXwJK0MYTDEA
VXZf9nn4F5mi/RN0QfEyZ/YPoemMB1XR57t4NhuTvyDAG3o7JhpYAc7zGLhjhdW6HDhxH0497LlU
9496HV7KaJ4/GoN818XWnyrKIbfNJ3Fj0FynL9S/htw8kaS14PgqcFJun3shG4DV7JcPicrTZ3oH
1VJ/F6K3/DoajXLR5/Ap4dWbUOik2gkGp3hqqRRPs0rrJQ2BrWfO6Uk2Vn3KoPB2tp6zm6pjZ45w
4rr5wGNHuJHSQiSu/EtkQOIoUqwNo3x6gioQnEIr+x40vf1R5tothLeB8kx3zkJq8pCDHnwjRURT
/tCdnkeM0nxU+vjSAro3Qfi1lf6nqSumAyD7XQk3yyvD4EcWc79Rj9CWxiiPWQrkFZXVMW+q8K6k
8qn4ZD1dq/1qKlLwaijsg1Vp6hnyYXiQfmp7lFFBAiNdOTgN/aDcPtD9cxDHcpn7yPxaTFbrqdP0
l5pGkRfmkwenYYZV97PMpOEKnGy9xowORVmmHM7puw6h4xia3XFWnPZe2hPxdioewNHF4BLsbVDQ
YPhsj1FkHttJqc85MPPoqeZA94iiMnvSlZo6bYevL1mq0yaz15I7fsVsRPLH9HD6KbpqLt2xnQh7
lR/bBzupoxt8VOanyPSDj1M05n+Egyl88IKoYtYyiveukKGdoO0R6p9Wi8c0nCJwcIrl5PWHNHoG
peespUZsdEw99jeGR35i5heN9hMghwjwu69wc+forEYGHa7K2Wof436ilK35evE+UevSP1S+I28y
tQlvBTcwLz3fTCOASjFewBqdG4VGAslhnjEEdfMmTywXz1T5M9DMND0s9fPoGEtZ/8U0pphht7nq
NeHk/K4nW+vd2u/0wU3gDUCECfQhPDXU+r473YiReJNPBmbUwtEeG2o9TKOi+p9iNeuBLkJLfLCn
KC0O8IPiR7WdmsSD62j/0IZc4yKgFiXY1Aa6el0zkxDhvhH7x7IWle2BzkOwo0pP5iuMGZWITzW0
8XqnVL/w9P1YZiWsO4ciTuSqQ5UmrshDCIg8bvnvPaQvzS17Jfyr9JF1uR0aHrj9jVK25wCTf7zL
OiW6aLIvvgdSTsfB8MWX1jFacYo7pfkDliD0S0RGzJIl6tzHTC2xYP3AmL2PUtmq3iz6mv85BDE6
YDPSWLztuuyLaU3RlyjI2KiayK1Pmj1yjcH/t5euwkGferPv19+bsomZqylbBDAKtnvlZOXvwwnI
+gj0GHI3BNDLDpbVpt8tNARQNnKtvNGgjnaXVujVn76wou/ZkPdPEPaH73ahV5cUSa1kb+eVPFqp
Y/zR1j5ZYJpXNPdutKIl2Z6t8VAOlMxcyL5QJKK50372Id0JaPZLPEqNgEJ2mwASexISxeemxB/U
rdmYvQvaMnzQrar4nfQZwJgVVH566MZquu8KHgUHHf8inisdfuJHx4FnelboSPxnbU/6dzXzjU8S
5lPjFmj+ikPUGyXAqA0pxbM6ZSBwjRPWLYaTD79pmE3n5xkCXuO2YEQf9NRqnwLfyKA4M8iHdCA5
cCkMKf1Zp7kP1+Vgpoc2bLoBfZY9//Qzo3ialKCEn2wE6Re/ENWvPlXnd4nUtWI5ZaXBXgiqT3Ap
Wx6+ZgjfEsjViT1DgRHlBV0zx6QyJjlLi3Rbeg4Y33czh2PJd4vol9JA++DG9ZFF8EENFfmwpTdw
NMqnTpa8gXTwTvDx0pi/2nNRNVwzVs77uu2n/NyIMv08Nj52TBoo/G8QKdgrTVBXH3oIoYWrgqCX
rk2kDRa8Xf1d+aU+H/xJXWhfIjD1I7zmYj6O00RGOs8IGA6zMU33Ee3dB680RuVb2ts1PL1ZKQEp
U9+f3d4em+QESoYVQgYtgUmGlaq7hl8ryTEcurGmC44tT7x8uS7CIQ6sgxSp8UFmM6wMhQz/czpZ
On+2WeDfuS1DaLaqzNqb0FTBJBRRl5eewmNwglajDbzxTI3+V1OgnRLsKUbwxjZuz0kvnOkBT9A2
dBEvxF+Uwsks14I3/WSRtmo0LRjq4kj7rKb0qsquAUolGBYFiOVlpEA/+tOWTReencJfOhv3vfLB
DlWUB2qDvwGXB/DfySjr4bOp1GZxsBw+kwQ7r57otwSJNRqmpEGCplrZWQ1k+lS3o6Mf5rHB1K9O
wh5GZiioIPdJ28auNTSEc3rrVTzX+tOcOVBqhtK0//Ajo+gXlhzVjSD1RXdqoOL+eLvm9VzwvKoS
Os9aIssxKE4uNWBKYi9qzWahmyXMgdBL81H9MBtljD9oDg/fcIrhqMhustwWNQ/Ziq3Gjcf7uXgs
RyU4aYirPokmqR6aYA61HWDoVaGW34WGUBgOVT9DrjtZRA48rCQJQk/I6VsfxR35eRERD4LoSD6m
7ijhNobTkWRSChe6RqVxKUS+mAZArtrsRjPyHCNLEFJMmtdTfLgxbfkXztdyR064zOpq1ilCa1Qg
BYpkde2BqYuc5piqEXmA6H7zoypQeH/Jgrw46mGoTN+tQdGSH1U/FsfZaM2dQudGVZXCDNkxVRZA
t3VDghy5JFVG8IWJGO7aXCPu1JrqWcnzPVenV/NqGYh2kDwgXBOObaygjN6Mk7lbhhrraT5VmUxA
tDvYPK053FR5Ghzf3s8bn7Z8FLC5BJoy14I/q2tS1Vjq+8KCKqz64UjPYmJXpSh7ktBXQ9mcHE1K
GBYC2bW6/PMXW0ZKmEthmDJUYMNmRb9zyg2eB3LW/rZ7/l/o8v/Cf9AodYFFI3kFNwSDerHgi0nF
lYnE//uvBcr8P5dm+Y/mJaS5+Yf+hji1/8AOILzZODdoIHgM8TfE6fyH5cMaAGGgiojTBF/4G+I0
1f8YSJmNxXRiwYkWXPRviNNw/oOUEDSCKwhpOljgP4E41ydEJfCC0AiarhEOtDWFAcZrpUU9RjQC
yo7bdt1w07Qm9dsaWr1u7qkDt4Yz1MUpA9G7hjL8ete2ZqUTz8LZix0NYVJB8tzTIAL5SeYfm1hY
O4DbGlJZPs8GTkEXzmwZ60iXNNJwKiNVPUvh34ZBax+MKe3ew8ABrWiaNINUixG7E6bByRGzdvNi
f2xgi9e0DeS/jO8YC7mAX7CwRa6/N6HopNllhtc19RD0AlC589hId+L5OhYwilBBjnSQcv21xVJS
ByWCVsQMohxyL8Zu6dTlZnnI1Gg6vv1BGxMqGI4tY7BjWMPrD6rJ922J9sBLdLu9aR1lPmY861x7
KtIbLQo1bm7HOLaDQtYNI2bnS5+pIS+vruVTuShVtj1sW6L79fi6Xcx5BfkPL1Qe6Ah2U+2DyU9C
/Qz3R0KmyupzVXdx7KpVGT9kekiFlDXuKjdXqOyMiCw7AG09+TxD2IFgTQ0x8ngJB+9noU+/acRj
/VLLLNrbi8+3+KvfLrmPjGX2kKZe//bYmcOljsbmz0rnaIZZfag6eNpObCvvs1G18XZRHvzc17ww
jGvX7GPKZaaT3zSFkr7j3EQ3wu5ST/H9ve5A65RgmVc0+JbGXYkueu2/QkumFsq0P3sK7yN3qKwS
wVhDJQj/l4gKjocRgO9R7R535PgbEYGB0S0LAqGjyVVEwGgrp5oqZwhmFllWiyCv6ofJg4//W+33
euK+Oil8G9UdKEd420BzWm0fH0LgVKej7o2qL065qJ33mW/CGK7gwL99Ul4d/WUo3vxsUiyF4Klc
r7bmm02lNbPuUWKTXqrEwQ1ARfD57VGWPXO1pxgFayBDNXmdwaNYPvhFGjDzhoK96PNB7bNWtq2O
sV7/xt8OnUZZz9RMrG4nBrxasmVMHQkxkQAKztoeSNEgTPSIBr0esPn9kKfVQ6/7oecQiCiLa82n
t7/xWSP/6iPR5OtYTQrsL1Y0nCyhUFOZDBhlCUhpmSMsyILI03SbHHZKvjV9MN51ZtV+zDhVN1ne
oFUx8mQnmm//EHYPfAroQGRf17NtmEM2jbbCms7KfIN2uHqAiSOPA3RSOPBldqt0SnsKcKMBTBkX
c/IhP3Y9t+rbU/J62TXEGsvlJmxck9YzYpZlGVZZYnhlhSaGFqT+uUBuYuup7jqRWrpJK/a8hZ4t
1a+XgUGthc4h0MCTnFx/PfzMCjmCo3tC6WB0Ipod00WPllOFNtM4pP8cdZJAWX6DHRxV+tO5iaE7
J0lXwIPpx/lNP1SqF1ryUVZUZR0QJo+3YbuzYTZmh6Ng2ropF9aWXAXarqIHq0LV3+u69INppvNT
IP3sQ1qa34o2IjOvUPfsjPnqYsRxSee+f54cnnGrraHTVtFfPGK8IqmqO2jtiovcK4K5Uvqf1HD8
haOiPDp25UOSL7KdYLO1NoDdhBr2BDy6teG2KYpwyhubyaVSwDTb1WcjK3V3zHTda1LZnaJU0Y6R
ncBuEgUS8FgvzpPqIDvA+eBojI1AAJGZXj1wkydF2R1NR8CNKIfMe3vzbk6VZfLghwnFEi3//EXM
mqaijNJ+Bo/i0UbhCwUo1HHhaT1UkaSILhVFUTr4/UmumOw48b6655ZlctgWXDgGD8JVvLQiJ9Lo
F696bdt0j4kP24RUsL6lqIrqRwuSU8BN+IlGxHLnq5e/vDo9VyOvTk9TTh2lOZNNOdRIkSX5WZf3
8VHJp52qytb255YzTa64xQlkNb9VYWRaNXcql1zRHqu6JJ8YLfsYaFp4NsBpbn0x6zs7cGtRXwy6
TsycwXTQnzFoZMvsDIfPusn9/BcKwPdmaemunUyVNwY9uqew/Kc5BItKyqLyvmJJXxkJdd2CUfqc
9wJ1PoW1qr43IHZcIFf0J/yG9/ofbS0l9kFLDcVg4PU1MDXUZyvoQujJcutgJX5y9hPzp0XOuvN+
2bhx+LTleajBazUY9PqsKIB9kIAM1cuzrPWiJOi9PO8r3i466h8KpThWFNYZzlPujYoRAkN31jFX
w712yJq+sX8xe6OYYnPlP5NuX55aeKlZgRJLRYXaoJPoS+wwIsvGDCFJjzTgs98pXV8e2qxbnDdU
H7JMlR+gYoTvZFKoIPjteFvwVL68HU205fZfHyzTxDYIg70ltVtF3kWjgapEUjKDeoSsT1xqu3wS
E87PtT8DTEzZcAkx2vAsFDgowKoalTQhMKeb2k5qtHX0KPvAyaAuA+djdfRayE6VXtOqAY0/lol5
qXulWUY38aRYT9xU6iNOFXv2t6/zMc15Mej66Mm0rqFAdZoXiNQ/dDTpOvkoKV0TMQfGJ2b8+e0Z
3zrqxH4TpyGaehNHr/ek2fWhZfWa5mWxyRNG7+0bM5selNYBigD1PCJMTHGg6JSjVrXJ+e3Rnxuk
rNd7MejEwWZ5iq4/145m3kBUuD14v+ZF8By911TFPOmDjfuVn4ZHI0XMmy+PwsAa6NQo/fGR/9vi
eecAJGAGd+rL1Lwg8C4POc/EnVi4tSA2xjpU5ZbHv7MK9YLSYJMmEC5yLTH+7B2qdCmuS4eqL4YT
DFdzZ9e9vtTQaUMqBuWHsc7xvF6QgWcBMhRL88YwxFyyVcuDisUZbZgh/YhKe3BMfFYaLfjy9lK8
DgmMu6QHFD0d6uWr15TuCxSgBc9VYxLRh8BRi0NPn6KdBX+93RjFwdeMwio8trX7kqiU0oDcoUEg
MKz3dmlaMOs6XBJSGjj6yYQ2rggziIz+bwTu9k7C8Hotl9FJ+Mnunr1Xr+e2oy/AUKjMLaJvh9TV
gIGU2MHnNCdDCDAp24n4W2spoUs7PLGY2nWDhhQ/DD3JGuE5bZxxl4WOa8w57jlpFvPg6ZZO6QH+
8It7/j9fTYqQy7OCug5Kz+svlb7AiQXU3lNzfXgIyN+g3KbdzijLX7k+vRxaTOSghtt4hD1fMy+S
v86Qgd3kHd/HY+GoLS5IUwUWHOOa8o8zrmUoa1GKLJnBOiWXSEl9UfFBYQk3WcvKHo2i2nodKOjp
7bnb2iUUbA3qFySWwEbXc0f/ki7UU4SBPf7SpyFNfoa9HyDAbKmFTX3wbyYR00R1Yafrr7J9iJCw
Sum/5iFZB2SteIwKJ4ZPmfBvb3/ZRgaywBl0L2dXcP+vMxBcMSqurEJ4DT4qHi4lNirHIjspLfYh
VTLig2TFlhfruf+HMtDnq4Q8e9Dq2vhXv2TZODimWpTEV+FGzFVSS6MX3kiXq9MAs/kY2gpprmZj
wI25FlQLx3oPa7/0aCfVIyOcBHCnou71d3t9zVMwB67DRpjAQOnqerkLxZQ9tQjNGzKbng05Zhlq
66ax+hBnVnKTpf4/a3NGIZkcEPTAJrWg7kKucz0iNF7o27BAPBwg2htLgjGpXZXsbOOt73Lw8gUq
o2qO6up6FBumsEbHKULtFEUXiR/bkW/pDlmXQ4pXel4U0V6zsq2ARxJtUixjQCb1eszI1JKcAtZy
iUzBUSmU8lYIhBaF1Osn4AkYs1qons3KtndC7dahJXFabhZ1keMsv+xFKKpCCb2jjIUXlwLRRQcq
ng3IUbsQQmUf5HtHaSv0odunCLAg3QT56/EGPN31QWF2pd/ER5l1BozGPDxpFqfr7VP7XOJYhVle
DGQDSOiWcs1qv0hfFZhZR5xa7Ogeyra6tKoSuRKGopdVIUJ2rTylU35xUs15mEoad9TC/qzapXJq
DLVweeTYT2Yw6G7I9eeGmqnAxihPch7jm4FE86zi3uX1Epc4P5B0/Qm1z0KZw7uobOEotOjSsEkb
zn4RB26TOqAFDdUiZZqGSxSH1iUTcw1n3Z6xe0JwEEit29nOzzP6ahYkkgCQF5yr1k+DJMpUXNWQ
GOGNpsDyhYI8a7DjosysLhhIY0IxN+2plIp+8n1pnHo8fk5xnKQXanuLi4zszmmLC0Rf9/kdxlMw
9SosMt5erY2NgX74v3/marF6LIaSeeQIhAPwv1mK5olyTMFQwZ4t88aeZygTSJE5ofqy/PMXe95P
RZ2UJY+lgX16i8nYpzqpky+wKyTBdJ6jf37GAD9V7nreZpgkriIltFQlGZbkDeGe/5SpQ3vT+I5x
qrtMntA0Jsd/MZW2ZfIqJ4kB1bz+PiXIbac1caNsai14iBcWlkJV+YgeY9w5Y/byt9a7i7hFCCEJ
xrJ2tWyKHg9KvNRZsjprv0ClwLAmnCXKQaPHXrNIwuh9MlrWe6dVP2AA1XsGerUb6SvOY5RW5ddS
G3ELEn/GXaM91KODAWHWLEZnIQ5F7EgoYPKWBo6okv0ipDRW4igEYdJTRqeF+2lpmN/N2QhOgzZr
MA6j6cOEbZV8zg94PFlfVBwmuaURldz6SjVamE5k9uyKuRnejzjN3DopwhiQJtl9rCzKJS4lU+sx
IB/XT/mchu9SbLZUNw2E+QP/kDF2J0NqvYezRVqdNSvPDVi6Ar4d4E4H4XMKsL4yrKT9hqAv+Uvr
4dAhuArKc6Uv3DzoCi39c83payZwDHGJXvWpNLpCYCHYij8yHjrpyRkMuHTSLxFIRkrcfh/iqvqo
Ytx7GtC8IY7TUv2xzK3ymzNF2oe2I7Nzh9nHRU+fVbyFID0eWlNCiM2CsPkdGPhP0EjDx79T13UC
QcN741wGUld3tvzGJcrjn+Dr8DrmdlltwZmMweqqhhIjSAy0evNrlXbRUXaV5tkm3Up7YOmdMbci
CGkBpww7/oV9cr3tDSx+GltnTBVe9UXW2OJKCLBHuGx/tw75H3onP2cinGUqHIt7BOjWKoIYVeXb
ooc5WnREkLxUsYTMu+IrHjh7LKzN+E1KYMGJAmziuXD9WSLkczr4NF4DbRU6bWvcqVkobmjgdN8U
Vveuhbx5KFW7Ojmw8Y61nJwDFhsoAWwlP2ALOx1ywRNKiQnuA2SmM0w25/x2zNlacNSB+sIxoCSx
JjXMdjMKdcL61Mca08PzNj1Q+jbxCWprN/aT4b6P96Spr5hzJIQLaYTmFBY5BVW566kZOl2MiN40
D+8fwO4RHzOMFBbLVIxdTJRJ2J58NmwsFF09G4PPPVbPXyaaT3yEZ2xQF2qm9At2T81eVvVsE78K
i0jmQZINzORtXg3Xv4wOri1Gkb7qJXPUBYemH/HfTSdtSD0zT8Y/Eh7vOrJgCRlCGdP4MURznbqU
9qKvOcZCfxlmnt0jmCpDN2h09XEeIUoKy2q+hbDJnkqcSSGnkpv8xF7J+jyWkf67Wyi+Ow+OjbsS
IAfxsqB3BwXE1YcYNuEnx+IM1yrLwmFq+t7gNngYbZUOhI0h/vk2QtALG08H46TisIobTLHmQ6Rm
RRtVP6bWWB2sQA0AzkLzfZJYeKXlHOm39+5G4MDpAwchjtfSyGMVOOrZ7qvcajWAxAg7WoGJ2YxA
+dJ2erUz1EahlucSVQ0oUGTd+tr2w4Ju3aODpI+tWqVeMAXl0be5LayhxUZOEb5nFY1/dIaZl1xm
342Dmp+Uaoq/w/rcM1TZqCo9v914vum8JtfdO+NmcHA5Ssm5cqcivighgtFwvi0Rn7ixOuR3zxoH
MxwiDyfTvZrtazII5xd/vcV8BPqD/uoxQD8fgaKCx0BtWr8zrPA+zvps3DX+kJydzJBPSQuZOUyy
+rNtJ93HEiHobdmiNkQ1OLglxqquEZk8XBp1Or29K7Z2Ph4zzxwbOAzrrTiPTurHBaUuJau0c6nG
D/iznYVih7e4OU07l9crFwhiGQugcdQom3Ntrjahk9WUOCaqJ/DHIUabWBLQ7KI6RziTH+pIDp5A
iQ/nv/1SKxjMNXq/gyAtqdoqZkHMAV+BqLE4hyzH5EVaLIwSM18QAy9YDjfmE+iShl7cvD2tG3tu
IaJymeHZBZNhdZ2ZVtprTYrKyUhN7amYxOSVwYSGsodDDkEn9xK1ry+5HgWXriJe/vPh6WoD/EkV
lStjNTzAUJj2GNd6M1Y7R3qjzF6uFpRuMG4/6X2KdBUFyAGLxE9laCnv3x59a8dLPp53mASsI0+5
nuMwTSw16ijH0ZYFx8cqNe86tXc8JDrZqe3t6WYpylNzHO2jnY7piboSmgw0n248YGOOVwj03cj4
gA6s3JmajSucB4MAgaGODZNmtf4RhlT4qUrhTVbZe+EstPc1WclFNqBIiUx7d0I0sXO/bA0KiAHh
kZ1PWr8adKTDuT+ZIZtuWrxckkfZ5fMpsmR0k3azdTe1O7t8K2mQZLf4HfEaWziv10sQI5rqx5IR
nUFiNubk+L6qY0EZq67usT+RC5qIVkmG2XmelN7tY2f8lDj1j9SJ6c2F8mBn4jciDW2/ltoimYL1
qhyc0iCqK7D18yTObx8Vy+zOWOej1anNs8jSeifULB+4PueAxdx0vILJlld12iSgvCXTXHqRhg9l
XBq8iDpSSNNBb/32ft9aXeIa75fFpshaU3TKuDXStqqkNw441KoTfbnrri7cpFDeJWpaQkIp+50x
NyMpnODFb4VhXzH7Dc54GtBq3QOhbu8iA5lMH7bxYRi12Jt6GiMVQ2Mc4lqhDJ7N7aUMzXzn8tj8
cEPFqIRFXY76apPlVTPEHb8Bv7Lq1M7G7I0Zij1VyxDlKeKUYej9L+YaMtRCfREgb+shtagYR30k
sM5hi6cidgqmX0NeCWy8eXVjCt12cJqdvbsZ0YhmCxkVlvErILSo9ahGOM/mTaR/Qb6HUT3umHeV
P81nu4oQNPeFjYehjnbHb2P7NMPVc4M2rz1zyp0jjXvM4yCtCoMDFujtSdk6WiQXrACJBgns6rC3
6cyLMAulp09acjRr+SuyC5yTjUi50+PR2Qsu+sbZghaHQx2lENDhVXxH8NFArxTPi2BftITCgxlr
ycm3i/Lsy/LPyEzG2yTIgndlUjQXPyMGYXueP+SjMSDoDVxy0eHy9ixsnXiOH433AJx4eS+79cXN
bpRDl/P81r0ZWuSM+JYuJunktYsJztsjbe37ZzBgYWJi17QaKXCaKKJxAgQUJcCbR08TisizdW6x
+UWLZ6h3gYz2WEVbg8IV0llj2F+oR68/L4YFHQV6q3s0pRmO0xic57ZOTo6mCYgaxSdIUJ/e/syt
CYVZZwGH4nVKCeB6xFHr0zinlQapi4UPUaVjhIqmj7Yk+LS+PdQGqw1uMBieQQtNHkVy9cjF3SMw
tHqQFM5U+R3ZaXRDsyWatgTdwSk74lrmRMeQt+25tvB9H6lO3+c5Pqb0dGzZ5TRRgHNfXkrS6GM+
aym8YorfE06Nb//UrdSO9BXwfenFpRqrwxYHTZAkDUbBtoJkjbYfP+g9U9+GdY28rk+S286Ye1cr
Qu0I/U7sjL7Et/W1Bizk6BbBH03VahdgoZN3QRHopK9Tf0rbAvpFo/Yfxq4pz5Qv1Qc1iz+Z9jj9
i9NFpw3JFkRIo627/IUDZTXDTxkY9/tjjdfFnTUieOKZ0v6bobDhwsYVIzyq09f7Ti9kEPoVO73x
c1yZVdpZpKGYjjYGRMe3F/MZHXk1n6hh4BzTSxM6/PVYoZ0iqBgpXNJMo3nUyq6D/97QXEHRfoZ2
Xj2MIa0NqrH6BWInSJqM6WDMDlYWGK5ndCdQC0U9O02THEQuebn4IzYWteqaFA9gIKXDXcBtcQ5M
THWLEMsuZelV8vZXbIUGGo/xukVwwJt7dXimWsE3IO71Bc/H0aXOIOjmenVbWbTi6LBVICtATPv2
oFsZCDRYxATkcrAm1v2/JDYvSd4MTF3VRXcJkcvNfAgpI1JSr27VyZOp/gXPJmxqija964tir4/h
RoQiOC1EQFjA4LTLWX0R8umeIfzEYqeUytBAQcpwirOtb9GYRTvd6bfA8ZdDrYFgXJL7TsW51EOr
kdC0M5AHy8covDcGhFSNM7+nPYFyjyaP1jtpMtzkGY4gWRTInaRre97RlKDsXV5469cV1WxnjH2h
0zC6h2eMxpuq+vgXllz2yUyK9kwnqu6gZkhLpakoh5GuljsndKvAQ0GS7QZMDR1pDS4V2RTiTqvp
XlgM5UG2i1GxVtC3Q7R0oCEFcI2+n0+SXO04UNi9pHg2HEqaDWI2pao7i7O1DZ67FRI0oKqta+JV
NKp1DxndS8EcXFsoySXGlO0w1HIPN99IfZ5legu0Rg/XNaM5H1JMo/Eo9+LCwQIC6sJRNMO/qLy/
HEVfHegmwBF/ELXu1apP2DBCgq3R4+pBw4W9pVwi3CoCUvehiTC8A/bTmmth4VnR2ANp05RP7Q+T
EtABVk/iNhDgL02fELFwYL4gMcd5W9LPx8HN/AvGaPWxadPwbHfJXp/LzcNG6QSRG9C2vQgfr8/1
iPUebpkcNjAiqFHw9kJZUjEQdXUSZlb/wn9fd1t6qzwMRVlcwroJz/HQ7rVa3MisEfYgRAE5pFq0
5mgFce1odaXir1aYjVdHQ+slTqBfktnB/AJawc7h3h6PAakUAGs6y/Z7EdCMCWJOXSznKi4HAL8q
fpBdaeIHhD0gffGMvVRebK0+VQKDZH6pAq52WolVvVGNaJdK9T0eWoNr5OP3QBmMM07oNsBGNuPV
RdPuYxTE1cNQh84pwofhS1gP4bu3b5TNj0f3s3iJgnesV72MCrrBFQ1na+6ig+Ob87lJq8qjF3Nx
MkKrS3eusK24QSnQpAcpqi3SzuvZVqa+KJuil55Kp7LbLEWVjoa0PlgR/mZvf9tzArs+ZliyEi4J
CkSp1ViWjrMPNmwwCan9HnH0ycB+m/EYpkaNU0qA40FBZXrpFucVE3lj2mUaTq4+rUAUtfIoY9NP
LNGsW6MtywvdZbN7W0friAv/dEqqXPFA3zG2QvN/M4R0MhHBIFHep8UZj0t8OEdpn0LFqt6lqCZP
YZQLSCnWXn1tI0Glb/EitF5wUV4f13M663Yed/osMazMIk9QYPZEGJrnitqSV6YtxeUknC51N7c7
r7Kt7UNOjOrUBnqAPXU9MgIlx671UIc9ii9bVxbNe3rp0D9RxD6vBFXd2a5bX6pDUlUleKCk0eb1
eLJUZyOEWIzwpxvdtq9xmlTCe1gw7aXRh+Sxq2n7UWhT/fj2Xtr80P8e+DlBeBEkkt60Ivx0CBKN
NR1ENJquKALYo7DGXBqHmDdvj7d8yHrrLmU0/oUL9ysVYGjEgGPq0veTviW4VOT2bTyRWWJtPHwG
oE0eMnbTIcJ1CYc2Zw9m3Hobspo8efHogPi8jgtKXSv0G4VZMsedg9dCEX3zSYdvi9QZL2FuD4e2
Ee1NNur+adBbgd9DX/3wMfRxabkRnFQDg59oaCz6saj50TJFQO/YabzpoyTfmasNzvritIHJOYws
fuvaSTjWYrb/RNuzWRfxDe6LvyVeQ0fbMhp6jMBCLy17oI9dnMFDw+aaRko0LyhS9b4RZu0OkxU/
DFUpH+l81Bx7ct+Pb6/m5uVKqsxMEvf5oUtUfLF9tEapNEyahIf3fZS745zqxyITv6NZTqehxpER
wof9Rxpgwi9pMOaalpm+w+KiPr79S7bCL9gIUmDr2el8dctnoVFPeI4DBo2N/tnn5Y6chLoe5q7q
57eH2trCL4da36tJq7UjZlmervFox9QnoXVOol/s2Q8wezTNc9fr3+ZWxXpwooa5F/03XmjLi52c
BrGITvy/nvOoj1VaaxSQsRKMLQcxZcduUJFZ60Zx6ZCsfAhs0dyLcsawuYqnM36GOPnZM7acuW98
IK3/nYn4I/tXv4WfaSCJGPU7DM7qezCg6YeSmrDjY9M/ZLrEx3RI2nusC7VvHQ1UsRnETTQucNM0
jKQ4j04PSUcE+b0PMnrCHcE+VXkm7w1g6FujE9WpSwUeypo5HN5eiC3OAMuHQzlPeyCqdfmEadBz
rYMayZXVPdGlBCucSLPgHAf+ATsCed+XHV1zs6l6iPu5PNlhOdzNUWvSbFKf3xVW3B/BlwpXVhZW
g2U3f6lws3sXdGV+lmacay4G1X/ScEUcjd7aQ1a2Ni16DxqmkKnY5prESmVo0ERma17r89OnLKzP
sKqTM5hHvXPBbG0a1C0mImxIjXBJrzeNoUe93fXAaFOWJCcNtgvsli57LDEmdGkKm3sT+tyHtxdo
8/sIDhr1OIu23kvC+CI6/H/qzmy5bh7J1q9yXoAVJMHxdnMPmm1LltrWDcOyXZwJEiQ4PX1/kNyn
LfkPK+rcnYr4S2FpSyRBIJFYuXIttAkaeg8o0/gYTh3F5DcP8xx+c2CH/T+c2qBcmHdq9Jufz5i/
XclpQg43FldSah7P7cC7wO3O/ViF4r3M4J+eyWS3lEIp0vxh7kDzRU9fLjF5Huvu3G2QP9omJz24
yB+9M7//8VIIA1EmADflkPh6+DZciQS8Od6ZhwhgEPT1McQDal/kUf9O7v4P04PclSIrPQ8+ic+b
/KNZfTDHlJqEwmblfEQA8uQ7UiWQX+m1rqiorta7ta5/eD6fXlpAFxa/YTO8fr7YG7Ko7WJ3H8xR
fOgyr4aFhTK0V8fvAa3P3WVv8g7OmMRMpuGza8Traw2oisQYvor9FKv2hLPkgoqmxME8t4NrqxDq
sND/fay3tbmpteUmZY5IXR4ZgQJs0PZ0pQwnq5bgsnEGhRGBkD27tn/ceiu6giUYIQwsCujQQv7s
3DG73Oq0RdxNZqdi6B7/vrD+KTOAEEOxjCLos9nJ68dxOhd/SkO1oMtI4lUpJzzhhuxK1Sq7wMyJ
RFmXRje1Lo99ta6nYLGRXa8bmaQdHUL2XI571cziGtdQzNjiQD78/Rb/4eVCKQRcxuHIQbbnzYYc
IX8225LJq2VuXaA5hZs77f5nVY7c7N8vZTa8N+/21aXebIhgaY5p5IW1vsJ8RuJaXZS5nb4TYv5h
26cGTNnZyFeYaft6yOu5KfwRGAvig0/Td1hNp6HXHSSgMD4USKB+IrUtb+NWdOdwcJt3Vug/jSd4
LOVKEHv2vDfjaeuV+vSK8sGiMHnXsigvNm/8bs3qPeuPf7wSGTpKUZTAOMq+flBnFDBJzNzKZSbv
pAjnk9I5WLYQ88ub+480wv5/My6Ci/Lb9PxD7eu+LcafP/7P3fht/Dn8Lvb1/Hsv4l5WEPzLUPUA
YCiBkMTZhPZf6l6h+y/qB7xhpprpCOak+EvdK3T+BQ2HWil7D+TC/yvt5UT/os5Fscu0dTlmo/1P
pL2eWVr/u5rMFU0+EtClREHSsFtev/7aQW/fwbf5Z+Sko8ZlsPM6rEPsDr2vB9/XXfXNsxQ+3m2/
Dqu3H93Fx80SCxH7KWvx/bMS6S5VeBEDHGggLqvtz+hfrofrGnEJa8VpEaGEJ7/C61fuGau6FEkW
Up/6GS5ILt3W6A7U39A569LvohF9cJMFBccYtFKKgVvxOl81H3LHHtGtQqmf3gQICn7TXDnh2nPL
GYaK66XbiLb8tzVMyCC9szO/3i45QKK+5tFhbxofTfr2JuKETlPoPMijn2hVtWV/NjZIqJzV3jSo
8GxjCy3mZCu6uvh3baeFmx5/m1EfX17G795DbyBzrs9xi3QKWA/InvrZmyW6lSIaCInFDyrlokKc
U1LPB/DBDKIvj2qZM0V4z8fMQ5vaw4aq/Th7Yh3cxPG2YBYXSL0as2gpe6GcG3Q2aXh8Z4ze0IbI
+hzKvaYHMDZZGYP1eiJFvTsgfBzIpxZjbGZFyXhAZ5lW9JD9S5H6zKQh06pCXtvHbjVRnTFOPous
0prQFs15f2YurTm/1RZbPV16C56y76qgvI7s5kZjCAg00kQAMHS3vJnxi5jJQnDWfhpoTbYg+IxD
h9pbj6lm11KrXntuzgobDI0Pcu0bue6jCqLT3dx16fkQq5r+yQZ9z/USTfoWRaWWci9e0dq3LaRk
wA22JiFHpj0nca1yddoLe4uNIU9VpDMdQ3+fHiYv/G0FAyIh3wHgS3WV3ICA8Hrgl7yw3FwJ6wdq
r5MNUQzbgrA/1pE3Clzq1BgEj5WP8/P536/7ZlWY65J7czQGloxBsd5ct8O6IZSWiH5kK6sdzWYb
n64vOQ3fiNXOZaGLDy3qwOOI3IJEf/Odx377GtmuzGk4Iucwcm9va4iZPxWWveTihxXWIWL+/kzn
4DdCmDWey60I65vCcqRzLSo6h++qwbaBB4YcQev3ejle76Aek8jIHNDZi1INo/H23DOirFTiPZp+
x4qk9dUJqlqTrgfsr4d4PWGYufBW/j72fz48BCaASk537Nt0nb9+57Dw6CNabfXDC2bi6xEDbnrW
jr6akf9GwAdVxkdFu4wLjgXvJXiU9jqp+DAV0u7eY8+YBfP7BKRPzNgjeLRRGw7G25Wv5zRSdr8t
T7iwQNLd2bqyuQt7mYVv7YzduXXXuVVvZuM4S/Ol6DL9znT8IwAZWSVDcSFQi+ei7usxyeKt9ONu
tJ7yQoWNdbaMuQmINBrng0z0jBq4lxTNsLpUw2JI6D3UaGT175CiL2kBAWJv72KjDQaQ4kvl3jZT
0Q5Pf39zbzA01gskCPT4MItDmRPpB7Ocfzu7cmdtP7VT9xj60i/9hMYUn1tJUx3HKnG20Dg+o3b3
vIZr7fEz/TypaZeI+NEyjyIAZZnF+9PqmX71+6ukmGFkYg3zhxrSH0G8WqqhSXPZPXaKUewPYqgi
79p1crFeojm9ErzidKq3hwbxcuAwTS2nzxPCzhzcZv2WWmeq8coNCrYegpuoCEyCsHhTU8enSvsm
mMoBX6EKm2HqkredQn33AZvmaq52dl2bTasgVhJOZRvnfJOeDTIR/GEXIq3w8dbGPQt39hGXBX8Q
wzGgaM1vVUtWkGD0z5dHWsxasf6VC65QVL8cmzsvrNbkBmOHfvK3ZQgQ9TjGk3KmO0/IbbyCXYvM
cF03ym0SK0ub5Szz2Fy/tlGbeg+TPdEYdwijjDwDEho6Qu+EtLeBhNGnMg8lASlQmhPf9pKIdG0z
J+7qx81pBoWhC/RN9OMxNZf1Oa1hM6vq77Px7dKlIQlYw2H3QKjoz+6VQeGmMDdi/io2bSbjrD0z
/d0BA+H+GEy9HzympdiYhLOrxyG7BsAOmad/v40353XDAQkCF61nQ0IxtfE3i2ITk8bcOmgeGuyj
RrEbpfatn7LPe3KHvBpaeEMp5JCPtCJl5Add7svsQJcgvoE7NFVnyNeI2fWXdRoFd4tQNd3+w+wE
0+1I9z+Wz/62yEsmEQ41pe2lNAd5KR2wbM05IP+tnHL2uPO0rEazT0+gsR9cdp1u3QkEBZbp9Pcn
fqNRyiMaKSpaQo1xIFDg2whe0bDTYtYZ3k+6tUlifaVckthpM/PWY6v3znJnXpi2SxULvmS4dZjE
JOjMlBa6nN30Ll0o/dWJ2xeY3eNS5AqT0PTbYDvHvp66oTihjl+x6tK5MTm1s0YNqzNEcyd9Z/Y+
0wh/Cx4U28HHOJpQqYTmRUfv68jWC7pEZdm69xhHC9YWfnjmBkYU2s3SfV7HMDhW7g3Ra7PEiZUm
pKiuJy20aHRZL53FN9+SfTVUhlAeemd0Wphx6NdZBjdpv/CpIhfmEekjDYZjZYVKHLsIRGZI8Jbq
eNy/v61n+ZjXj2ZURyn24o4JcvVWgn7E+gpMU673IoPWUO1G1TO1tnor5PfRjioX2/RR9ttD6LYm
m20wguCFLEFTw9vfmsAZkQ4WeNvfkysphmMOS8HsE9NGNMFJNGaKeXPdmeimCZtnBTq9hLWRHYkL
FmNq8y/OWBiF7+hDYSjGMcytMcFLoGRJ5Ajg86+X8TGh8D0d/jfR6VkokQIVxB2OnfYfCZczbx7W
Rr31eWpCSXR4SbLcPFqmKuFkmWfte2HhTWprLmkAJaMtwn+kGK9nlF1KEpluCT8P2mGGjCuCfMWJ
TJ3x8Ur8v/1DOltyQZ+wFisDXk9pywGDoMcozWqpx49hMERpSZ+0FxEMWJDTraoln1oai4U/Li0b
1a/XlmGpx1AuNUCl2LGKzOvAm8S8CKssHL7EaxlPt7ZsJHdiWrW3hyrApvq9Myd0LB7u1ZwDjfFp
OELGG0bPH3k9uRNyg/ayfs7zNcAyctSV6DAQt9PyJkCbDyUKNBqCLtrFVMrKHCecvugv7FoLrJM6
zibWpcoay7tOMUOia2OWS/bdLmr7bMbrJthXYSvrH4b/qm4bCTXm2wz5df7gTY5N209UtrHfJT2n
vUEf59mPphtFlzgeGjASMXgXtnJilOYguiTlMmosYuQS9ViI5O2kvCXJlmpiMUybmtd6h/Jc6ZVH
iOHau6PzYPWyxF4cPetTF885oLpcUwNH5yHnqCTc6nnbONYyFbvzpVpTvevxp8e+Dr9J2L6NtWyf
50C6xYP2ajzjBAVcJ1k5JSEhEWTjEFMfopyVZH6dncHRH/e9tOftMo1b2z45s5O7x4ye6Nw+QDZv
vHtMfrLKuo+lvSyfl3ER4zX28q11y44R6h++CgJ1j0cmLgi7Dk5iPnzCqa9G2a8A3Thu0osQ04or
gFAMStU29NGT02Aj9gMPL4kdE1Nl7X/GepxnO6nqeXDKszFFrDrakzTT8XVKKS4GNxDHrao6TQEy
D3X+EzqpGBnlhXYd5V1vQk5M6c1RQ5d/EoE9BnSzt17Xhec6Tou8vmr9pcJDpZyycZ6usPzJCgTf
vGbW/m2Kt1l/HuA4kkXw7EinKwyENmwW0f+KijnGIdYL+nGfp2or1/M5G6y8OM1Fw26TVGgyEWCn
rtD+F2npwB/OmRxoliSzIG1xbnRH1oVO/CqiJfhQ05TLl/Hlmxbsd35mIx3A5Qxlp3/adB+70wU6
cV3mnjmLRSdtspZ+pdEsbEunqXe+N5l90fYtOu6uMuGzqXxbaIyyY9xn89jPPqwzHV/hxzKl7kzl
pKJXtDuvwFGj6UNAZ3cR7/o4Nll1qEY/rx7CDIXs7dLzauM2Y609IfuaqN3n/qUlUrjiV05Bf0b9
sSznMkoPc0kgyA6yoLNfJYQsc0sr7EHbPdhZvhb93u6qElfvFh0Vv/3iZrgi9bjW1nF8r7Oo7xP6
OENGFoXugh0kwXvU/BHun5Rl1/exyem9fODpExxmWhEc8SIzIybqseKLHPCKuGub0IR8bxqzCKGz
eZRMgK0l3ziNMTh/vOteHjUf/Y3h60sq+iF7yZBytTp3OJG1TmFej9N5uev/l1MvZpxxmC7BkhAo
VrwKTFai3PuJCU3MiUMVBZlWMkfUwfukiHJfo/YiIRLph7FsMYZjvKx8kyeqx56zXEdlaG654E13
213AzOIKgh/1T6m1mAkWKMu8eX+1+F6NDw7fmyaKIAVbbNTjX3w2tQOXTX49j1K0gT8BuOV8z186
GdxV6L7FIvHmGBhi14WI0NiHX7Mn3YaYPxmWlnm4FN1wvvSaWaOSXzlu7G+++ZcY/Opa2IWy7n4N
tfXy8f8Z5JfPcVJ0q+vQ7RpuwGmtfHqqaEIv1KloxcpD9/CWuEjmiqyw74DLMkwU0Vg0LwqPyJGp
Bk6mVXbeOvGa+jsHv501+BA3WjJKk9vUfMTtQHqgycQineJdZVPpwM6y8V2+WVNp75/ilxGEhebx
hL+eCTYAZ7SkQ/Nwds5WHRksDRsD8/Qv0yNIq5rxCbyCUUCUqzYPvwRrzjzNHGUugxVcwDdXvMPC
/H6zCk+PFzyp4I90LxNp00jlk3+7wvwVp1ADvwfZWjC7BhqW+fWXAbW2eeMfshbSCw+Wjdx2eb65
frjAaze4io2fk5asaZTJDEwwzLzfYgrd/skJspbpM/hkrMbLcyLZ/TCAZZs/6E7mizdl+Glh+WWb
5dBsvrn/VgdZPt9r/FWz4thmEX837wW067NqWENnvBQvc6Uoh3gMT7+GPEaunNtZClHxR9gBJBcv
u4KWldOEVG5g35O5ldFEF7w1tkWC52nKxf0ylxyZKA+DsNXAe+AbvKZcn4cyM8tZs7/yvWrVeBAc
sR91l/VCoOOyyLPRk3bTJHVMrQ4vjSEDvIJBoPl8PvYDX0ga/fqm6TX/j0YpUI5vzw64Sg+WX9/g
0JQCCsyq5OpOnsnpAbuuhVMA7WVm7s90ZgASL6J3iTCRymsdHWoK6Hxksdo0Hs4hjKtt+WoHS0m8
yWopq+rsF5xcwtNV5VHnNefd76s3eEKcdWXOcJzE85rpJQJBvHZa0tPtAStAOY/3vcAiODijvcw8
+hJnA0MkumWreKIqo73wEGzU8fxkVJ4ZPpxrzawBXTZT/AXFi4Zq5rcd7ZrnHYvC5QvWxD2f7wsA
OWtX1BvoJl0vVRtjv1ysQXMtOgenLHrnHHOGnXw9MK9eQBYo9rVK8b3oVeqeZ2m/8Te2F5wq5VgO
atT7XgVqlyLKGTw2DWcnJGJqgAn/ssHvlicdvbkAhM+qaCRUiiBd2fMG/LUZZs56ZvB0IQxU4GpM
tduPZd1m/Lpaa57y60x6lloXc4pIW3ETi9KAVFKz3V0jEiyC8RMcsGZNDzhp41p/DPBSqwdYxJaD
52EICBQ8ehkuUf2OzTDm5W/o//JUCGKYbaPB1IxRU65ymHwvI1mOEjxUFDYuaRconDRpiCunnq07
RTINqrB1fRw8Gr/44NHCWZcRKGkgNdOoay2CP8dLg1LVBfkqmXWMOWz3GMRr3jtP3lIH9Q2EhW5N
j0YdYrT+PRdOiTAcO5qofZS9QGGtJKqdUD1QP4Bi9NlGFzPD19RfRb7cziG5Tf8jnoqpd78OKfLB
9klVemrQNUKJqHrYPO3ixqrZHRYO+44jySkNjU47mlnelLGbTHzTCifEIqhMLftfT/LyLmGCAxAm
vi9W81jP4aauJxP/kIUx0YTs3yzeYmjMJ9pnDDktXfM9ysQWn1iz1XwwFaATzYGTu0HYizrtWMoZ
2WJ6s42r0x2QAw3Nqowb85NfU5ackkgUQ/3jRy+orAmnVpYoxMUFlnguvVEfdR5mM3bq0LV40euW
0oIx9zRGIHRiwQwE0aVOxBePtGw87zeb+e3ZoOA3VBnMnVcFlcbHXxfyVcyWBl2Pl/1yYmuLcgur
XdmiU/KpeglYSHiav9xDzWU2WDXe3NyjCpTn7fH4xPwLDSp8JO/o5MIkmEZZqnjTReFmJo3LvYVr
hFNtbks/LzgLYSvmdeprs8g715QZ9y0dxszJMN3cqtj5OdzQ5pAjJcDsfRkQqjYm6FUQDPi73uBY
5WXuihph8r+f6N8UL8ByiA/MYIihiMz/UQTKRzBkqkvuXS5lwF2HWbawGmZ45De95ZkVVE8ALwh+
FPgcvdcGag6uv53tzOWhDiF+g/Svw/XfHGyVXiRtRyFQ1UtoLMGAzfhTY6jfofy+KRWwmujxRjkA
+jiCTIAzr8/Qc1T10Fqc9n/miF0tUiZ9l3reB1phzeyOMR7ii8bCjkniKY9X9is4/n3UX0MIPg0Z
oEKwqZCFErR9Cff1vaSTcIFvy+wuprYTPBa+Y/JxOIS4HmyS1Pm9cf7zgi48CQru9BsDLr5teKow
hHbqxk5v+6Vlo8gqdvzzEIMKA2s+r+y/P+CbDivzhGC3NtRaCGP0Fb0FMlEq8rJ2rIPbXxFjzjcD
2q+ITMEeWrwhmo5ll27qk54FLs6IZpp4LmhCurMwgmE/eueOXs907oijFMQhCnSG6kXB6PWYr7Ft
zeEq+tv6ZVFhBmzW+KKrlLhewNzhFeSeXlmZsWBzILWw0FCySH5EjwHz1HOyP/qNkD5bOaEFI4++
6/k46yN1bopVcJ6kY+q5+APD0ITZvz/E29fIi6ODjrYOGsaQ4Hxb62Pf7Ud3saabfKhMZNqeE6Fu
8OGBrlakvXfIP/90PR8xSNv8D/3DN2MWLmQj9Gfpm1/b3pLlPV5Rksgqd2oosm//2fMB+TtofrIw
jLDMH+FAzClINBSqm5dtiSTZvI2wMrYxeKGaDePvF3wdf8BnIccxUQ0pheIh/349KeZ1Wwq1+dVZ
2GIo6idh04T0TuP9+e4S/PNSvDqIUjDXOOnDZH59qSaFj6uzIDt7SUUmWMTEmsXFaPG9QuwvKsb/
BlasvlB2YMkDF5ryMNoSr69m29RlwiIfTmpz7Xw4uP5iauIa7QMt/z1sLWVVxJAysFVcRVJMQYPd
6Gej01yyW+OuZyQZO5CfK9cDe7BxfvKzTJ6t5Aa+vEkXWheXNUldSk5fh75vOAap0sUPHhFcvblj
Yks7GJp9pHygtiuxOFIEH+OXel4VcBgRH9IW743lGuvQKYYyo6egcMBESqgaZxw0wqIxVlAdr+JX
ghJa/Fq+q17SCjL0iM0ieA5jL0eNarYJ3XMO0dtPOBqaNGCeXIuEVsJqrW9aV/MBUqxAhzdiqE0y
Z71EwA4qA6vd7iLcYenQHxssvNtBxW2xx5WjLrE4/gV59GybtC6+JDLPGRSVtZnx3frIbOJhP4Es
cbYwDOouklyyqThVTBc21Yoiw0alGThPgefXZX0vSHtjcROsY+x152VgWwYMGCYFzrq+nMPiGS2i
HjV13QC7gsAgydDsynyMZJpY2DDP6Db3UCd992Pcx104H7IeFZ3+s7+i1yM/U28wFS1yQFTqb+Q4
UET4XHSgzdkeEhLlZLqee8cpk8Yh6fz3ytFziC58RPLcR8df1jG6ATZLu08tRsmVeyjbwbI5CRM4
ljFRI+xc99BKtPWj/YyQpsLsyAKZmBJSMyjM9FGt6XxVxcM4bDvII3PBaZp+I+qiRY4womfX4/wU
2NhW5fvUI+Fud03YNupLC/Ji6R06gabk9isW9bBXMOaO8J7jwNHmdeBqsujnPAvg2+SJazuaTedl
atTP2WAb1hVHNhXDy+h2k7KDxiGSZTLkNtyqcncz0s3xZ4K4jO66NrbqIwzIzN/lWTbf+SuO5fu1
mNNT4U3irLDFdt6oZToDyZC3oQrQVaBN4SYsRowMsHtQn1Mm9ZmX+XLYsfryp1J19ZfMLuR+iZ2U
syjW4icOu0BKbutfRp39KCuWY4u18FUwF90+xGmWt2tb6liGtAOXstAfthLvggN7N05Wqy1qZmzQ
fM87fYfiSHepPCu7bKZhPPgDEDR0iOwMeVFU+eM5+hQidQkLpyt+FEOfYt3eZbvVa9u9n8b9RbS5
zXHFW0/t2s73+NMRAqFe2YbHmT95jmxD/qQWqU+wlNIffVzVJ8Sw0Y9Y4xKJ09KWd50HNo8Uqt0P
O0vI7H5etuhbbbU+R3ndfJ5RMDzY7mhfIGKe4xZsWeLKA6Y7qnFofw5lmH4CPCxgzYwi/uFQ6uE8
43TO7eSWeXHs1hbHjKEZb4cJawMTCiDCLvpCDGpFVLWZoyTF8TmPvhTGavocBoL+Prhe6Ryk7kaO
OUWTr7tJ+NHPaPTDBqdAS100MXSEveeM5adlEhXnpEZe+sPoQIGOcvkNY+XuaoG4fjkEjpmhqW9q
qNk0Xyyks9c2DNlz0G/roqgE4lFIpNU/nHkWLS7dkYO2DrzCr3PXzz+N0S29Z872bRhK6cIo6KAP
btvAzM3rrkZ2WiLs2m3I4V4Yw/JsZztdcbOigX22cqRKplnU4oJmkbq7UEuvjm6n3Uu/bpYdSO+D
P6/fbZ2mN57D8pkGPe6BFumByJZmCtEQlwLe8NjedLmnvq7dQk5mU97GGUZXcCAq2jgzv9tZWnjf
qEzTMOLW7UkCFOxcuxk/LU5bfUI6daySahyz+x4z+y9q6Rp31y96SVJHdeWu5P6ouEZgbiy8Jd8S
b4nmj7E75HXSblP5DY/HbUeRp3loZdHvum5yPsUUEc47V0WJpoX7AutD79sQBctVCd4P7xvAlYum
4y7VVs+JVGdXQWThO107VfxNWSQ1+4j8rNzRfNd/DOagOhLokRqNiy08G5EX+QirDm4HHUD3LtZj
p0kvzqnspuCbEun9TAJ3v/XNFp36zkPnsG+ynysDcsrHUOsDaeB6N6rYT3fK66nYVtm4s/NpOg9i
5Cp68lBcbcIhvo/bMX4SSyc+lyqVT9M2bT81E3w/ob5w7UEsONnsFHs0MjDlE4gA+HM7XVlqqB43
W9KTU6N2maBW693kq+2xly1EJLssIvAgvwrO0J5JEwQ4y1Pla3UPt0dw/5N74ditOJaBGL6Cy/Uf
4zZXZ85ax3dNo7bLbCj7wxIScjkGN8VN69njhdLe/LEdUvVZRZH3XVQTwcHt1+nGWxsWD5jWB0eM
+nJRIerk8yIkuE3UnvCGpKGyD2BYAnvE55ul0quUprdPmxvl9xHQydd+i8bPbPjZGYstvN4ca4Rx
GBTHOk79KyrcjsAVKa73dEZi6m7DRTpumSXR9Izyj9kiux4xm9o+KkSOv3aj9jIO19t2pWJPX0Ir
rEAHGvk5E1vcELOb5SDCKjpzqPklU7d5H6IpEyDzyvphpS6EravV97YCUQXES91oH2og7eiq8sUU
jkiTqArH3Tru0qvZ6rKPoCz1jeWt7UM9qm/8DnLtY+E80CWp9yV2QjdLXEIC9DunuIhl5z5qK9Vz
UuezfQ3VR98X7jT1p9ythZfEuRNeeqlU0TG2mza+aPKo21PH9TYjsDnvo3hrwl25jfG0a0Ta3kiL
ev/lavUhYx3Y86iu+nii0OMgTzKjhtg3H8TiWZ/CNi66JFhUjjR63KnbMium5kDJd80vmwLnuL2l
Wh9eHhYG1gl13GG7XaMWzvvJpB42fdyLrGXFqMk5qy4qzuSI9TohmUviNzqdrkFLyiER2sk+z+Em
10TadXAFt43etNkhRbwcOYiPD37B6U8RR1Q3+gGJU9ZCKzqbxoBWbHex2/IzjZOpi3Dg0tuxvkAi
u7fPI4+KwKlHeF/t82nw9V1sZSglzG5Wx2qHuiW6MInlxctdIWDN7FxsRVCKdKztNHPQLBM77F37
ao7LpU3QPbDD67AmnNId3tOiCbJ1UbpjkdC0W12M1roM5QfEKYJ4Ewx/ayNFBU7TVIal1bl+82Ec
vRJF7jXAShfFfj1I1kNEeTPRzuo2B8/RdX5VYaES7JoWmDfZxqVvd6JZKfyEuqzO2oJ+xUNGofC6
KoBJ9+VSLGci83CQCSI7D4HESuWcV5nqKEdqP6QNfab6HYzueGPhWh4mTZl6wy70KgRBVjC7B6ez
1I8pJjURChsPxGJSRxyyKXe1m5DC5ZakwddQ0eZdmAe3q+VJ9EZ6Ha1FnRBJRz4g8TxYiu8EoR7T
JVTVUSDJegfPkqqhoxkHaneRvn/tWFOg7ynmNulZ2Ufet2yaHrctz+6zvHvMYgRgdxwTmjua3kpE
a1N1stk8EOHQgaL8FW6XmL/UN0oU+jjlCl2zHr3WHY3TeHE2jd/cqRZtS6WCdaejwiO+TmPzfczS
7RjKmspVtqTXVBiRB3KWAemQjc3G+xgPubgLIRCpfTGB9TAfmDA7+HDzD0d21aeux/XxMKCzjyB2
K+90P+AorDHaS89BjbNwZzVLfN7IskdElb6zqk/9u7ayHTRicnlZpb517VZ0jbodRUuZDRSvY45F
e9dNJ0SsQn3aFtetd7TS1LQbxVM/HDonkDfwB+nQ69SM1RveMAtmMJlpDRqQJImdJoXxDSFSnw8B
D3dYAbnvtlQVP1Lq3v2ppL62VyxKBC2QzL5hl2fzRyKu3hcl+QW3kN6y6xRHjZQoVold/lAWmfMI
8rYcIe3EJ2nHzTHswvKjVdpYNDRB/sVum3t8WABUObgdQzctv0rkZzAmE1J+FXaqLrSLH9guVQtK
FgXg6EXauTx0ZoNwF8uUcNgVH0qOJRfT7BTfq1yEj1WaOV8qRyDlTeV273e9PBdAxg+A7y49ZfG2
dDuB+dt1gI8EeSvB0UxC7ztmThyG1xbRjp2/uMOTnCKrONRBQSEUMFkG5y1GHTIZVLGM1Jo2CVgY
zqWTiJo4sgusovSv625wn/I8R0rbrbmHXVmHeZRU/N0E+Is5ka+df94E2g33Yw6R01h8VOhXdHL8
r45TW55UnRD2IxvvrIxcyzydWWMVoNVVWmdF77v3hjdwdLapojF+tboPvr+UTxrLH7YHTp5HqVPY
UDL1xRWlO3WJD7hT73Afd9XVMujuqcLjr0BZX5HYFlO9fB/HlbXCouScpjtQzB8TVSssXcppOrTl
JC4AqTMoU8WykcxDG/2JkNGUHpswHy+9lfMbLW1+Ou7rtLf8g9U3MPTtbfIfxqGuv6LWuiTI6Q/7
2rZ6+0bjiXBHdS2KYQWRw+2Ccc7r00xSdUH0QyJv6fHWJpWLST1hcVjyRuSzY6Eza5h4a2P73UF1
SG8YRgqTKPHyJi+9ajpmU0AppamQ3yBJUwdzjJ2SdO0Ll5xatOn2pR10W31wpTMPe04VaUVIoyFv
6xLl6KxeT5btlq33IdAijXaV0xfiWw1tFK36Cf0cFCkomFWLfV3lMpBxwml78bqd3nJExZKQDddf
9zn1qwiBN3ovPOOTvSLfe7lGqSvsZNAcwLqP9QQ6JHYLTRkxsvAace8vWVYhcbufWSqUUejGES0S
I0svAwyLydVaOs611fx76Idl8g85/KemPfg9tbY73GSovZw6iFJju1erZ9nlx1J3Fe/Bs6BL6RIm
MzWACU44j/+zseLQZhyHsl33cZcv/hefKlN+9wLWWp0pOIx1bKBR10mX7jKOadWh5EocB79gHW7h
j8xL7SU4waveWG+9M8TFV93NOYoo6DusG8pSVYo2MFsE4Xh80Phl9NHVSEK53NhlbK+eETrDJ+m0
Ud3ibbHllbJ8EhHWqw0yzKNe20uheTx8IiUsC3yK/UGgki9GvyuCQwBRtRAXttb9KuEhFSM5DmeH
rD92XVQSj61R7itYSNcImqyk7l1MxFzjgiQq8k7FGDbr2oHCTiCpBW6ZStezd8jaxSvqQzfDuInB
DloZXW2kftEhpWk/pQo2pSgc7hyvj71DuG6YVVD3ax46zA//m7vz2q0b2db1qyzse/ZhDsBe+4Jh
ZqUpyZZ1QzgWc85Pfz7KvQBr2ls6fXuAbrTbCpwkq0aN8IdHCXRNh7wH5DNX79k7AWiT/JtcpGRZ
cFUiHGZLs3Uif2jAqUzuotYMHxezn184MQcnFsOtATp2Rx84PpVyqHmpavZXiYJHQFBpOWCtwWEQ
XEnZPSLAo7VHp2LBVqKo0FiaijEttsi5gWKc0GPG1EIe0m/VIocpoVXPQxfDJr33O22Zz20sjRMJ
gpQFZKBUiGFSGca2MfUu98Pcnr5ISzjNlauIsVbOdhrjbD3GRfG1gW/fuG0yUBoUi4SfpdwkCi6n
DQCpXR8Z6fBNSNPacSGjVgtvSSOxgac1oJCT94oNOEetncILZb0sA32W252Cc8SnbMh0pUWsTRWl
R0MxNqhQrbm9zm0TmzNEsfruCegDsAm3qUDZeWA68KJC1VEFV0Rz61pQeeeuXpOHX00M3CZ31FIr
sFIzO0iiLYGy9wZUKLB1FboFnjr3LfbohsNISuqiLSwjXow1CcnVwNbt6iqrE6+nYfZlAbDA2gid
u16CFdxHKB6YSjXdzrxsX3dCWNYJ2IrvEuAlmodJJU4SYbh9prgcozsryZs169LUeEcGYx4a3TLi
L4RIbd5qg56cy1ELr4BJim+iUXjyNqL7wNVC1JRSXIAmt4rl8dGejP52bLKIW4DGxnTYykuiqZVD
VkgN56zQPrR8JynHvULTIvZHsDEfR02HR2ikrb4r9CQBntgY93Uoyk2nFvKT2bSK61jgEKMmW0Do
t8uMuocxX2PkpyIP1LcD1CIcFlvMzAdn2AuzAZ3WFgtwUBGOEx/XQVJ3bKiGPVxgZnXDhIg5q6xB
LPRRwMNjhcwnpAvTVRbwQk20NUlBMberdFZ/Eqoy2L5siMraAISoHsbJ6kAdd5icu6ABrGe9iWzh
5iTgN7W0ZrytjYqRS049x66Zhg5wlLSOI58DPQF5RbvkdsnpALiLWVVmkA4A7HxNzuNgqSd+RhjA
6YCN5BWuWdWPsY2KQA3byRs7Y/5kES2G44Q0cOVn9WCfW6Ppei5nGKgDg+k5aLlaXmlZqB7tVUsd
mBB2EW6jhM5RkiL1y5zF6WGSqvYWrF7igQFTP8Nh6wvmDIiBeLHRJqhYjXo8+/04J62bNXYXBn0U
2xnxt9GyY6Kos7HpzNH4IIVRNV3TuUo1mgFo+7lZlSufYgfEg5sDxLguQZjIgTUaM0WBo8JqqEMZ
We1cSaKH1Jia0ePcJKsjP/cjrant9bmZN6M20obW1DK8trNce6pBWaD922eftDYvn5quLF2kg+g9
gqgEKIXnse5kzScEyORVZ3bCN4TM4wq1qNxr6bs8F6KX9k3CpkaNLbVuur4rD51Rw/VorPREX8Da
SaFsf6BjHFssA2F+qdRFCyZdbs9DM6v7tMWC3EsGe1yzNTkHOlPQ4rHa1t61WlSY/uJA0Xbz2Jm2
haEO2Rm2LJKWNLf8hqWue7Vm9AHpi3IsEJgFGzgqT1E4T09OiMFF1eIUJRjMBLmdhT9asIW+bujd
o026v1X0UPlSgkB/kvkRw5UmHhyQ/yc4N/bVxJB/Ww0du87uPwNQ7m6rXp5D1+5KWWEfLLcORltk
NAq20JwHTUGZgdI/AkNHumjSaazV5mNCs8O3JwqVuoyLxZ0ipfwgIRV2n0Sanns6Xf19VRW4ciK5
j4Ot9nXu6f43QVrRD2q+cECl+YCOAnwW64mKtsyrc6O3pW7cdElUE+VbpA7AJjU1zBBAAhOSRjWz
BgaO5Y0+A6WZt6MKVwPR7FKeumgv91GeLHuA3HP3GMbTaHw1Cr1Md0lp553uhXojd5JvD4Y+NgSv
FDQLMy3wEYmjxPipA7xTFtJGW55jDwucRp72PXI9APBMdTI2OsrI9rNZFB1Bpa5SrAWIY0YkGz55
HjgFX5pNIQC06GCsgCOTxoOqQkiDaVAMjF03gIJGVfkdKeHZQpKNtr4F1q8a5zRiYhmLFLRQJcIV
RM4arBmDiEQscn03aHZHCRNrk9k0H0p7DIfEZxBrU/dBGYqn5DpJyrYvUbrBcUkJ5Err2/pLnyJF
Mrv8liqevbHUScncpYqIDLsQmlzi4JY1r3eim0J2sm0kpsGqP/aSWFTDjUM75Wtg4S1zOkpdS8F8
TOY2zExvwsjXGjZvDx0vqG8M/yBQOzA2GXIC0wP48Ho4V8jUHMlUOV/lBBbJ31Nv1UwNxk+NlgvQ
niMe5bkn53qjWq7VZBCR3Iw5Sut1WjFZj8nLoOvtz/V62svHspjTw+DEYJLhIbOi1x8rxpjYMkRs
fcM7bR205D+BH3nqZCxEqWRc9s749fVMfr0iNG6exspgZeS7Sgz8ygGkaWh3MnyJ7/nPKw4/UTWa
UTSM5lsr0ntAcIM8oUwSxeg5tj9fxT9SYth+L68/59/b/15/6mtZwb8RUfc///3q/x7KnH/e/Jar
+GtTtuWP7vK7Xv3e9n9eviy+l6uGwqv/CYou7ua7/nszn7+3ffbzM/z9nf+vX/zX95ff8jBX3//9
X19LoFfrbxPk469UGQwgJ//n5R7//v1//9z6JP79X4/3//oQNyIu/rVvs8/Ft/a3n/2PooP+F+RI
A7reyuQCY8Mb/KnoIJnGX4AJdaAzVE9/Szf8LemAdIMONlxZ9ZYZSBqrBCwj5S76938p1l/Q51Xw
QCulmu6g+k9UHS5m7kjrkoD+rSiBK46xrr9fOKYSfOlRFHglOZSkarySkMPglwdz+3Ok/qsowetN
A9n54hIXmwawDVRghrrYiUMQraZtXEmBOTj3b1/mNQPoP5fBTAryNtjPS+n6DjKVQFot9MNs3JR6
firhHpBUfpDKdwnEf7qW8sKEfNmcl6pIDMBolS5zyDEyHCNwwiWpXKrIPlYN27pIPdCTx3IWWz1K
D3E+X0Nh2aHRslufLoPqLQbz79z++hR/hTOsTxnlRJxn5RUodmkTqCS6kpXLFPqo6pwrLdtFSHmm
Sn8U64tt7EeRTe/gxd675EVswnsRVoU8hn4ui4/FzGXpFGOmzBgmgQQlaFA578Bt/rRcf73Lda39
slw7OzWNBtVeRD4Tj77cIdLT3dvr6OLs+bmQkKZAd01eGZeXCymxUGy1RcfLDcvbRS6eC1vfSVzL
ULUrBjhXNHePLS4oTlfeErHfuz5x5rc3CTCMgT84AzSwLrZkoxs9Y/YmRAT8udKbm4Wqdm4zrB+d
kx3Gh1nQlKdYombZ1bn9GLXdO5pwqvanj6CbGr5xikrDaP2IvzxmBLFsoQ15iCic2JhL8olWwamy
hAto77FYxRtjJq39GGiC4apCkcKs+kAd4feQs4q6h0jF+2HjsRROmdMfU2et6dPdgOIw7py3b7+z
18jFn6+MQ9ImF0DUGBLc689bN1Vh6hENFXs2rzqqlUwSATgeD/w+YLn2iDLEVSG/x9D/U2TDOQC5
HhXo3G/gL7DRbLixYDUW4xfYNExLh6Axo/Pbd6f9adUjZ4jBHGZfHAsXKwKLewX7mSTEz+sBzNFt
oWPlllNvVF25kRPjgCz/oRaIkCIOv4aYBMdpAL4ndXZOY5HdVcWyxVATGDjmOZa4g0Mf5J1BOYif
ozYTj+ZpaydiI5XZzqnqm0osvrnM/sjakycaVgp6iPIDSez27XtDZe0Pa81m1GwDMoO/ebndlgg7
OqmzoAcqzkNk5bfqNByF4VyZLbCL0PQRL6RLrQ0b9Bn3k8motUs/99CrQHIfEk13GWl/mnCqzPQw
qIzOG6ebmuU3SbpX4V+hhwbtUDx76O0FVpPvCvLVrNGIkOZuWZLz3LAusVJaUol2C1auyrxVrWw3
qUOABYgvWrEtcsM17CFYn6QcJ8C6iKwtG6Idv1jt2gc2dg1PVPD34Eeujbq+CfPn2prwo2z3yZSf
0FHc9FN0nkdGU4az+GGZ91j6JAwL8pNjDUGIlxLcgE+TLYL1gnpe3rLLT/0sPKvVr8WU+Z2Zfarn
7phb9rdRw127nbZ1bHpzhO7XpB6ksHBD2JCypu6Kud8YcvNZ1eNDnBS3QywoYaPmxlDUK1vMsAYZ
ZY75sWyzLSS3e3ggnyXa+l7VTNfqyLbV7Q+IK52ttLuJayzdqiV9GOYKbGMB283Rd44OI05EQS+6
G9uW9n0af7OLtVhYtqVgMlENQWypH+OEN2raH5L1XDB015mdoLM8s08CY2toV2mDzQHBYw0kpfkj
4tmucXd91hUNT60I9PoZqHTlxQV/pRnfJkE/qA5zl2NvZ5nVWUnyUxNmfr5Y99I4HrMYWetCOq2/
C6vIrVjaGyeNDkiiBKjKn6aBeQaMONdiyNtL+gNZLx470aGtRzcNY9Rbl0dsvK9Mg4UnYYQbD1cd
XjGSnp2qtW5XnVNSmDsECe7WqCPF8lYo2pWNYr1qUgImxk5QRut9dAauADikonfYjNOXOZc2yQrw
tVd9PihCzDv2kP/uEWN8ZNoTTF0zETBZIKOSn5Ja3jLoBOzFvlXafVubnhzqXpZEB6kbN8BAD6Yh
gtEajjA+PaXFCnAlGVHmNePit/RlwMruY9GfQz3xKMJvbF5cScdfmzHPrHMg96t9IIvQGjvPcpSv
YO4RxGCgFqvNHnTUYX3VEertsUliZUsf6J/uR30MlDrdyWLwoKNt21La6GJiamnZbuuwjod+343i
THJ8SOcFh/TwZQ2ghXOA1/tjTpdtrYZBhm6ipYp7M4oCOLoAwfSdqT7YSu+VSnIwFOB6PNZmfTUi
9ZQm/tRaBVsENhfrZMjznaGEj7k6vROh/hTknVUsH90sDUTKRfBdmtrM7E51fAi1N5bdefTat73x
npnji7fHZQJHp0O3oMybAPUuUhsG1llVo3kOQyX9EbGLGxM1way8zRjStIp+iOd81xdmjJBzH9RS
cZsW4mk9U2Uj/BgNrKR2ys+m3X20puxE6wyq9XvyBsqfojVGbJgagkKGdL5+/ZfMoNOQv8zpF/uS
QlupUsA3zs7ydTT0XaJqB0DfO8lRDorZf1k0kDvGtLWSAshJmXhvnxwXWmc/D30cE6B0kSgp5qUj
nmpkY6ZlJo6PY3SOO/tBLxY6HfMWF2ffBJqiat0R5YzPsdV5NeoQhS4Fb3+GP66NXz7CxdOYhlzK
4WY4vqFN11Yt4LOX1eektR7evs6fFoclKzT7sKt4gWO/fuw0gZDu6jTHX8bsUyXrV6YlBZR1u25x
XvZIMYSBZdGJJQzVWvQ0NzfMWDcaUcgJm70kD5vGcU5lEx/ynm0b9ce3P+Kf0mbOb0wO6Fg4/OHi
WZgCHyKrgeYP1NbF9SCIGgKPJAVJirp3NmyUhuaw5DxKgk4eIAb37Q/wh5oMoTE8Jjg9wMdf+qVJ
CQ3Cmm6UnyvPUxsFTDC/xuRBGZiBt6/0h7oH7wh0SwzkPfjDRUSQKt0q06xGSjXZ570WmMmq/YnI
kMo0pNKJyO+ouqL49nuSxCUxHbCo+xEZvXi4mdlMeRdzyUonEePg6A3DsxuxWRPdRlEj16qlYP3i
WnXGi9j0mo2r9QjDkBUxU5TpNTbmGqZu+oBloroz5myHxOJpcYxDuzR7gB5PTGo2VSlv+3wI6nEI
EjP3UcEL8mkILLKgRogr28xPeSx9qHLpfkqZndXtjQKSaLCdE4DOK9jeh67BqkcYBxixhzaXAr1J
7uhfu9Zg7GozeZ6pqubJ+iBn9YnhfrD+fAe2ck4iPOa1HUTDg10amHj3wahzxk3R05qN9VyPofjR
qMHaZN2eufrVxERI6Tu6wWEwkAXOiw6mD8NEyux1l/QOX2+bG5mI6SDGuCZL49h7fSqehC756FPS
WUoOIkp/DHa606iV9X4617gt9cUExSwZNmZFihi3e4U8eM206AIG3Yo5GLJdGElBJEvMGVdtZLHl
tDvo8/RVV7vjIqbrNX7PDbgQ9Tmuw/NSZQEZ7xEPes7oamKwS7Qe7BP8zn02XSHA+Mx0fxtKaBGV
4QcZigAHxgmFPW8eoFvxHsKl89qKVeDEd4LssybrhUNMVuOcZktnEhMdRq3z1mdIP/tGzsXZmScP
fdHt+nPxQmLIiSpPxm6YtCvJ4V9of2Md/5h4fmXSH3P7oRnQ4IoNT2fq3yGNFHPgq+nsL2F6l5aZ
Tw/3vCBy23TkT1nmj/K8XRMZPXE+2DoQVzNER1iafMQUHkPqkdDpbqxivoa7edRTDnxk1te1JgDv
yWl+oq98DYhssZJz0pB0t8+mYjDvy2/XnhGzya1qjFulAueRD/tqjg6QpdxOZ/QXp3cLDXtRjseC
4rQ00ruCgjVxEFlAlRSWWrTF2Y8kuYru117IukbMCRF8wtQwEp5Yg+sRm8NznpnyzO0C4D5nvY6B
A37aJLp2IevT1l21WbZNZEDszn30ywIzN4FTQGwseUASZWec7ZDV2CkNmdz4wJZ+fDsE/X74mQhS
0k/E7xees2ld8I4wm0t67h3dEgFnk3pABdy5kFWuy6BIEAVKxb1lLYDw520bkgZqzjtl6W8Bl49g
E+/pGqKlh3j86zOplGu5kTWsV9pMBEPReZmqgzTNAF6/Z29OpXsZANdmjAkPUH7x9r28XwWaQQEk
0mbGlRwk2KsAlLoGBm50tuTF1xbS+FZP7yQjCmricFIrH+poeq7r6Fyh/erSgQWZJZ2GaETvap2I
waTQY8+ehMmkipKT2KAkHE3zQKYumdIpSePDsGRMTYFng+Xh4VKkVZXYwm0FI0xREKMppo5gKXs0
JpzTYpKFTcu0NSvmUiO4vDJPd4zBjw7pb2lpV2WqHQyN/pEVn6k/zi1bJ2/GawcfomYG+xZ1INjs
muR/1q/KTBSouptum1uL10fiY2KjTWmaC6608/WIzBpGgMQoDaQUKAqi4JKf9Ma8GrvoqdDiOykt
b7smL1x7CoPGoKioiJd9Dry7Za0WFI5qeGbqew9mB0KFFBCHX+6+W/U/CgA1HLaemkfnXsU6e5az
na53X6Qm+j5PgIJSW9uZRXVrm/1+YPtKtCIQJzinCVgwaQjvS9PwYBP1rmBumKfiY6dREVI5FkNR
BWE9BESCA1QDZGOSQ2gXt51BUWdwXEUUa1i1344lcKmaCWYrxLnu5A0RGbBUUHb2SVKd+5Rr0jK7
Q5d4Iy/ZqZa1A+KFVzb1dCY5qGpRJ2vS6le4m5TZZ5kdZop9zWSLUmf0xrDpquiAXtombcR5DbMA
AR8VgChW13sDgEkXUoL/8sudZBdPGcMm/KOsjmq2znadyqG4NDuz5Qs9Po213d2rFcyAcMTqDHqG
ZXYC0yAD6YUWSDoyEzu8aGy3AD8s7B99ZlVuW62+JGF0yKQUBYrpWrNn3+gMr5WLz8C77+Omv9ay
7M4ktlhdCUiD85egvFBIVXL3BQCEDU5BatxUWuZDNWd3SH99ACl1blX7XBOcA6fPCVh2fiva8HEt
saFVYwBixQy3+w18ER/oPOJxaVCFIjAzTsrSQBRzDOyK2rqUggLxIJk62XX6ZzOmjCffzhQgSiYx
05WX8Fgq2oGW/yGzzIe2JTtB8/M6tRCbKi2r8JIaMo5mJ58c7FM3GrLzPSOS43rSN4V4J3f+Q+TA
tZG6CtFCsqfLXn1HeyufW9kCVTmSHfEwOXjNdQvqxSmlO/F2ZP79cvhC0aJmQ9P4pFJ6HRXl2Iyg
9xcUSFl/XPOTiKrZLorP60qvpvGdy/3hIMC6wEGbm6qMDqh50fqcV9tsUx8tvyToZxTYTQweL13k
LT0b/BLTZ3mO7uF2n+Io38Xg/oDf373c8z+aEf6vs73/n4eEBk/7f58RIlZT5l/iz7+OBtef+M9k
0PyL6R99fqDOJs7mDgfo35NBW/nLghaOR4KlroXu+qX/TAaNv5gIMhk0WMy4ya1jyr8ng5L+F/Jt
GjR2yPOoEMq2+U9Gg5fFrYHgAXR6HE8hDbJxLlIMRdMqS4rKfBOjyDprm0YTfif3/7Bs4yp0fhmr
W4q86vJeVDYoS42Z3bf5BvniTcEyBTm1VSLS5kH5hwkLHRwkPyihgEJgaH/ZYQlbDWhmasQby4Y3
EEmukwVCTnaQS97ZlWvq82sv5/JKa+r0S5fEHOUYoRWuNGjnUb/Ppsdf1tEfRqovxezrC5B48QZw
IHsZ0lxcwO5Bzuao0G70EpzMx7kdTHXTFeVYfqS2yOtrrPNKY2MAhKx/5BXyXfcmXpvInLVZO32o
UB8yQU3ASGmPFHLdsCunHskufe704UOOVwW8t6EJ+3cGNb+tKfJ1RjQIa+FzKSOs/vrBIJUkVcac
J5t4eJzzW2SO4E/+wxkhzH8SRcYkDLYNFtZFBM4mLQYszTX6gWBnHFZa6TuPf136F4+fHctokAiP
KY56cYne6hJ1WkJ08ozuW6UUgaYkLihutHqGR7SnkXBS3FoPfal4Zw1fNgLWm1sFGl6ujFTmuvJ+
WVkyqnBiwDpgY16Rp1yFt90hvp2248d37vAyuf95HcQUCEArDOdiWxotTLlSdeKN5j5DNzxBNPNG
b/BLj3RqKx6cbeO9J+L521n2clFGn4QCBHNZKq9vrnCssC0cnGn0bbYvr+lu7cLNckDEciftlf3b
t/gyWLp8iQB5ZIRDgRoB0Xh9NUlKjQIUarwZPXNL1+amvG72uje537tg3AzBECzeFCBH6zUubSTv
7cu/dEp/v/wKV0AulkbqxRqy8JQO1ViNN9HePNTc7HSEY7O3/W437KQAjaezccZQpi+9wV08yfaS
78l36Zt2a18jQ7p39sJ3fPlo7Y13nszLc37jo11G/rESaF+2PJmJhn8EuBx1b+igWzvz4NwOoBZL
lwb1ykW6txLw1O89mz/tLxD9qqKjl09TT339alAbRQogHONN7oqdtiGZ2tgH1Rt3dpBeS0/SU3zs
bkKSa3jFt+GNvlGP0l72x1P5UN42B7AW7nvn1O8h3VpHADLZFvAv+/J14fQJ4ivpo00HMSq6ojSG
MKhYyfROH/X363AGKqQFikVoARj++tbRaA4jgG5ESJwbM3/GIg/aCct0Ct5egL+HYgIRGlZU1atY
sXOx/hCqrfNxBJoYC/2rmWPiNbBXvH5ZrHde52+xhL4svkSgrXUT2PTlBIUEQCrsapYCKsCtk5uB
6hyKGCXg4r0T/rc+OUkR5yEyNvzHojtysacj1NDDru2lwHDTM7CbG+lLdw9m9SY9OIF9k94WQX2z
PE6TWzzLX+x3bvTFYfHVxgHlpcKFwZeTqQA5zeuXV5FGSeqYUURvqn2zDw+Rh02Yl+/VTXWd+5X3
7e13eLlYTObl/LNq9QD5ceTLFM2MF1BI7JMiboIm9pDk8d++wuW74wqahpoOuSbwFmXNNn89byJs
I4sewdIN1FXPvs125Ttwl99uQeeXko0AdWPAwWJ8fQEBYKC2ZikNGG5bbmQsjqt3Y/XOYr+8imUo
5Jg2wwnFJKRcmmTBV2uyfoUrzxK9cahZ0TG14+4f3otFoq4glUM7VtPJwMn1f31YiaSNLM40Q3NC
qq4SFPjOIsca+e1X8tu9gAiVObVkFeVbTbuUxnLQAh66uUR3LoH4MMKYpNsAXOifXwW9F4TaFe4K
fMbre6nqZZiarkD6MbSkEvs/9reHGIX8XnS4jEMrwNUm9QftC5aR1/T6Qt2I/mwIvoheerkq29Ww
bpjq4r8h6+/szz89OSQFSA5XrzYK49eXGrKsKxuJJxepRv0o9XJ1jeDi8s5VUIZbX/SvcQC3FVy3
1vQT+BQh4SLNReAibjMnTv0QAva1JgpLjW7MtuhmO/brvGpyV2PKA92g0ln1Rgo0wZ9QCpRcqUvG
h2wRdMexl8AqFkMeeFKZiNrBaxxNzB7SNeaPbq60GxJhZW8UyJxsxdAqX7SohIWMBqx8i6JBVfoo
BOa2P2NvuqFJsnRuoiNcDctIRXwmK2HwoaCJ9IAbYzOPkAidrweziZTeRZxY2Qn0VLNjvUhO5ztd
b0yBiWN7Tqrbt1CyklhejhaEVGx+IxDqvprJ9fSB9k5oenmKr9E9A8gFxaJIiXrMYbVIS1BzQbcb
fnw+9XyQdEAeQ1IQBkrq5BbpmX7aKovu3GDPPj7Y6cwHrRCpQqpggoXtTkOTfa570chua2es/TQM
2zPaH8YVdJGuDTJ4/xaUfEsZfLPPWmXLw0QcJkYZ/abv8xiNaFspoMVog1L54Ebn3jXkavimCVhJ
riOP1rVZ9UMRDCN0I9cqYvNuQKxM95ZkkfONESlD5kbLUF4XfKjKc6g2P4a11qC+HwkN1h7N8diN
m64aMbJv8pbvNk1kgDsjJkpbMf5kA+YMpxJU1q1d2WPh0c9eandhx+PzrasSWPwcBZ/DDIIGhsEi
ROfmLFnNMysT/1nTQVcTAlYeo4Q9W3LjCngEP1TEEisk0VGYcXur72RvSOCiuMJB+BblIl2aPeTz
JMGZIYW36QKXNYisJozjfWYNjki2DdornxN1znO3UBg7BpbkwJxBMaNyXGWZpyunLe3WH2unQwfF
HhI6m4lRWkHL5EfynWaYPkXpUiAMN8lZ4yPdRKJoJyU4AK0v8aOvUntCIAUgzYqd62YviQv4Jyqa
G48CQ7nKZZ6hLSea4BCLxj6sYiA+U2gHxjhMWRBBRGrduk4r5lilup1zSBmu3QITAAZW9JU3QiyC
7Nst2kcLFZoPMFmyb6qdG5+tUsaQvuz6HCENA3CJC2O23I1arGB97CwAuUwNDZyE7/6cmzksJ2TG
7a997FilK1pr+MHaWuDU4/WiuEvpwMbK024EgKG2MiSzyYisfQdKL9sIDVVeFAyQrHZ7lhOjQKtV
eF6jXH8CRzyxvJ3KkXIvslv7sYZQio5RZ+QC4cVULnZqXcVA2npiqAtFp7T9SB2cY5WFMyQnc5B7
prtVs1xptNNvEoNP6iJ6kU1biIxNtEcGxaTIpg762iZ5LAK5zqR7GT4qsp1RLEu+Wlp4q4LyRGnJ
AY6H/j+OsgMa4EmWbWMtSfESQLVKXaf6ShwkqAp8SlUso3guEC3UMR4+IWlQCR81eDmQMFIfvFxo
2Rbztv7atmYZYVce/cnIjQQ8j9F1j72mDme7KwYc1wvTQbE/lyfcy/WkO7ZShVKSxan0XZ36evRG
q7WucXFwZB8ZC3qYQqqn6T6aIKiYvhIKI9rXkWrHXjLHyY+U5Brhp1QHm8x642ysVYdZpjIg2h4Y
PTQOJETEqmsVh23lzk2pJ74j93UFfzQ/TEgI3huFIt2p7TDm/hB3khpgqmJ8FxLC5/sq1aNmZzsd
AxAh2hgtcpKbIsg6NZt8s4hbJmFNrsou56hyrbZxFXlOQbubIU07QrHU6iJi1jNVLZhaqzDQfm5Y
6dIqBrERwMuXwC6rXGxnoWDm3SGLQ+daGiJwQRF6PoGOhAbC0VEYbtGoS7GKVuNs9rTIiZ8b1FrS
wMHfL7/GjzS/z9hRqRuNNdQ6e2xQW0mGGvrSVOYx2uEDUiwexDP6/oko28+i73UjmPAu1I79HJXq
DlrqRC5b4Ww44nrIVktahJeShGm+Z89NPzDkqMEjILmwfHRaRMkh1TkYPllpVZ2yplIVpk52xpXt
7EVMYAjHq3EI4zTAp6WKrlG9VwZPz/tBYk6iVaE7pw7sS1ot+pMoetXwtLGPf9RIPZgBOx3Ke98p
It3rxWALP7EbQvu49DhCzAK2GoM8uf3O8G9a3BqKM5pB86TdZlEiVe4I7Sl3AdPHJuIxc/itRyYN
UB3H46pSO2KzYGJ6oLrqZBNai7gXHHs6zvFsZhRwXHWW4Y0DnKx0j25sjeJC7pSfTCvBlCjSFKZo
eFQkuGmDFUNHLVOtIwFlYGFU8ND4exvCPuDAuHGGTwKp5zJI8lVFLDKSDk2rsDZTrwWw81R2KYEn
HEX5LewXJoJmD2HyEE2mvXhqncjWjoGEmniUHvpdSdvrYXEGBoILZea3xCkYP8IbS5HxY0W5dEch
C+VKPt6gxQAVuVJH7dtSpUu1HSmBay8JUcTzEWuHDDzlffxQD3DYEKdh5uHbWouEkDYK/XNuFNb3
GQkxuIUgiizSGTFp7uqU1aOiwnAdujt/PfZG+cWxFtt0K3lNS0DYwjPUunEmejErZWnlraIEiOko
ym4qFt6xp5mD9KmzlCWE7Iid5QaRnuJZKq2+dtU4VyuPFZc8dXpD5JXNmpwDdeHkecDQBuWWeiGz
4k6q7wMEWh7GKHcLOuN6ibTIUC96AGFd/mEOaguDeoRG5rXg4YWny0v3qcm1vPclqc01lzK9/5Cp
gGO83NYW3TcSpblPOGiVwJSTAW+l3pGDUNeRszEX4pxFtvhZj8N1c1htrLMZsnj+lsgTjFNEASug
fY4NI/m6iYfJ3nL6lu2mpxv0GaCPsnhYIPX7vklgfBNYjY9Zqse9l3VddFV3+exgGeIsZ6QiC+xP
RsX8VnTR+DU2RhXNg7RrUCJPjPBcZlPI+g5H6yE2gaHIQrOhD6L40G30Ni7UHRIqA5z0CMmF+FQ7
Uf881DyQu6KXrR8ITGpR0GpmrvoZUPB+2w6DoiDZMWrtdiFWaAHMb/3k1DX5IKLURo4ZhREvgUzz
4tHp7GrZapIwntK+o+iWMaWIEKUwAST0ZsaEWROLDVu7tSZUJiBEe2mu118Fg0QokIgjZr4xaeoP
ZNOYN05N6RSBOYZGg7RXMpx6xUhwsJhzurxjZhDias35v9SdyXLcyJZtf6V+AGlwd7RTRM9GJBVB
dROYREno+x5f/xaY9awygiqGZZnVoO4s7ZqIAODw5py9125vUy58y2Dvo7Ww4gouxVy6agujqSU+
K1Xxb98pa2sbdjlRMlFbTtvUYDOk9z6bmElM2Se8EZ14jKYYG+yeKIy6+t2iwZueqZUv3CQ2RvoN
YQLay5yJFpnNrNp+WM9s+4edJq2521dQqixwXn1pfQj9qhzu+1wHfoJ9Ef1M33ZWuyejA/lAYg29
8sAMDl/CiJI/rleN9gSHlRw7Ue0QRxPjnjVWALB1dgrALcHJ4UyOnhytZtc4kWsAnDkVE0EEmZ/Q
w1VB+EKp2Pk1EjszruGChWIH7yQxPrV27perzDb0rySqD0u+RD7r96pqZnFDeyAyCMdyg1SD4dBI
3j2hXNV4F/kJ4EbyTHPrDmSqyZY8jbPe3djkaxISFAszETVz6oITSKxo+tHL0QXX3Hbzt7YOjE+k
GKtyh9o/7j0RwXm/Jy/FdPYuPKx6xdSNfMorBOv8uEZpi/M0ibQu2ulxKtrPrdmHEzRAw28iZpca
go7Twcyw0jkNdrKcs+Ch73s17KHcM1uzx7fBeXWmNW/NMQI/aBHXww+cHGu4MRrCAXY2PW4mH3JB
UmZV3z21TjdHX3Kc/V80ReFih7/Dnm/GXNNfCHQCvZfF+jDsYWoQSgQdte4R84fhYO7iOdCjQ0UT
Ktx22SwK5FjjJJ6oqvX2B4m7n1RNCUFqpRNloHk2nLV0beepMD7GmY6mHsRLZmeemxnNLxkk6IwJ
ahrHm9yXfnoTi1lEhCixOD8YyZjJHfpyaR5ta4r1z0QnNcbabTQTuWWZJIl5cNgcWl8jndeCbhRj
K/5pPo37Ru+YfdtONfV3txpauaHY4CYe0JbK2qYyN4LHOp3CkTMT6P8NAKSE6KguHZONjt2lWsez
RHcIFE8EpGFi1HjUVVOAPrNEjaG5GxO85GmZ+6s6npCCMo84sFY6P81WebtEOVdElKR3baQKh6ZJ
BZ7IIgkNYJvK7WOu1/NHgLfO49g1qthlll6/mEhguhsT4iQEs1gNn6uAsMsdswHoBLJsCiQ6TdaK
+04ven2D82JmxTPbYPgqB5Tm+6SXxYCvgjwSDxSMEB/xUuffMmKhxE46vvtbRIjzboyZ89GHBohL
tLZ5nfqNncjM2g51HYiH3q6T+dBnwE89Pucmsb0IBKpI16O+8F17zU0zjgPwI9fERbE0km1j/FQq
0aobWOrIAQDwDOVwWxCYoq3byCjZCeo9y2wwUXL5YKm6RR6hNQy2tgCquhEDosqHIo1EcNuQqDGS
rkBJdwWrJRIOpfhi2eLoviAZJJoBz91AoXSMT4WhszSCNex/EGHIJiRSzidfgzS0XjKFnhVeuu5o
lmVCsEivwl+lz4l5iwukeZGao3Hmzqf5JnUiLdmpoJuPRdmXFZzTMPjV6sZQrw0tS9VPcMi9/wng
YPZlAogUrWF+lPdQJGWwMouEHkFSD5xUDMoHP52pHRHO6nn0WzYzYQ95WJrFF1noqlubTmDnt0VW
a1819lLuAaJQDmZtLrOeswhZNLc5ODK+aNElzwbYSKhVgxzqR+pL4XMKOae4Ic4jTQ7EQ8aal+m9
87nK5+pzjyOi33JErUhIM3WgrsAboWb1piY1Ds8EeHpWP7DxtCAzBftlhgJo11ussbIuB7HK6p5T
xDTK8S7NmD48pDOIo1JWF+6tSXoSlvJCPIcZM8JC2UiOiQ7Q2gsTs2nvDTFa+XEkJix6BE6Uy5t4
ntvmrieXLqg9ZVVucFcCnvth6sqmmtKWvbXJco4M6wD+Z+G10p7zbSGt8CnjvNB6uV3QmTeiBaRO
iT1DhmvWaK6ranAqSj79xLpSVIa8T/JwErdRwGH1hf1Z4u6nynFIlOgBQdxNwswfIfM5MI2CxOIk
B9zHQMo01fkLAaPWI3F4mb+LwfNUbD6k+E3dZVpyIJq23hlODLkgtgylr+fONZlRWGZJbeoUVqCy
VWayyio1hvdF1fXlJlTgt/YtW87QI9AVIV8wDaAMHNuHvWpx8nycZFHPd2kX6jUaVg0Y21c7DMrT
FCot3veBxuFq4lMFpjCZenNj49hE/AuBEtmanKx2xW697z2nROwJuNgvK+SmS17G0gj/1rQOzMJa
Y18BeqZTn4Ywnr/CLJRfBtT2wcGxY2FQF5r4wLQg1oZ9DJMzWpVtMqeP05gbfAEE3a57cyZsJCUK
afaMJA7cFQ8dT42vveJ9qVfoh4BTFPystnJeClfx/WK4gfAUdeSpNT5Svk1XyTbeT31iPvqQWb/B
G4dXF/u+f2uEYLtI5azi3RxqAy2vLuHLI9/dcTzOMg3kJM7u2HPk2N40SRs+Eo0SQvjt8/kmBDeo
rUMr5wVxyOC4XPKsDY9wScp5YzfXp6gn9pNSXA7nTrea5luQN+bR6O35CAsM0uMoRqdZSbcRoHLi
of9eGuX4QyWZCXaSGmUPC3IRR1epka5mwUe0EX5RPaMf0b8qn3e3aaQJ9BS8GtCj3tb4Q9HUtxai
Eh7QnQO+gTBFULS1J51JPCo7r9DtxhWrYjNVJcrkwnmqgzB7GHM6BR6sqOSLOykd/XQx5hUF6rAB
Hx369mOp4hw1pLKDj3Vl2/FiiZ5+AkyEzpAPgXWfdDq7fRsoqrGywd19IJilNXHDZSFCwbjTGgSX
6DdWLpiNx8EkLAaDn06ncx6135joOEs5oQq0TeFMUmI2McAHwQ13KLA69EsOfo1qdmOGbc75PqRA
wIYlWBxRpQBKzDnKHW74fAAV8ceZWZrcQIBHscm4M7vGDnB6gseBTjWVtedYkS0x3MFCXWmYTBzc
iXnKxsdyQ+Qe4fBNZEqEK4D2wd6YC9h8TS2NY+HDHep6y4ajHRu8XPY91W870BZUYD7nsI4BGjae
BEz8Cwtp8+LWWGk3GQif35YqwAEpMWTPLV63r1WoZw9ulY7lVhvM9mGUaPeW9an5lddK+9p3Q5Ws
kyImaycNLPOpoLPwbJZtzsFRZHbn1bKbS1ZqrWN6AAmke0Y6hNMtsUjFl5aKq74mQk+HCu1DNutT
n72a9H3npRqMnmpqFM23FuTNxIPb6t6kqgEGUrEtyLw2nydjw4LN7mNWnfuFSh2VW4forG9WY0TL
2TUX6N+t2nGhCHWJWKVBXbw0pLFPK/Zegpli9KvJi0xKXZ5NRpHgXU7AJ+2xz3+kQ+EeoDXg1rTI
ig4WmmLqb0Dw5k9TpGc1X3fBVrnmpB2t+wCP50rvVBeuhoV4Cui2z47Spn7RxRYLfgXH9ESg03Dq
OmIPoB7GJlL4WBfrcVacEhWMX41Cctr/DEMHJQkQRzZ/RfA9jAicgJGpxUewmHKTqsq4sbBmbMnV
DWEtkgBAClrhQo7EPzt8himZ+xxx4/gBcK/7taUC8bv0h2YvJYm7GyrLLQm7OoD35Wy5keE2sKzO
Wim3HB4KTmSnOezTB+ps/l1rTgDKqzDtv0mDmhH5iVV2g8/B/rnEGNgbpE+quCVzlUmGkN8ZRnKr
3wa5I7AY6GW70rR0/qmFDh8RJdrmSzCP3deig+dC8Gc8fXeTEbOurOH0kQhoxncc51NEW1SYEduq
FGx57M7Nd0H/nI/WVuNvbFM6fy3uxmciZrEEJzTQOsCOuvvDaHs+PL67ulyNTJHzei6b4puhkQi2
EoOveiKEw1AwAQ72UXUcYlnVyu4+I6EQgyFsLGilvW2lbKgdo6boVFQYNZqc/XRfZz8dvcLJQocd
0UE/ZadIb/Jn2VLPWAuDFIO1jdUFjHoUy341+k0WrnOj1WmHJJEPGaJucPqW7IQ9otPcb24Y5mBW
HZ96hppF9VHZYfkjYP9UetQ7ljKFFue/ZlWPz/bk1l/MYcz5Mo3wF3VKpjif1lex7l2jvov1OX/J
6BLnnllkYEqNXKhDLHqg1m6VR89xCEaKIAppfzSCmHNwNPso6VWLUm4d6MRwbU1bQw9fW4NtL5hE
VW7KCkseJTH2CKuuNIyfUyDbGcW0m/2cKXfwrQI7Jme9hKjsWU6IYbeuQ8WnBMLyxTasUfL7+gLW
sCnIwKOMr63nZA46b5YiKraVH6EC0hIeziY23JwdDvmwyNJjnKKzJftHwH7sihLCvfj668x9sgs3
e571sjJI7Rb+j7Gje+kRf4V+P6RGxSlNGvrDpHLzK+SKpQDTiA5lfSwG0xvo5jYS5F6IOq4YNWye
Doc0YswKsk+9qlu+WWVQy9sI0fnzZpAFsuWxGyKovdQRuGc/MtFB8xBbLwJ7MK3cpJHKg/7YW2uC
E5uJ8VKG0YbOpt/h3INcCx2W48g9s78lr4jULpLSTUxilm3TWUdQ5VrCeU2q/odULKC7ZYqsggpJ
JtaY7OLYPMzVg4GbtjGeLRHviFjaoh7ABuysA5f4NLPZdOKWgtwHIUnOMz4oyn50u9dmgGGoP/TU
NmtjPGTO/awlV/qmb7uzSqezDfdGLrijS6E2ivleuF2bku9U+V9QjdgfDFvTtu/3tS8FDTZnTYtm
MxVRk0z7S30N3kxDitnEdQ4b96QPdX9PmcA+OGz98GWZw7/U87xebxHtIUfUDWVetoJxBkh2QDEQ
zJrT+xSzqUT5duVl//GuEFbyL9G+oAA+72x3tFyR+hgxTjYd7ZjUyr1hsqE0tIYQRoSvV9QBiyrj
nw1uGvbEK4EQo8+NC/Iyqmcq59QkONdZZ8uMMxrGB518ZXbutBmkpT0QNhJcucVLnQCXxO3L3TlM
EAZBXee3GEcyDTtaa+uiiPx9oWWUmCGRgUQklOP9MfL2UozDxdnEAoKq3rrQPpCuNVnW2JlrzCWk
elQlnfeA5uXYYxx6/1KXgx7rMjHWaFKkxETFGDm/K6YVMm24XaI1QqpiYe1Y67oSHF/+/XUMBOEM
Rz4AuJfn10knAkbIezbWBGWqvWmz4Bejfc3E/nZYYHrAYoHaC10SMtXzq5RTQ2saQdGa2r/6yIRr
s63SiEoBbJd869KchoXqxmtpTm8fonIMmixLkhqa9VdZ1j9mujiFjzJMVI9yqyi3VE/EoTLLcPtv
HyFaOWTjNkoJJKNwt87UPUTeWaU9JwQ4OHV/Y0YGCsih/rfzxatybZkCoX/R4VQXGiITS61M3dhY
94hzOGnrcBXi+hrU4HK+4CrIDC1odYxw1Lbq4l5aDjVdW6q1Vc8jPQtfbCN3ysGsBCY4p6h6/NfP
DmSAgZfAsGxpXyp7zaEyB+qQai1SAUFaI6HJLsbx1/tXeTv8DPRHyP7ISlzWvmWc/GMcQDHO2AJy
FQ518iFihdx1ZtWc/NzWHueEJhCwGbZt71/17WyxSFSZKuAkoZRzLp6l280gRdNQMReK2XMD6qa+
0UZe3pfT35f6XzDaPPS/6rarf/3H/fey+Q9yan9+byHc/R8A770qwP57U82n73n3ve3+6al5/Rd/
m2rY7Py1YJIcih0OMvL/8tQIy/oLORbyB3B8iL0XTfF/Wmo0of7SGZVLAqIw2RUsAKb/76mR/EFw
OCjtsFsQi+j+K9yeWGbA/1o4KSiyYFIGw4SCEwUL78UMGQ+Shnjm1MfeHK3Pjm9Mq0rTjR18onzf
Om1JK07Bw28SecDtF98CcJff7WxJzYpATtORrO7N2J4fAsMt1/C35gdYYvYOnHCxQZ/U/nh/dJ/P
FH//YFTyaPSQGqJsvVigwI5GpRkmzdGffCRp4zwjhCj1dSEbdytopq/fv97r1HP5hFweDXtWNuRo
D88/4rgxO2dO9ebYR67+CV75g5VRJwEuPWy60fmc0MG9aal/7F07WjLx4DfnRp9CIl/OeRqhK8Qz
0Sob/BXGpu6uH4Jmw6JQrfQJblbhxvbWmAyb3GLTPZBANV2RgS5buvM7QPTHVkW4KDRN+CTndzBz
rDASTNC0iAFbE9dOXZKT0MoFD7qZUvuox3Vz0Jru+P6ju0BwLO9KogUWOs4gwSTrXrwrbYx7unNj
S+Vn6m4mTUY7CfH1FuJHd+PSKPcGW+sOBczrPXpsDVISMi7HIWDk3/8Sri85elA2YIW5eImpQCvm
p0tzITebfZwW6o6E+f4u6qp2P5lG8wgIWKCl1+uDjd5hS/Xc9wxOUtd+yR9ehsMOzoTcg00dnfH5
yyiNES4jyLpjAjZnNfloZNyhG54rRtDOhnl7qseGHg7dm5VASfWBrwmmcgSiyu8r/9DRP3gakiH9
LNEB3KdN139ytDT9oAeuuqLsfcXano8cwoYtRg0aDAUW8+IFKlJk0Kgm8uhUQ3Rvh1VJXB1SMBI9
mvuQyNWVGmtr1/lTfoxLq76xYODiWJ9zsSVzdNyqgmYn/3e0y9k+PNBg0q880PPVbhljC8SU94rY
SqcMxjT6zzVWg9JMbm2sjkbUKKLApokze6QoySAQuzKK3s49GNxsPqEFNmSgvTm/Ftug0NWp2Rz7
iiKAh0IHyrRVhEO0bjNaYKsYrdkJ9AC1RBHo+kfoEKO9jdCophsSneoK4Wkkm43him7c2kFlWrda
5IrPvarUz/d/7duZffmFbDw4P9ompp7zH9uYtTm3oVDHNJujXd2DZA6NvtzpC3W86mN5W6XzdIg0
J19ntB+vvJdX69zZ2FnsHFhmIEdx1mN5Ob9+Bz6qS3FBH5Xoza/phFryps+CRnpFbujH1g+WXlBO
Zp3HspOMXpXii6InkhK8F+uN+Y1QsSknv4VgMuETJU85bvSfFQrlF1cPiVAfG/M2yYRNqkUCwtoL
CVjPVw6lzJeotozOg1AAuq7JnO6ey6sONtQQNwf6Rzh1XOLxQP7PNI09gDJgyZAezzMaJ6DZK+mP
xql32bejqDOrlvzLLvlZFQLrvMSq7kGnh/sFLLA5QdvmU3BdON2JskZEmYMlK9g4yKtp7baJvpvi
gX4ZrU3AQy4FbLlph6xEJe0ISjvoQXJwFVmG7C1V9rhB0DvXZDKBe19PHRX7bTDX8a1uE2nmkfKD
Xz3jRJzcE/eR1KvOblSypuKTmeu8KU+xVVNjdrsgIRexVoD/a/KOdn1bx+O6SpAzHUpziA9IkGqq
W9AUHmjbUGSic2nqKySBqVi/Pxwv8qX5UF1oLg6THpabZVK5mPiC3Gio+Hb20coIqML2oCMfJkau
h1/0rTBl9kiXvaZEa5pHDqfhzzFMrwnu33zAiwuZPT9KCYqxmCLOx6QoCtJuihYcX0ZoipzpfeSa
TXRYkBf7zJbDlZt+MzlxveUcqJYSCDlZF5OTjUh7amXoHDVS7PcpuQZrisb2lkCla+WIP9waRyfF
RM2237IvjTHMsbFmDrN7rAsSyVRoBtsEJpo3NjLYZtJNt++/zz/cGssYG0f2RWwb1fJ7/nG2ISqt
C/zRAXYxm8Fqrgx0XXryK9dTeWUm+dOdoTK3FY+Sk82leYFCMukBlCiPQymKgz64dINLjTA6FoT1
UPvXHG9/GqlLhDZWCTZ8i3fq/NYydM42ORDa0UhlsU+aWm36KE2OwuErpT03b6O2sz2yfuZNlVYw
J0kouTJylu3/+aaNrT/FJRY2ujg6KNLzH+G7om9qFL7HKdKY+irSMdUhqWDcrFP49z46NGQ5h9o3
5sbzFbopBNKuRQM9t9XzjLCf8jaqbPPaDzv3krx+x8tpHcgOCyEerIsxrVTmJEgW3KOJ+AF4g38o
fTen2WqJo8oT+7Ygl90jX71f65pdsDufhg+APa0rA/Dtxpz9HFUPULmYmARB5OdPiNmvsorISU5p
m2kvPrLnL2bhEmcSqvZnx8NAYD211MOrOB2/y4JpjhYYGWtouVxNfHEBb3wKW8IiY2UGn2Itot02
2Zov7pOm1J8V/XAL2g0d2xVHNZ/4lSnjMZepoYJVVJJne2WD8XakM8ZxayH0XEgLb6qmdbkIsDv/
qIVwf0qrUEhzLLElSqXbjqq+9g3/6Xo8N8a5DmBaqIv9TAetUM9myz+6st6nBXzbKEk+zlH2UKM7
uzJw/vC+aCPDiedIIKn/q4sRLcUAeQUl4RHIS3osVBs9yEXtNiAFAtE9BYewAkVDhXLp4rfDWgEz
3qtOvjTMzPdBi745mvx+l4Ja3LuxhdYudGHbZOjtcbRMjXOw62YG8VrNt5MVVV/UzIfy/rz3p2fG
cFuqowsgWL+cHNg6EFgeBWzzghxBmv+tj+efTS9/pHgN3r/W2zmWJ7aAnB32cOyh1PkIj1Uuq4Gu
8hF1c7vKM/UtHBDu26b6+v6F3p7UmGBxEdsMBUqX1C3PrzR0DZ1W0w1ORVi138gCm78rcxpQP6JC
0lYT/GJ0UTFKRw7afT97gWitb6BgCffKhNaWV1Duf5iD+UFsEpaNAodI4+LjRkgloqwEvgNq0N7j
hxke22k2V0Ntx3sSndtNW+mQiA2YTQ6BUQ8cS/4duGGZ6bDiL+Vje9m7cFq7eCghzhLYt+EJ7elw
KFNgtyYK3CvLm8FfOd8nKxMbMocKKkQwu5cB98+FtKkbK6nG6DSjlMFMM5jrqEv+B8PW5OTCQY6T
HJPmxVBCHognTEbxiSj3ysu15mhO6kDnGF19N/16fzjJ5VM+vyfOniyhVL0ogEtzued/3NNEuVMj
PjY+sWKv80DPAzAqnZWvUOHWAlRda34w0p4sRz/1s/hppvFPT7YUE43UodY3s9tOz6ks3UfiJIsf
Mi+Ng+WvKrvaqcxq0LjJHB6h2dr1/v3ffl6zXV46FYulHCehW+KbvdimWgLB5CyG+IRz6ia2sHBU
dvNcpMatbqYvEh7VlUn/7Ue+XJD8P64M3uJyGTOJ4pzDRsWnwRkjNhU44fy006Fd9e6VuetPl6Lm
iPkdD+hyrD9/LWluBpnqRHIaSoTZ4UhvZxDI2SaRlldG9Z8uRZfRZQhYFvbTi2mylrFlmg2LM/vf
eE2+YbCz6kQ7hASTXXmA9tsdiWFyjQWB+lpuv7gWMU+o0Y22OCVG1T05Vi3RcDj2D1o/4msnJvVT
9R3a7jwsBD7PxP4S1hpiQmRTIvLMLtKe8VKxX45re0ldC4qXJJkNOGhanI3YWxE5rLvJrNgHzkN7
55cJjEaGpKLv3kTNY56YNHtEh8jEw/xaf7VIgPxR1z5xuINCrrPq63YOUEw7JO1quhgetLayD3E4
ZeldYPXjnd4EkNrmwBo42U21Rc8gnRVawJik1WyepbUimUtOt3oAUWjF4on8bBj1edVLP2+3dazH
6P2ssvqqZUZpo1QKw296OSpy0OKiThEgy4LcxTEefoshUCxbVbeNNSqmXl+4Fl6vrkyDFXGOcEdQ
8SV4FWqXrT1hwRA2LPTCa6DpzZ2qWuIkEc2CUBPVc6v5fozLdZpu07bUr6BmL7Akr98jTSFB7RXj
Ny3QiwK1VCmeXFGXpyzIiLsTjFWiZ+M+RlGH5sAn7xlvKadxx+q9enSSH75VT2JVpXX9VPQ14WMK
R/9nYP1duyZ8R99Kp4pDr/fH5oAmTB3yKSg/EXAHP9PIow8JAdzkcHeq/dBXQ5duWkf1T5EVuy/N
MFLKlXAq0AYZdvKrQmMUAVVMpbMawlaM5MW18ReibrE0vT8xveojLiZVjpM8C5y5S5Ns+eT+ManG
rhu3BqmmJyOR7ouZtyzDddPhzxR9WaIayiJElnNIEitYxLLUd5Y2YKpTFPkRmYms2GYZHsEV3s9a
eLCP/BfttWmOvU9aXqT0r+2IGwUcu5Hfc0v0maEM4vWK5wjyS6Il1LDbNBB4kPBafWh5AR5xYJZ1
eP9e307CpuB1LyoTC6bQ5eGy7IqYVEO3POkjIQXCzSFXiP6l1VD7hM5k32IivHaAfjtjURoHLIFQ
nVInDZHzx0vAYk1me1OcBFXrdVXW/lbi3N7o9TAd37+9t0s+p7qliqiAlXK9izFd90JX+HyrUyAA
CFtioSBii7kyYJYt0vl44SpLuRLlAOkxlwUXCsgmptqqOo1GEq4b3XkIO63aBGS0rcJ2+pjD5Ubu
mVwDufzh6EpfSnF+Rl5NnfsyHmQSqMcy225ODduO77qNlwePc3g/2QajdNbEY5kgq7GY/NaJlTgf
qJW6v1Bs2/uoJqL8/Yf9x5/DJ4MfaemlvVnR256o9CG12tNYinFnRNlJ1gAPfLMbfkxlyBjXnenJ
KUS+rZcW7ThP/ROmJf1GllF+ZWP7h1ePKEaCk6IzS33hYrdnxUadG6PenIaqx/RYDeFaz3v3ypL4
h7kChSHiAMFAhjJyedaq8K4iBeuHUxTF4p4whOmlTQo2zRCnW+JYrKn2WPKqjV4YzU3Gb502EMxC
EM96RwZLqgOz9xAxFtRTta52DsS5tPgv/Gh+AWKAzty0kHWurKAi/XKeZHM76tqUEVLEf6xl2EOo
rrPafPGjVqxkq2Xuap7quLiyp3ndH/1zmFOEYKjxMKHsEE5mqfPvthMOzqdoGk+ASPyd7BtWzaRR
FQbsedtSx9nlqmnueCPPc97Hz1kuy12BX8wjq2naZkE8UbKoipvRz/st+mFxMwQ+oceDPl4hwb22
mS5/K4Us8sUspGWAX85/qzsJC3efOZ4C3Z4+pdXYr6YUUrUXJSnY6ibWCLLQ9/NCQMUpaHzUEHgf
Gqcsbio7cB9k6LZfY7Nrt+9/I5dz3/IMl2+DTxZKEJKm899V9l3YmFY+nXCBB3jEwWF3RIB6Dj6B
/8GlGI+OK7Assg+9eF2EnCorb+V06sDHr0qd+FeyerNdp8L6ygR4uYosd0XfQ0mQLnwDl1I3HemZ
b2bWRExgFK6IaW1OEI2dVRBX/X2eJs69sNjUvP8olw/48hUDxMNuSMvDRQJ0/ihJUe4iy+65aGWk
xO/gP66NUdv0OF3WehVeKzG/md64S0Y9cC4mFVTEl6dUiC8phKlWP2WEj24VmxOyiYMovCv72lhL
xOs7fWkmzKNJPaQXz0QLdc+lytz7IQ/qK0P8D8+cV0uFfxF4wp29GOEd6Ai+LUM/Ua5MVn0EuL6g
5uANQya2VS3HjTkS7PL+M//THIDCgleNIID/XX5XTm2oRJbOfDJ9TbslQYD0OyOqFqhCu2ukaW0U
nJ1TSUgQQOZEPzW03tbUksrbbmjRgafi1qwN/akrCV7V9BLSxzwU68rSrgns/vCp0RijC4HewqTe
crH2zwl9EOzz86kOo+wTkWRy2V2527pvyiuf2uUGgJHBLmNJ6GJoUE6+qF8UAtJLbaTiZNjdfKBL
MR1SpNFbk7ApDE69zhkD+MnoJ+2V/dvyls8/Aj43qQtTp82tv9m0IyXRqT2788nqJ530BTk9+rH2
/f23/vb2LJSzbIXZ49BQei0h/WM/PI1pxhE31U85fsE1FJbsc64TWe6SrrtVTTne1FXWf8iC9hpT
+TW/7eL+Xs/qy25Rgay7mMSmPiDnKVLyVM4GFH5HMz5mpm9hwHM74AoZ8vAaz+Gsf8+bgJ1zCztv
WLek23VEtWc2iUKUFlel0yuXDzMsn2UTQlyk9V+vCnTs6Pxj94OyixoDG57H36M0M7xwmjMfsd90
x6HQvpomzi+nRrmwZRgEYmXAoPttzGZxi2DPnG8mazYxtpudCxlCH+SD3yTRtw7DzQEqM5FkBt3G
Ty0patifOCs+pPhUiGtHvVJd2ZG81k3OHhlODgTHbER1eNScYs7nRQc/J005K3mOG726TXJJDD0O
ivHOniJ4/aGbVvJBo4EB5Mc2sqfMzmN9VfhZKogvaAAzjHOGr92o8Dl5fqsB+O8N4sGyjgSvbJSO
N88kbAE0QX8b5/3oIoQfsuJWa1sUFNMYxNLLsqpfIiLsYOvKlgAS1wdjJEyNpEhKP82epgqB9kZO
6tn7o/V14j9/AHTKSFNG7UolDgfI+QNAIDzAJmirZxgG4W1ZZt0eWkABIiaw8oDJCB2xl4Vd9YET
TrwPhrQdFqF/MaH41bQKI7qBqarGuQfuYk77fTAm7ibtoSR4DoRmc23Q87h3sFHiR3eJBF472hD+
MGhRtRunhuHYz5RRVsgPARAOgnJjZs1GuxXAYq6c25dp7OJuqWey4eaanD30i9fd1ZxIk8Apnvu+
AiDDQqM83lx440eusWOUFJvMdBpyukKj9eYsqa5MQW9K2rCbF7YaNw7f10Hidv68MSV2TefA9XVx
oO+TIqs2hd0me5wu5noOzO6gDUmzKxzJupyqghhqK34K7Wzavf/mX5OGzp6FC379tVeFGmNRYp3/
kl4fI4VTaoQwPLRfbdzTiOfaEA8qDP04XQUgiHNvlKX8MuszZyQYOcEDjDZJLuCUtk8Zhv2Vnkzp
3y/pf0O+Wf7Kj23961eLfvP/gmhzadr+96LNAySBX+mZZnP5B39rNpX519JwoSC7bOCM1/TOvzno
CqA53knUgGxe+YgX1fp/ajaV+osEB4retAkkKO9Fh/Sfkk3p/rV0EtCgC0wefPzOv6Gg42c4+7Ro
7i+wdXfRzZv8FEbU+XAyQNNEtt2yUIxkDa1nM52/1H5WPzmjnL/4ReerLd3XBhKOKj/lkiD1bYCw
w36yw7CuVmiyRLiZkmxU6xkz1rYKNbpolp+ZH0TrRms9cVExAdND+tLgdN+MaZx/0pN6B+gP3E/L
VI4Fx/BJIelV28iNX2gV1SXNqSzPsKeOtU4Vo34XwEUgr7KiMroeYWeg6nac9NYQRQPcLZb3c153
+d7MAJesByOL2aZjQyUZRCuqX0ajmtYzs7HMb1vDoP2Xydpwd0zohVxXIjOKo1S+DA5DEZJiNDXA
JPQu9IuD37i52AuJJHmrVAfQLYgQRntBLlC5tOivA49keY1AlMQS3V4Rypwcxi52sJAMcfVjBDzA
ojjmYMnMIsWrWQZOrq97M7VuEqtvo4M7NUm1igzd13F1R02x8hEaZRuRISz3FEqfp6qu/HAVjNGw
i62U/GcQbVjzx65rmPdjPTWQ7OcCUmCTf2rK3M52VOanb1hI7GHVqJGsj4g5ARMyFB/VjkO+dfVB
FfeImb7Hod0Oe92PQx85qlljDGcHEK7hILrliowOkqbiWiUxMkuVRk9tLtOfrmbPHzOVzrEXlbG/
DwIYb3TAI+fu/7F3Jk1uK1mW/itttW6UYR4WtcFAMuYIKSSFtIFpBBwzHDN+fX+IV9YtMsJIe7Xu
l7nItEwJJAi4X7/3nO9AOimyyKzreAyGucfqbCyxe0PvGo16T8h95jcs3zJs04xgDUXYC2Ku2ooH
LOsoPUO4TfxR3ZF8Lw2vMBg9yVf1m2qolWCVwvu91mDEgkUm+hqUAHt+EW5juVFP/Mk3jvltFhYg
BPaO7OlLF46b35WeMQJfgn720+vTTkabRVAePKgk5r5bLfelGc3meqIljF+FmaXhZ0T8gQ9Imuy+
g47CkzmIPg4w6lct6ilN+bMsZn0LAohkVROWD4TDoZcjDn4DWNTBdBK217biDFNTT2j9Tw2q3nRT
LqpnT34Vy6V6ydV2cEMquDa+br0cFYZtVR65mKsT2/sqn4Y5zGB2YUDS1mYAQLfO16MlVLKkgGsN
6LOWSuGl6dPlelCrIsX+WjtL5yeNWWUHTclpxcrJTWbeHersILOE9wFsQVUepkpf1ho4st5Utxjv
k+5Xp674uXqSgESrV9+xONRJiNjPxQ+OQ3KFsqi1zzUPwX0lZuBKRNsjmXMmuc85tu3W1tADb/TK
C+HNb5cr5n82Y0AEmkhqTgXbJYABTRmNOai9riN9iiY+B1VyWRBa/ONt+//72X/gEzi3n93Xcvq+
HO1n2x/47/1M+08OYq+CeRwvHIk4rf2zn5n/uUn/UeXp/ESqjnrs/+5nDn+IlikbHTuN47z+of/e
zyznPz1MLaCtOd//6/3suF9iczykQtNfhSFIQ1CLHu9mrlnV3toQ4Y3Mq32yFa15tGvLkb6iNzNw
OOywH/66NY//FF7/qxrKx1pUffdf/3F8ON2uuEnxGC6g4mXm6mwP7F/nxtWA/0hgmh2ahVJ9wpNq
74FKdxfqT2c7A/6/qu+fy3jcJQIfqP4wahxfBsqdsnXTtjZDOXzROlNh5K7Ih1rQ8QMZYOnPAOfg
u7UqPguAcz3BHH3Ttf7YdoBz6lTtxb5sEf2FRmcjtNCmusY5QO7VT/X15gCRXno8EHOPCVtIBohl
JciqqtRSuxNLAbOMFMx6jeDhqOiNpzF9zmW7ZLjI+7QJNH0EmFTT5V19a4avEjhewcR7NBItvp+z
bvjFeKsULOz10IWWqDU2nTV79sBwm0HdZXlyM3XV9DGV6dhGLfzOz70rwLv2Wl0RZGzXneeXxoQW
m4FwOV6Dfss/GkU2aT4eOZgIfal6/JSLUZT7FXiEc1ix1tmBl+batexgFQXtMmNUKDHSY5DnsHgF
gEPUkdZM8l6Bw9ZFYG+gPXHST8zgf1dFY5WEjNqU9a3JcFbgZabTXt/k69yCmujRYXLezUQWqoYQ
84Vu1NsnmtYObVT8O0h2iHI4/uFHdakNTShG2Brw6IZYgY0L2Aj7cpUHQhXOhSftpBvx+qRx1tkO
W9vjxnzw+IKpW5PdkA8w8ZAR9yFBGYVz68h5TCPLaLKHLtH1NupXU/kAhpGTZDLmIt33QwyZYzBM
Af5BkF4dVvmSvVjWkP4w1gRIkmoPoMWYZEDXWeBI7JSWWlIqDAZ9tRn1D2Pnyu2nSrDi5x2Iy3We
5FUCjSqGMxEzTlbiDBVbVyitt4uzJqXsQ+/uu84KNMXw2qaC6VErnzvaX7OPnsgbwrbt5XVetlkV
WBST1GhFIr6tVZ1dEtyxJp6+oxTTmwVqi6vCqnd85+jH1xRWjkbNN66Rna5dQG1hH9A5Petq2R8A
e2h355ef17nbycKA1kNFULQ1rjhoHF8UGNRgFSoyxCQ2nB8EmGVhanH+RH4FSK6bhuxDkWR55KJV
fK7RGjKrBu8UuVR1nxMjr0Int+SnRskovBLAfC1YIHUq9kC/kLzFqwPbtazV3eTyp5C7XLIjv4a6
HH8Dwl8xTdLGoYWpn6YagA93k2qNcRhWtZuFHZ/7pqwKOGPDPAJuI0QwfixIvbERTIF82ALgKzcS
ecm7imq1nOFzz2VDSi3ox6DFpzBTSA6JSe2TgsOq2o6y0WIucWMnpjv5sLKGHlGp1B9KrDGAXtxu
qAI0z4Udnf99juuV7W1yUBtgnmQisvXxTzoX4FkqzZREy6MaXaJirl6AYrc3hmRBOX+lE5HbdikU
d2iyUFGjEuf4ePwk5HwKOcwryGNFVYYwzcnw8Ve6wwhOuw5YrWD5fqR9V/1uVyFu8IZPHqzeClzM
+Y/y9kXgeEqiFbNCdkUyYI4/ycIZcQHtxrFwGtYI2vQXQGjbqunqRJ5A6/E7zbs0CjLfXpWjNAPK
zaJCk+a0NOyrBFaL0xOwPhLWHPSludS7rG9gUsaKxOgAkhzFPJCYoHZykE9jwRMDR1dO5h5t3grt
OkV54ktwNk6Q64n1YAD4AQaClFzzB6XK41vMl1BIW6LDmlAfFPfDSGWPdFTVsxtDJIWB/yQvucSg
jQ+Dm4/trujYrK5lbYgvVsrq4zc1VsbIURdbDXVsfqyhnqKo/ozH4DOarqq+Msj/TIIkje36LlsG
cQCGY87RVCTNVZJoZMCWWVY+lA1TebBJy7rnjIpHxQYiYPppA4zowpP8ZiPa+naUL/yom5z9dNbc
p2sSezIl/gEq5u+SlKhrc3JoM3Ng3Kk5/szzD9H71yMphsEGIX+n84aZ3YDWSFlEAu7uzpEuVT4M
OQUGXG9G6VIw6zt/xTfvKkNUSDYbTcR1nDdzBsh3ia0ldREZgG0Oaw5SdOlAOKHump7PX+qkn8jL
ul3Lxn6ABRRWx2nZWGpFBw1YFNAP5+l2BhW5p62x1H4+DP2XxgNuGSLVn28zaKYfV7xIHbGaE9xU
MQ76nwufZlsajpZgPg1+PDZ7JHboOU9e2D7FwQQEkOhmHd7rVeHpxK82hfAlio7bJlFqRFL5+mt2
yTkQluw+MQVzYZ/aIjQWLdmS19s97MxLOVIns7h/7hOOMz4b8mhWt5P1U9Es0HC5lUfGDKF13+W1
9uQSZky/YemRv8X50mR+O7ElBOQ7x2vQaEX5bVVgn/tK4wHxwdqryUi3FJT37ThCJ0xF4x4cvDPA
6AulAKmLUF/uz9/Ud54mfl5SKxkWIwQ6HSjFc7vSrxJemCuLfWgc0d7wDqsfVJpb/3rpR+ID9oXm
IisEVeJJE8+aWMVJOFfCeqm0H3279IfMTMrvSyK0e9fsk2/w++wrpgTrbux09wdKnvVC4fjO+2pw
IuQh4ueidDwpRFbHJPHXtmPaFIlJuJZq1s8D+QL7lbBA2l4l7jz//C0+8Zu/Ph18adqkuNMYFJ8K
zTPVaHOlKWNMLFA2931H6y8sVGB/wJxE+akyyv4hiYtiCAuL5Gqva9o2GIgU9QJ8ebPuT97o2GGC
ec8Ip2Jpd8ugF1XQGML5lK3DynmhUbNPGFHtSwPVk07+P5+eo+82WUDVilfjeJsEzbxsK44TWltu
Y4CAw1MJFZc4qnExECWQmzrZBcAm1TGEuRDXPiP7UeNcVto/OzNRyp1D/076jTfR3T9/c0+EsK8f
j3qM5WnTAdCM3h7wv062JiRFIZvRCQclXwn/k3JBUAJZ7WECq0T8OU/jowU0viEfYFJucn4k5IyG
sJXdnLnMx9JJwTi4YKu4xbzdZb41tqUMUfJmRaho4B4D0UtiahZ0r8GUV/K3MmuEDjcKDV+Y/yvE
bUamxNKrwO4KWj00/z4ZiZznEGFR+myrUPuDnCuMX6dEgOAUq83ZQFhZfh/bBQC6rtd/mrD5/3iN
mmLfoXwfgr7RgdQPTWnou0L1yGPoGiUXsP0s92HRPNiQ+jj/RuuDNdkCjQmxxFF6npcxA19XJhBm
/UYaFeuNIeSjSTzi1zVzxg9dhoQpqFZrPHSZzal1jZPyq2gU+1duzN1vUKSxGqlqii0b5G/xPQWy
XwP3JQM8cBKkuFu2QsHD3LuLDSg3M5T9QJuzD+duSi4cH955adEOwVRi4WCSaJ/8xtCBPKMx4JMV
cm7uaql3IRC+yc/TrrpKGLz/D1YqNlZqYgQCbLanJhSYr1klCBsPRzDnHxFDmmEJphpXMxhBl86/
hpbAMXYcOrufCPKHHY0c68JG/963Zq2krNgWDQqa4yfbypdKp9kDISAzl8OqlesVw5EqtPrhx7yI
9EKL6L3LbZvqNkCES3NKTHCrtcQ+jndITlhykW3XIVTU9WfZV0/rZMOrPP/m8ga83c9hV6HjQR6G
Dut0XdwguR6rA2TUxOvpoZujk9PfrciMDyWZ7xsBdB5cH334NJILD5oTB7ApmdOUpbOxIh17v1Qq
LzXs2wLFAaUY4113NiMaw+azkg55FvbrrP6ocwjaeECWrjtYa8zitZpozzCNZioD5jL3APMRagEN
HrZjEFue+JC34GYDnfAGJWhLlzwRr1BLzmjl2kJm03GBAmHUumfNop+ECn52H6ZEwTnRupBp8758
6iEEPyJAYFySuJmn+z0xNNq+kXX8VNSQ6PaOsq6/LFbJIrDYIe/NQUl/DAV8+0jLZ4g2g5ZRMW9p
Moxr4wypBcDY4k6bVPYvFz7yEFC/0fE2V2UkR8dbV+96nCCSSsdSUDaUpvotntwMtKee9/Rk0nr6
AXp5EP68SPfDslSkQM1dtnILQYB+WEl6aIPZqNsPdS56z9fRO39rbBMrwZI1BLIPhg0aYZ5cdgJ8
CGQ3NAI4dje0oDlVdZWw7lGR+FNRDfTClmFGnF8ruFfa3tZyvx1jU9nk5sWtW0vJHgLh8AUvd/qr
JZKLwRwm1XtegObFGqdp4uBS97/VEaUCmQVzc5Cxav3RcrCGAVbS8nFJe/sTEmrvUQLz+9gpzvR5
IfEIUC9IYiJVUkjuLMwTsSmTrpAHXzZK8mXR9BzjPfYXYj6sngFZQSeLbqSo5ZdUkXaH7RWzPzbT
VenQZFTuc1aR/O6vWaPcmdbQFv6WlKWHgGGYg5QgGK5te1HVQ1aX2UPuWNCOzbTSrky3rnHD51sr
MpmmZPh+/n16+/6iZGRSq21xsRsb63i5cAWNK1TjTriMWRqxA9r+MtTLvQUBwVc9suPPX+/t20vw
LsuFxnmLnt+pXh1POfQJpWTjLRs74EeKn1uplJ9hbl4SNb79aup2uLLpvGzaavdk/S/HArMJSNpQ
5tL9LNwiv3cnRQsSObZ72m+XpMRvvxq+GrqLCGuZFFDQH99KbTQGp7Y6L6wbzw7cUlbXVYLDoKwo
Gs7fxbf9kNchBbUhI3QLO5p+fC1dJEpek6AR9jFRzz7hANZdNbvK1ZQtWuSI3vy0mkmX76tJTDdU
rx0klA2ff/5zHAvLXssoLADcXKB79uZUPf4YRo12ysxwX7n6vHiHTmoTRh8y2x4HskRU4NJKm+/4
CjXT7iUDSH3++m/aItyGTSdEh9DAzn+ahAp8Gn6yR0qUKAr9yRtGusij44TNGMc7L1GXu1SBn3n+
ou99aSw2MBvhoiFwODmQKLKbUGMVPFezbkz7lDmBILQF0Za/urVKLSbth3IcvEDzenFBNfrOQ80z
zVfl+nyGUyOyjiJB1nmthInjmD/JqcNlrfVD4NaZPQVD0zVfz3/bfzwWJwdo5k4Y60kUdQHpnTzX
Ol5uka9A9+vEzsVOk4j1EiRDkz/IVS6H0VtmMpfg91ehN7sA6bQUt+rTKI2U8EGznn5RldQOMXRD
/R3JKRSS1FYVD8r9tohjT2QfzBeSP4JiosYOkmRNH51YZj+qYeRMQLJOc1cYbFWhcPvkRVDZ19Fk
JhLbLdwYuau91n6BFAagXUfcQUoUzlfQNhTEdyUVOdz2tc6/1OSVDCGroGcEStpnmM4aTPNAnsrk
ZnTovkQ28pSJoVPcX2utAWO+wyXE6jxl6mFRtJo4IrRJaSRo7fysugVH1yj06dtU2S4jsrgADcLX
7/lCKXsemq/6u+OMc7eLR9RNwYoM1cRBNLDFzUkOO6lt3K4OB0Ox77XOUit/7UerjjzhxugOjTXf
ete68lx4eUMgQTVnLXaIHkZ0N6TKd7YRuL8NBjli4Wb+el8uZAOS1yRthUFF2v+up9H6ANwk+0Pp
Kmp/wqKQfBSZ2mfhlMbNH3cRsRMUHUmrIcSn6aPdi1yJ5pkMrmDqNJPwlDQfZr/s0xTVQFMKJcg6
DIC3zaSqeEC8hsyleOgOEw1B+hL0BZ2wlnla7NfR6X57QiNXUUXq8qViLEKDksD6fssjcq/JX9Q9
3wA8RaQDbF3mcq3RtF/mop1+svzQU3Vy8E1Bmc7NldFQuHCKWiRzPsoNSdBXbf5i6Rm2U2U1T3u1
xmf2YCxYKyLmhIQixH3D31KKWJq3zHhW7UpLss4OYOvEOtCPep1806tzbB59Qj+VESMMR/JF+M5W
0o7fprIoq33niBzO2zw4L7NQbHjpQvHY+JOYO8T2WlgByCrzaTTkOh/sSZl/iATuBvJCbf6pprP1
E3F7KfzGVLw/VGiWc+3mRl3vhTs44lCQt9deC3o6CrQkt/5jrOvc0XUos1tLxyoSWNKWSiirGM9B
tZrL11Hv5puGx0bcpehsyehLzexL71YmUoy48YKsVViKhD0zyiPsTA4HXbSkSC0uIQwhVDEC743G
WpNoXkbyJyy5GKEJBp/vxaEMvDjD1DUAWqEQaQWArAtlkY5W6OVV9cwnKepQF2lBhgweDONKU3tT
3Mgs6YhOpj2TXjhmvV3zoeOgVsQFTk8ceejxnrNkniwKV4E3ISt6IeUYb2XnhJnAN9Qlu+qSOt3n
dXdpz916PKfLoMHonwYqTTt06cfXTQrHmt2FPhRQC4+JXOpYvjOa877uyWJVLK2NyJyZn9RyRAll
AtG/cLJ7p77Y3ALeaz+TMuPkAzi9mvXIz3inhVURp1Nrd0m8spZ46QVJ6ju3WOV8heluC15GkHL8
Vfum7xJnBi3tlel2+hirNtLElPxSrFXurcYyduOS/Du9/1ZMUIpiiNCY8AApcU6+H1AKMooXdm+C
l9cDe8MCA3Q1PjGK+Xh+T3u7g3Ml+j6bKhBtxulUjixB0m5HmlP6qtZ3hKbMISFPkraEkT84JTeU
4tseXrqsuLCbvv0NNYM6yQRjwBDVfm2d/9V3ygRBRBkJEyHqKO2eULXNhmq6n1fu54X35J0WnMYB
GTjEBvNjYnXStLSqMVEHs/dCBSPq+LVZhBoOY08MccGcP2TabK7XonLsNSAMq2PzttU+Ddy1UWRg
NMlYB0tqQs7J00peOHa8cx9obeLHYTRKipZ70vp2wEuNWOHjcMqz6c7LLSMyF4s4Gtj2//q1gWKl
Q7FCPkOlePowpxk07XE149CRguZPCSLMx1Y1Rvz3/lJB+naR4GI0ilFvcfBgUH785iwGkWaLYnqh
wTQr2ZeuXsFQ3OLLha6Yc5DAaLhifgvKjNC89CHXHWg555/u9+4thx4mSPz+3psSkVFAqc2NGodq
1pZ/sllJv9X9TM5FyRjw6fy13lkpmGzjGwPqjjTgtBaWNPVMO9+ibeul7Xbp7EEGSlmds51mzgXf
OlU/W4TQXSiD37kuzWMWp62Lx38wj+9zk1hmOy+6G0ovoxIEiU/LEp3h565Mar9Npn4vekEi/fmv
+86tRavCyXWbd6M0OzktzzbRQG1sCnZJlPR7Z+Fppbiq6ghmSH+hf/nOKsU3RIJFkQqt7NQGUZHq
0TW8H1FG2zxCUusiKDFJBBiTpfi1LL15RQSPY/q2JxUR/ftvCuYGTAQnja1vcnyDyUFPNRQVaZQs
bvKxGrvhit69eqcUnXfhUu/8lhzO2djwo3G+OB2+koVEiBHK1YiA6lq7NTDSR3HhjnFU0iauolLN
sQFlXfyvFwadr4cdlpYtY4BTSkBL+jroLoawWmc4fxy1rb+orptBUBytw/m7uT2Ox7XD8aVO7qYx
tWTDk/IbiYQTfVCUmUJTB0XVhdfi7elQZ2SEkWQzcrAKnSyrNCcHXc2WPILgUd26rts9VMyzbpVq
RbGGcmx3/ntt0v83XwwjIed/fCO46E4uOHC2ynSZw+wc2xFlSlaS8LOFnZhN5Kxmcx8LOX3Ed+PN
O7ce+qecXuEXRmeSeEZ9JBVG0ZRst5HnU1RgGQE15YSluFmK7MrSYoaz5z/xa//79KfAcAn+BBSK
R8/r+MFexVS0nvTQb+gL7YFRYlyvZVJ82oBR/UNLi435azyMIog10+sjwnvTP4NT9k6oyJJMpNEr
qnyf6KnzoiKy6MO+ziY6vm3tfJNFw0jDyLv441ga6beSTMHHbNUseY3oZ/wEttekwME6JXzdtEod
qAq6qgtb/9tlanNW0CXnqSNHxNr+97+qDM0pDU495JV0s/iazFr5CO3jexyb+vP5u3li095qNiQ5
bDZM+tjPQWMdXykbFhI4CFqNDNrDu4ko4F1ujO5j72bGPZ3r9bFW2+nDwNno3qw96TMMjDsOcs1C
vrRWRWlWwafoY4c5zfnP9nb5pLGJupB1GkMn4q3jj7Y2Y+E1QqRRqhEXKlb3a2qP2XWL+ZdMPpI+
tT5er4S1phcesRMW8OtNAYO1iR9wr2uoG4+vjJNqyWbsvWFd9nYZdoWqHQTOYmLsOlN1djoVwZVh
5pqxK/JFd54tksh/YfNrvTvcKHMRSG+iX0J4LcZopGnOC/AVUe6hgCbe/vxteketwUmKZWNrWwLU
O20lIrhKkqGmo9E59DLMHtaEL9u5IJd7zDwFuhLppLmdljeWgW9Aq0gfjUwcE/ccCb3f5z/N9vad
vJ18GHqKKKz59+vz9teTy0bv5q6GuoqfpdzJShl/Yypdv5y/yjvLpEPVibZwO0ZCEjz+gVqOGiYh
PvS7U6v/zQPc7/TVINfVGXqCyRLO+Ocv+PY92ZRrJF3QQUN+8wq3//uNLJcGqqIUVqQOC2YDXTTF
s7U67R3a53inkPD7mCIA2lukxl159NnIjkssXEM4oOXHKU3U234V+V5ojLDOf7Y3JSskA5qYCB8Z
Wpqwrk5uRgYnu5W2FZlz5wrmAEVd+jhpJTGxwCG0fT23Lrl0uW0/99VolYikbDQq5z/Fm42ET4EK
GM8rxRX839PCGWZhWdajGxEJCJ+zZGyJUhpBDtAkzvhLfp3wOEbnL2q8890NJoi8o2A63Vf/2t8/
S68nk1KLLI6Gzuxon5nmSvamYgOr1g2yFSOvsjNjlxSx8QE+QPobEWX3k3dh+jF1cUOTzXDbP8u8
ErZElJ4X+8J16XOtSxHD0VQbFf3aardEzBXTH2dC/c6yX0h3l2Tx+DSNpnyilCVkkF4kgBPAhSSO
23rp7l0xwysqZmP+YdlZrUZoYDSSttXCCVZ1SkiyNTNHD8xksQgwxFETGHzO9JF6ebSuCyc27AtV
zDu/Ee48dD+8hVthevobmcrYkoUkI+FAca2WUj70tpHsTFO9KTDn7DhJe5cejDcrAuUMPWeOzfQH
tr3m+PFcutla2rrpopaD26GmW0xI8uw404UH8O1IZaubsAxyUORf7GjHFxomu2kabeXbYU+8G9hh
A2W2kr2ZSTNqXYIqQXotBw/gZognlizodNY+n38g37vDlMH09XkDWARPviwyMKMlRElGUlOxKAmx
RCwIUzAvnUEwt9keUAqnl7h6b3ZK3jwMR+haub9AkU+uqqEFQpg5YzmqOhhfa70SJIPz3U7jIkpx
JuxJuvsuq069/rdfd9OOocxgAglx93SjRI+tVwQ6dhGqbu+rziQpyIelNYCPZ5jk4k7H1qVlyr+D
W7NB84W3B4oVmX/eYJfkmpWOFbcorDWZ388QB/eEU6tXY19qNxNJND/Of8+3e+x2QaoRbi/cSuqR
42eLzPC4hy3fRcLL1SWUGSUfNEfyuBFLuAR7YrCwM1k6Qa8ZbRcUTr/ct9PMZF7oUh0uPOtvHTfb
5wF7RD8Tpz2JO8efp1acFHsZ4RoKDLtKhBJOehsgMR6S0MiUrPDTVW5WRgwiXkTA7qazrkpTDzCH
x8QI0xa6UWU9FtduS0B2hP2km3zHRNsVpaNdKD4rp9bsZTExydaVNf29FmiGrhFxZw8TdeM3xezk
VmPrSuTZhVQJ0sQQE7azSlWc18Jcb7thzb4qAyoMfxLOSCx33HWfcn1aHD8zVT5UAUIGWFcRP/PY
GC+GMef4YKc2/awSvdv4RQfHhamAVlvBnKjtFVnnerdvYDG9YKaw7tcJjF9ISm588FZALMhw0WRG
uC0MwNEt1I9fMUEukh5DWex1RhIEBrarNmd+lreeeJZeJ/ZOIVotqMSU1odYGEt7Ra2c7DTRzeWV
wfngUwUBFmgBJl/jsOHc6KAafavv83FwDgxzybCAwLP8IRZStpHZkll1oSzdnrGj0orfHPQHXuyt
J4hW5/g3bxKGSJNoahzDy3hAnYRR3szWg0WT/sK++k+v9uRitPfoz3MIZRB2CjUg/NfMrEQvo5yT
Y/8yKmb1tXArTWOmsOnhlElxfnBQjRnYzmL+Snlk6B+rTikIsmwK9WdmdSCfEMbVoC3WUf7BoRwr
oasq63IzgKL4lNNIda7kpj+8LhR11m+nqioRjMusqTH4OOOzB7NfC6W92GZIoCYgK63Pyd8oVCMN
mhbSvD/PHE5JfSWS0+tsML6btN59lA2y9mi2bKMMiXcDJd6qBg6cwcGYMw4dLtVRxVsVeHVaAITs
CoRP5jRY1q0lsY6DZ5u8h7nK218F0RczivshV7HpqtOTtiyqE3qFniTB1JtIDC1vUD7WrARq5CRp
fct8k/hNjgNde+20a9mTWUuTCa6HNltBYpX1t1zpR1QtvV1jEYKFYQfWZDsHr+6ScZfPTKBZc6wk
2pTe45bTnpqBZM46hUvBuSm0Cd81dvEA9ibCtOGQrVJN1UGUdqIH+Hm0X4IQk/LFTLCwhzOAKLnx
DNUre7QHBD2zlTU+ckSEMDnGml+UM40eWUuS3I1F736ZevpV/J2aMO8h4NZGYKLAGfBdW0v8tCRt
o6FOyh2AZxakLjT25sjoxhC/Oz1v3Y9zHvfzPl0Y0iHjmeLeLwbYRVxSKlQ35TjHPpoA8U2meLdt
xUO8NS5K5Gi9Uxxk2sVEoCf9VDzzuHf5gxz76alIHA3zO+kwWPNJomVeODcmudFiGkMiSzLxWDdw
mGYjEea+H6rGCm3FXkJngkUXUBd2U6DG5igDnXIYY15hm2LvWQpE0UVdumzfxSUe7LhZYspJ/rH2
0mMqtfdITMdKp5VDHpbClH8YP2buDtdlC56gsKzvIp+9+Q7fJ9POODXW+yTGf961qvoiEXV0gTkm
mUCH5EFvV+osgWvfdc+5NuMj0vKBD9XFjJ0CLG7LPXKXBKyrOZCWOsQlrZluTH4lDkc6plbIsfwa
15Tn40fu6yeQqrJ4MgZ7pSGRje4PpKuEsZHEtLwMYrCez++Hb85fG4SOOmbT5VN2vIK6/jrlGa1k
d9A3lqNmTx8mL06vlrj65eKve6LLcElz9E59szX5tnkhYx824OOVL7HaaiHlbYiqWM8ToDk2B7wZ
ZQodinyIENm0O+ydxVWFgu2Cp/ttRQfYBYXOVt3Q4jxlqyx6P6s8N2W0VlVKCyxdg00jcKhaHSVS
P+svRWasF/b3d+4vZ2f603x0SpxTsprVcjYZ25nMMbdEh1c3VpSjqNy55qx/TtvJ2p//Pd/5klyP
2hyLBVsMQWtH/aZhMOehSthaqipZ941tcA6ylwF3VNdfOYTo0vYrL8lw3iuqtoQUhDBM81ABnRTs
CtwE1ejpISm90jtRUaXuALMgWdAa55OCXrBOtOs66VkikZb3xSeQD1V7QAhmv3S5Ocn/wW3n+EDU
5CbA5ah/fBs6tQQMaAsZOYqXfm7XDvlHuqDREqD2ZT1feo3e2dG3DhOWcCaZDNFOnuu8Gyslc8wh
0ps6+9C2iCNQ4ni3yG/EhV/4baOXV3YbuTOHoBbHqn383USTOpMxZFPEmdY4oFAorhr+v2FMbR/R
FOijohXKru8zjVFFUoRGoaGo7Kwp4JgK5aOu7GXX2oAv/NZxmxCuZrlT9R4+yvmH8Z2DHJg/6lrI
Mg4jmldjxV+rywBJ1rIGcwR/0RWfcc0lD00BsRHW6ko895RMX1ss41GqGNZHNGP9IR/i/tINe9ta
2HBrW1Yn3UdexJOHId6mOpUjRmRKRZ7vzR5eF2RmJApRgeizI1xoaT+mWkdyBgHjmopLOy8/DQSH
f0nYSzdTdNncT2i2f2aNUK/XDEsaEv8C4lg91eMXJNLxR+Ko1gur8ztvMwJ2jgcI2WkLnXbHapGI
yu7WPqq92bkZkLZG/QjnUm1IEMgQ81+va15eKBm3M+ZJwUj3mCMSh2+LedPJ7VIS9JJuz5zLcbMu
1K1Kfq6bxLjYiNveiTfXof/PKZ/ACI78x88xGorMZt1E51UPxrLLZrf6Kgn+uXe7yUR46yzyULZN
vytSs212W9V+G2tx9T+4xxuFEfM73xkkyfHH8ErOvRZR9RGzCMAqk6rdyDWVIW3L7Lbq1l8aW/eF
A8DbXYETHwN3+l20VOj5HV8TwYZHPAPXFFVWXBVDuvwgM95wA46AaVSksXEhQPudFZrDLudsLML0
FskwPr5iVtj2UKrrAFVBMwEPFrO+SZ8KSSaYRqtKS130b2uuI9iryeGhTwbb4r6lE/1NyQft979e
GfBncBDfNKOMcE9XBnoLZdwu4xS5SZpiIGONMKa+PCgEChzsDi5AVanjXZarm5fWIxkeEe3X8x/i
ral9Q7PTA6YeYPTmncpcPLA53UIAFXntRqdFzYrkH1B65d0snp1PwSoVPoiLq5mGtCnlU7suS+nX
i2s+OYmlL77eJ2Psq1LKr7E9ExOfaY0C+oZuxtdFISjGt8dcXuX4TqbDKHMBPs1M9UvcjrdzDhZZ
Rn5kjG6DA7xUxz/vSHtCJIDfI6xGJQqAtTuULoM7KiyDe7fAeEcNn13l9DKjWhEaLE0Fdb6PU4oO
qAo/oyH69srpmvJapGpDCW80h/P3++06TC4KU2VsiqwrryCyv1u8DZz2Pi0HaKpU7+RpFDjiqxqd
GyLaD3gH5sexGtSrEjFkpI+ZvPCiv3t5GoYqqZ7Y4OyTl47uWTajD1tAJoz97I+ZIWd/cQYnvi0h
SLpBJxl7o3gtLHBJ5myRZZeVsXKhDH0dxB6vezZ1KMNAlXphy+w4/q2APzGF0lG9sA017l1XrVl6
K7Rh0B7QpuJCSpigPeKvQCikpKlyb+nTWFO6lN61V/VVfrBTw4C/UE/DAjKWIL6o0FaIK+1CJIs/
apx1fU+pPBnMjF/1KyNGnPB/ODuvnUeRtl0fERI57IKN39w57qBOQ6ZIRTr6/+L91kYbW0a9NBrN
SK2ZMlD11BPuAO8wQWDaxM7yR2VkNLortSEnnSqzBHwbCdrd2qhkd02Zu6ZfDAlfYZJgfufWSh6R
dpSWn6fwyw9Z3MR3+uJ0UViNaGygwBJn921RZbRsEzVCxDJHluJh6O3uh4s91Oc2Gsz3sZ3k+acR
38T7hgKh8e2ZxNjVC7M+zUjlPjmDXXkB3e49Q4bL9AzsDQwlleIDAMU2ZRrmnr7WYHLQ7Tl9qkyK
N5yj2OS6qMLbm/y1Ytp8XnJhxicr4IdbZb1e/8p5Rm/x1EGNxiMtbmzgfFWjGD3UoLikH2WmjhYY
PY/yRUPJnLI8RlgHuuO0OL+0rm3Ue1Pre/2LWinqp9u/7Mqlw0gRphZpI/3sbW8ZqKJsuk7vj3JJ
0WFNouoATaH5OQ7dF4RhlsPt5a7kqQ6jNuw0SbzI/rb4eHxfVdlXa+MpNiAj+6C/SsRm7URd5WKH
QoZOoQrjIer7ujx4XAftYSiRrQunsRvKI1A0MQTlMICKFaMNJ71eDLhjedsNbzHCiN4OwL/NnZ99
uVWQOodOwMEE6UCwOv98jpeONkTNnNlDxBAp6+UQynYcH+sOlYR/X4yliEl40jFn3U5UOq6WeNYX
ZIG0xnnIJ2EfHJW5V8ysbWepy+jHFUcOvIY/WoFbZ9MKUz2ajpj/LWo1HrHJED8UOtOhWdhx7fdO
Ke5GssyQKxP7lLratQy6zGVp3gOhWofxFEnu+ud/nQsn8nSG5t5ytEisfwEtcT5OnkCvo01q56gA
0h3AgFvC2bl1Xg/32YE0VhAgrlxAD7l4Xn2f/lo4QdhoiBqUMNoJltmDjFX1Bce1PH9GpVGtw6Tt
6uykQ0gb/RRnVR3T+Sr7aGk5pB0sBdw/zHwT7B/I40IrZ1bM/Q48089k3Ux+0aad9AesZMCtR2sQ
5zl7mtcT+UGfz7iRzwtCy4EUJjB1O5LWL1Pp3a+inWN5qEHkgf0s1el9O6XqFLi2rMHt8Nv+2PTy
8WyJBjn4tCvj/L7rnGQnLFx8F14Pb4aBOOxrnI82Gx5AZGLqcboc115cjqJNWd+3faeJI2qAmuP3
Iy5D7qDsknTXOmL7XcBn66s7zNqZ2WyIubIiqmX85yZ9TCqcDPSWmwTqinKgnx1/ExF8QB8KDr1h
abrK19vx6eKg89z0vgBKMki1KKnP92MewwFP8o5iryi441wMDrIq08LFpf10e6mLs8dwB0gmxpxr
z5Cs/3wpyKFAlKqWV9xVZThncvyctAym/diexmPSjvbTbFINIOxs0KeI4tPt9V/VmTavGiQsSnXo
HtGk2Q4c0lSlkIpr7Yg6EQxPCBqCTrlXNE8i0ioXqcZKqQ6KG1l3RQpTLDDHiq4pijNZckeAt+jg
lqo63Q9RDIdNnZf5QLddz47JZEaDj6ab+UHh57uHGam1HrmZLAox4hbqoVeFPh9dMep1sPSifrNM
XHzQVeElZcyr0ZLD7xggRlt2O1v7dZi3fW4TuAfODbx+mn6bFz9qtSEjSzt6rhzrB1XRtN+T4STt
CybLTBimViJu3uhQMoKh8hb9uY8N+iSe6kz1sW1m51R2rRmvnK7lbiIljLAqLegm3f5AV87gimRF
iJN6xAXKdf47JZYt0WysXfsugZkP1X9ZBWlcd3qmI2qPWC6vcuiuvkTpzr1wma9w7PE6AzFMyoI7
7mZzwtmqCI+9jkRMpSzBPKfup2Ho5/94NYSjPKXx7Jp0zMHqOC+tVWg1FJYk/mbCQgrg3KY7p+Wy
a8QvAje5WgKvBsRbt0rXiEXmquxWg6nee1EN8/1CiNYPqKt7d9Rq4qHnlj60Za+8FyDa3zeZau+E
h2t7ByI9x4aymRi1xfzqRTTObT4gouBoLYDDQcBNcLy+YCaMMER9YK4d/aoddD8C08qXu6Fqrfwu
6UGF+ir0P+ErUdK/Ja6hwWA0sLgDGOTt29tb5yKrMyipELY0EFZwnYuOuo4btVsKxzyuMu4vAlpM
wLHV3stmqT4VRV38/Of1kDJ0SCXIjkjsNkcKJjw+VyPsTvy2oiqIzS56xEE+/+bEQzL7Dm4G6s7p
uLwoQNLSKFo/Bg5N2/A5CitNkI03j5zWKOg6DykDtczbFqlfGBNZhoNPlGEV78Iu2DOkurIbuZ1Q
3qKXDBvR3g7oYShPsMld8zgkNHTb2NNXHca61R67LEmjo1HO1Z3qwpnWRiR9s1SqyaMJhHVnQ175
0KtPCPCQtb63t5OEBr1by00t81hLiJM9tPgfHTU0tmkLwi3BlIKb2zmJl1ck1PhVtxuqBqz0iwx+
8UbDbGLrODH2eoCgJKuDKFrlsbVTM98pnK48Hz1Oa5WCXMEQW3+xXOiM66eSxVxJY7rD02Eoivh5
TsvfwETqHUj/djmHl7k24LiR3VVFat10f2WFmClMmkybOMwsA4lJhB8fYIvM3UEbI+shAeu2t423
Qf51RYTq4Cus+QaK6mcrInhCKLdU5cj9YT/Bl+/RJmjEOxWtF4jqugg6V+5iSl/j1N934Lqszdif
0Qy6jYDRz5cd9Cpypix2j8hl6i9ksl4dFlMzfdUk0Di/9nrjN3LgWJkCFaA5g56f9uAxHO79Loq8
lSijqW9RAEEMbrA7Q2XULfL7Ss+Sd4jvTpTxlWEhj93N8XtsrKsPNqgBdDjVXP4eETwcw0jEK5+0
SrofWFvLL+XUo5KrWovtkHHbEgU6pVOLAONryCKCFPwF+nbzZykLp/JjmTjhCPJEfeiyST7oVeMg
WzGkyfckBWbA+LQeZl/thFMH3jzSpBdKSw7jdnHmu0q9DMBEUMbn37vhRwzYv13H6PFwWNMe/ldA
4v+wS2SEaSUJdpAKBvKzgIIWJFh0/smTFixLRjRv/Daapwy0asaDt60SmQfQS8pbj9FvcoxmJ3ua
rSFeghGd33tP5Vsfs9z0SgbjRvaLIgH1jIqNhvq5Z7efIlJQcYwaHXVSzZo16TPgpm83SiN/VtQU
2gck4ARGb4Fdjp92OB77nYYUOVo+Sre8oPuTLYHUm2F1dzSUFiMGs31q+bN3URkjHevpgxIHOIxQ
SyQlfuGUWY2BJAyQhXAQ9fDH7jCXDBBM7L4KJrJ/+kGgNUjV64Jy62PxVS8RD/eNcW4eoVhGxQEE
y4iuS6Yl/xE5NbxLJrvWAykn7JxyI0JGbi7NpUarJEIHKQNe8MWRqhbfZZWa3UW6MyKEqYFt80l5
anClrbqKzmFuBrxJIPiNzUs+zT4T2uSB0UhssBozQ/xPPcX6zM1sAAEZGM5A/J0qtIljb6HHoMs+
vjekZsdobiktnu6YqjgB4rrz70WNYKmPsNtNvyrT4lmC5UY8TC7/ZVFk/cY32S0C6BW03KDXTwci
45A80cXNv2dWzsnVytGeA5knqe3rqGb8EjPaCvAXBuepEV72kxcHCdlSEEHYuQSvxCvnf0OZdY7F
TPP8GC8mLZHZwvhgUhZxSGMPBmEnuoOLDOZTl8/DzsTA5P+3CRsMX6gLUZolO9xGK2sWwlAKNQlx
CEJ2H27+8FSLKtqhyVwJigxBEPCE9bP2BzbphEtnerGLPg4NZqbaUYnz6A3zVacJbGfoT0OWZx9b
zd6bWF95m5CHyZxIt0EcbxNu5DMUGsVpEvZDXB3VeNHuELkxXihBuxdcaK29z3eB8yMMI9ztrJ5P
dJUwtT7/fo7RzFVsGhEIO93pfspl6r9R7tct6gJK5j26TZzclUaF7FcL3fxrP+B7RPMQrYCgb6Ko
+Ox0Npiqkk7xS17BcbuzkFpo8J6AmH3Q407BPqHXtE+aV+p90DG8+JUy3hVhVU+gLGYGnmjnpFCG
/ShFZNSfq9x4VKJSxbylWuY3NKPM1vci3ahCd7bUpySvh1WRAftFDICbUQF6VVYrQJ8dUZbRIIBR
AZjhrKuaHRhZYXySik6tkBS9/GLnM9Ag0SiOcmBwUTOdUIe+Z+YQ5zoitbHZBNlc1x+kNS/yNKFU
tIQwfjXkOuZa+1kLB0W/qdAJydmcOaCcIlyVDgjvaSNpX+UQd2LkIlrsMFB56BIsqGqhVy+RFk8D
HpVMslYBviU7rm7o84nT6f1uPdqw/mLRcsUn2Mt/zWqBc2ztqfLudq6sX+5uUkcI6oRAylAS9M1H
b6wp0tQhDxcj0a1grrDoBmKtoPptIYhQWIUetIhthzIR2n23SCXwsFEfg0Kspst2O2KjIZq0/1NV
BgYTcz0idU3FVfbp/MGITOfRc9uZAlwV6WGaF9f32tgIELupgtY2pxeU5qr5gLT1fxNuIeHt57sY
OyEpyiTHJRzB3yJD32xquU5Vs9ErQ+REJiB9s40Y9JIMtHPSQa89JmMRHQ66cvV/6hRPCXn6XP6C
oBY7B7Mby7dpkyJLMNfCvavrFUSfuO6C8NFQ6cpOBL3yMWygIABCVlrDBTTGyjvcz6K6DkElaIFo
YBNgSTP+kEX6ZUjMrzyk+vH2C3ploZ5HUVJLJOjQbKERTgfofAMIF0EVWbd1qNq0sHxDROJuyhtV
HOuso3nYJhoG8zq9sPJoKtUAYlYpp/lQ6X1nBd2sN62PUHnxEQRchRbi2NvRG7sZ7NMYTaRsHO8M
5LJTuJ9S2AzlwZ60pqYJYwNrcAHNvk0hs/TPxuwtzFYn0R46JJqW91IkRoo1pzHDSDTxbZmSFEpg
qeDewj2ZI9Jkxn9iGVtfLECEKfRhb5ofcr2ofyzMyBF+jnumho7bM2xSh6TQDm4WVy+pMvU/y2WI
2dSwVhEaybQeQ3XTLE4Vr/i9XfCNQk/Lyw7Hm8r5QgEyDg8WUExUc8CEfJPjQFvfycb02cNzjnfS
ldV/bZKoDLe4JJHgjufq0DWcb0a3kXJC4k5VQLIuSXYQTiEFKpdADgMyi+FrPWn42GFAJtt7rbVl
AnWnQHQmbrziU7+g4XMagbs2fq8RCw87O4APfL4B4HIh/mcb6O8ye9lc2wlC9fYyuEVo2oNzGnsD
6ZO+OtSNxTjDacvH3kn2jFE3tnUr8otdx2ABdA1jL2rF813Xlovh9oOXhUamJ8khj3WDKkM1Oz+y
GyCUw9Q4aOcMxZ01c4R9bbKtTxhTLNVJT+zJQHe60b/3Bc4OT4PR6uXLtH4CoFuk+lRluN88wxnN
EahWS/IdY0bU2NfzshxDwiiWNLYaVeKNN8T9M54I83goGAJ5aKHbCt3dWHH+9G2hvC291v5t2CXK
lLdf++X9jqYocjvkLjRw8Cw+fwMTjE+nMuc8tCZRPcwLgm9ZTEu7wn/4RKcx3qmU13N8/plZb2XA
w2WAPrFtNA5j0Q5DvQpslUmioXOkVd2zVxTL6fZzbStyvizZCj1zFqMntVWrtrR4XCquhnBAT+k5
c1qBrmjbvZlbDOH+eSkm1Hj+AnShd+xtQhcAV/qF1lSEHVDOE5KLYOE7231LU0jZIZ+8clM3r48j
snaVGEIwFN9kgbhhQV510zTsMV8uQ4VyfPAVYJp3MTgA72UcJvdPpHXRvbTk/HuSXNhS9gDz3Uza
FHYFyqdBplqz6ueLnd15td0UL1HmLtgJWb3x1ssLSa4kgccd2Dht8tD3TYtogaLF95xN679B9yRU
P02iEUSPSX5uLHPlw5YLA5+ZGXUfqFbXfppFZ9iwwWjMPkWdveuMcbl1bc7R66CWg8xQ8HzrNooA
hFv3vAVVmapgGD3pfYgcLGKVoqUoV9xh3GMpX+hf0zhcZ5CvijYASLYgqBTDSrUbMerKlNzz/K63
9FOXddZjKRX1ARK1dVemovLRHZN/TCXGJat10zbwjMq68/Bw8C2kP5/batEl8rurjLhXFsClNVVW
vo699U5qdXmZE1ERCgDkCYaCJP78LRG3SKaA5a2wMDVEWxXYUgf+0er1PGhR1jwVk9nunPLL0+ch
JrG6R2jrX1twbVS7eckV04YwNlqcvnLL+lQ5BTCxmh7g7eO3pobnRwLqJfQk4GEuQXwrYWjCLkRX
qBPhstTesYOZ5YkihORvHYe59F4EknoBpA312+11L56R6TBPhpKPpVECbSUgZmy38hoNp7Cd3U/0
HDLGDmZuhvNgNO9vL3Wx01mKOTB+12iXE3g3p15xJwhlk1aHSzLnf4yyM080mMqfAALo2DjxslPS
XrRygXohPMcQTEfdwiMxO980JiHabTtRhz0aoR+SqOwsbEmgDtZdM55KS4N6kSQ9f84F8sBMtApR
V3N3ot21n/Hq84mLCiU2BeH5zyiLoUbEIGlDWA7Kr0wb3AAghn1cLW1H+maj+WiKTDHgGrqFL1Ug
UrNb1Tvx/fLtM4okIQEP6FKjbCFjM9ModbEWGaqFNj/L1lsOvDz3XiviUeVXYGW1cylfbGm2M7X7
qvTADcnmPn9ubYA/E6Up8nt4N90VOs1OaDXZqYyn5dnySgxWJErXzA+LnS7D5aZG3IhJL/AfcnAg
yecrD9Iw2wUprTC1Za7BpdPlg7BIbkmIsmjnMS9CE4+5qsVzdthwtHrPF+PMKjNM4y50O8P4AfBA
u+s6FV9uUx8PHtzN+wkS9c6iV58QdCdaeKBuyPzOF20Hgxk+BlmhSwF1UHV4+03t6XdFveuTfW0p
riePQQ4tR8C750tVOeqQse51oaEmti/l8ANtvuGL2TnxP862HIY9yMutktYY8RF1z1eCnFKUNSag
YZ0ozsM8Tv07KPI/kyxxe5B7FB63A9LlBgWwtN6CRFzmafYmIMEkVmB79sx0MFf/5UR5EjhL5Nq+
azGc9vWpNFo4bC2q8rPlfri9+OV5hPILRU4lCVqF7Tb5VpJhBAoKkZRVK9xTwrEnLOnek6OW0RPk
yf+P5Tj1GqTbFQ22RcXQr8BrSyuLcOkW89lcutmfGgZrVuzk30ZkCI63H+/yVNC14zMCjHtNYTe7
Zs3whqS2ebwO9o0t7elBrWR0aKSsfa3TlMdqMvbwVdcWpRBa0S2gFCAcnW+gkvRjAorIvSlnO5wr
zz0hdTMdPSYSYWeK4smuh3jnSS/Ph4EbEZIZDtB2wLibo1g7s+fWZleAFdLzN0rtIh/Ctjp4jFN2
Yvi150PehFLPpoEGyu78+eLW0Ueq5SIcJ214qnKqsKgo0VlNSvcnmkojkMpdceULxABYPjAKVLOM
gBnTb5FcYIOcRcHBN7TjUbyLVz3t01IyDwEapd+jE4inAlqmjDLQHXtOi0z6delZP12sjoIFHfMf
t7fW5bEF10aLZVWWg06wGkL+PcoD3hVXElXQ0CtV8baaIadKg0oAoDuSVW6XHJ3OUA6eaN1//tS8
eCQwNegLbGxvs6kTShR3xg4kVOs8/zx09FEsXcj7NHX3XIMuEPyOB4kHXgYVEg1k9tX5U1o99nyU
lQ5eU453RxnkvDBFWt6uIt53xWAZrZ8J6YZjZsAXsSIYT7lWfC4qdQ9WcxGp+CXsAVymaWupOM2d
/xLEgpy6tAYH3DjwIKFPHxm8p+/mLsbDqjStncv74vPiaY3JF8Fq9fgCenO+HDbOBv649oQ13NS8
BzjyJDzwBkrX1I+oFkRvTSHbn9LRlbvb++ryOUEa00jRKcOY11qbg8zLxispW9SwkcJi2k/9YyLz
/Aaj8x95pe8BZq8tpwGqIFFxadxsB+ApKrC6yGot7NGa8wWs5BMWHQyoRlqrg6yVX7cf78qOoszk
3YLHZ8hjb2uo1KvU2VYWLVRpw7w1vTF7I2M7PYmELNifi6HxI8+mPM7y8mtmVSppauocF7OYv9z+
Ka/KNmfVDlMPE2QDsJK19NgGalHyMxmhLnB9SnV+E2dt1/nDxC3B8GOI4zsBfrV/q9aZ9hXaCFg5
b7SS8UD11ZvINlduiGfTXD8xKOzJmQtj+aw7hIJjExkats+NOloBfjINgOwZRo7fVY3dBxVKviUq
0REmVFUMl+tfM4p1mgMwAnLg2gjeimuiGdMXVjdqoQB5PgOucpxPeFKKt6nprGkG1tUpslyHwp72
gCtrPPj7lWI5AkudTJvZHfCZLSWxB0sgcbDCQnnEIzkWrv2Q1YPYgVFsb6B1lVVyjq8HWuriw00o
GZhtoi5BpenLr8xJv1eTXbz0qac8MxlijJu0e1pBFxfQ/xZl5gBNCh7vVut+dE3ICYO5BDHZfMPQ
cDBAi7rNYTJj/aPWIrdW1JAjA7Br6QfRe66/4Fv9gm1ve2rTodkJFFdfAikU+Td3MLJS5xHKnGzU
q7xUBUFREXedV2tc3tcMgsJFhqIcjFMDvGVnc712FTefmF45cvDkrFS09ia9scqoZSLbL4GCvaQf
GSU2823ufaxMEf/OGsAcWY0YQjeo0wkWcEUbvonvC50qE5Gi+QVQWhN6Ebhi08GfG7VFwGNlX3yd
Ysw24sJNdu7LCyFcvhygPpgRhGmu662DWCa6CTV4YIWt2TtPtsGYPEbOD5k1JYZ+YrcOzIzCU5Fx
SMawNXP7gLOrc3T0TPkIyJMEp8/22o8XTIX1V63QR5B+hCAC4vn30xTU4apYX9GM/fhdL7oBv5Z5
8D6POL8/iDRS1AOCrVp8SBRJR9FECUbxy1qV9xPdUOaflOtYMKmK+kZBkfBzbafGWzqE6eBXFkCQ
8Ha43GaY6+/laFPrUUSTwW+++wDftuqHfAbpl3ZvEQZPHyROKgdp23vJ7EWz4nUtuFqoBKw8hdcv
+hdOaixssrYC0Eiap85nbn7lnaIAy8JsXv5sYtX0AW1lbO86Pc6K04WLtOvg35+XcnMFMK0px5ZS
Y8cdgatHs1cYy++kSoC3RJr3Ues7c9frbU1eNmdqTbDofa1XEXSB873QUjpDhCZsGotkvtbNSaDQ
V7gDn4BxF25G+CuI3LnntOmnEkiwn0/T3Pi1EY3vbj/2NiHg1a+SaCtTDgTeRUKAq33JQW6WoGQS
E7RZvxzizKweVLWbEcBcjJ1q4pV5tn12jfEFlTY0CfAK58+uoDcWsd6ChUbU3OsjiO8XS0wdAzfY
odJ3uwjoYaF05PqykpkdxIDrf0gLbqFvrvaAx9zIWjRJImX+OWQK0imVTFAjdYxFOU1EGkzGWrP9
jg22+S4uppL9Etf9vWX31rgTla+9PsCE7Fs6mYTlTTUfz51nIRpET68rCwbPufImjkuFgNOtTNfI
fLn9ua7cArSkQbJAcCSZ2qaLqPpncSbEHNhRMwVakeRHZXIw0miaElFz5ZuMs2znGS8iAQ0YMlMb
dAGJOLJC51+sWWLAYij6YC1ouo/DUkILdPMY8Rl9z5j14vHWpdausMWYhtJvkw038TIukeKylN4p
T1h7jKe0qmbYbJaNHpuwj4vo+p13evX5qKsAg3PRQR46f74I+2jTyPFMY5Lc/ABCkhy6VkVPd5VE
v/35LvIlng9NvRWCCgqfz3i+VJux/SeEtA6OsMXXDMJJYKcg5fYu7avrmGyUtc2zSn2er1NjAITa
LoTOMoqWB7ohNF48XuwhX9LooxHlVYA4Sv3dHsrhTaLNwNlwUQsqu0Q2Jeod6xcZsRnmCLbsvIGL
A4MVO1QpcNa0ErilN2lMqzejHuFoQ/vQ8D5Q/01HyDgz/M/ZOw2IIu304698XNDFro1lkMmgccs8
GvBoslOsRA+NcJwQKARAEGx6gnjx9j7utUdj074+Hkd0G9XzNJtBLXBOcOQGKp8B5OzipA560RWn
etaUnVd57dEo1VdJEPjtQO/PPzJksrywYFYcJIPJD0mJuV3l1M2jdNy9zu8axs6CNl8N7RWeCQYA
Q+FNNe4ysVfNBUwgojdzehizpkSmfDJ+cliMpw6flhcErwYlbBQrO6p53x9uH5z14G9/AI9JyINb
CLpmExhEr0ZOVGGMbjvN9Az+SnlTtWVzt3p4vizzlD6MKMAlDASnMry99GXmxsPTgdHWjhTHaasn
RFkres2GyTpmvRBH25TZcIJRgnc2SXd016iUXQ80JRjtJsg/OafILEdcl8Hkmv/lS9WEjoZM/3Oz
FOanZqY363cLMv0x6oxInkIK2onYV8Lo2S/efK64rJS4pcw/YDvTfXDsebiH/ZbBhTVB7CBK/WEw
ycpvv6drizJp4qBRLbAp1+PxVxJnO9mUUQCLw+BF6X9z2yLJpeWo8JTd+AbcnQxjIAzH24telml8
HLYlg2WCKkSeTTxB4oGuoFKKQ9JoXvIt9dBuJTWIo+q0LBrkyigDdHmo28G8L5Iu/94tVp8eYb5P
09uljVDDcqGrfbj9s65tV94B6Q1lPidz8wFEkYE4TchphrF0Qkz9pqM7IEeo54b+LscUHeh6Y5ah
Wxd7VrzXohDwCNIDXP64rTehX8tSld5JUeMYZvToG6oIzvD2rc8u/W/8YJsf//yoq4k6H91FZOUC
LdJg8FUkwKIPXd7oh841MzSFRRRgzakeyyn5LVQj+4pa456PwJUHZY6B4A9th1VyZBP+kNtJM4tm
7KGM8d/TzL68l0UuD7qimKdY283ar9ypNtf3miNAEeKv8/09OmYTiSjmxY52rofStarkHumVXRmV
9QttYh3SEWRc68wU2MFmoRqlmMgdmcVGxoovW+bMPg0y6p7GthuRsJmUU6PUeRAljFH9sZL9sz1J
VACquLR9OhOJP2p69u72d75yvEFDrCUh/2BPb2qWbPaQ15MasofQAF6k3ueBAnDirmqj7j3oOuOp
zcSn22tee+WkAJDK1uEKd9zmlS95oVdqSmkw4ldTxIX97ChJszMrv9hIAIJwo2DKSH+SRTarpBk9
OYVhC2+6SgPwkbjBRgLC6iTVBwluaOcuu7YeUWGV69fs1Uvh/KmcWu90dXDcQOCfvrYevRMDSvtZ
dasmaNJxFyG8fpqzDcUDrvw99hSgVJBH5wsuzAwcfdJZUFfg2ihF4vwC8THFxw7v1/RQI9bwBjQS
NqXWUqO6rMcoeCXwJHSkudMO+jAgkFMm9NY4KpjJBnZBjAmtVCZVOHluOvuNgQS1P9dqAppvVIcT
Pqad5yuxU++pX1zsRB6HWgSxDjgKmrnt1Ruo51dVXbqBaymQ0nRgq8joQEU8VnOtnzREKEPD+mfV
O+SjDPIP+gMMgAhXm3ijMumakb10A25wFI2aycZ3rK+M5QA8zDtM3ezR8ar3vMsvzsC6LLJ3FskA
IPtt2ClnFeFvi2XN1Wjszs0czCfwn4/3FLGvLYRiB40+HMC4VDc3aa1QSTdK6UFSBhxu9vb4Xgir
/Hz7SF/b/ExYVkNn4hsv9HwvjrYw1GKeQd/rTv9eG7FNE7IQqEGk6n3fIE91e72LJJmp2crBZ+Mz
S2KKeb5em8gBflgJ66rK6fvJqhNPPZLFmi900f68vdiVnUkQ4d297k5vK7UxwtFJs5zLzwJH+KwZ
83+LMWa+Wefy3quK8qlg8+7kelde6Kpgjo8nIBuqqk30mtEwo9KwvEC4A5S2qbFBJ04EZ5w1fy6D
vovHvxJNuOfXuSxjh5W3ef5GJyuvF0HzNVjQeAIiXpY4V1ApN7Kk9MmRro8LJTn2LY35qXUaSLyL
d7LHdrhDrXBPzPzq45NlrT+H6L3FpCAxFAmpJ9EKopCnciCzGtcGa5k4X0ms0/D2F75I7NhOa27l
QrfQIXSu2+2vJNfBtKNYEkKpUkWW/kDS67zk3jg8ZbB6fy7mot41neHiM6JJY2fta7sLCqSJGeya
hmyTSpMo0w8OxJUswtbYQjf5qUnhyVVl232QZTa+x/x3Mv3bT/w6FtvcHkQ8iAXkWaDa1E3c6+jk
42tWREHVxtb8iGpMLr8BpEcYWwpl6kQAu3VGVsD1incurn5DMA5a/0tZOoxyO1NxJmh/kChPrrNa
J+pT5L6PIn1sg5RSBK+WhLGz7/Vx3wTYqHjlgXcLC6+JpkT/uZRq8jEbsKKgzWcjEm0ONpK4JsI9
x9oWqPUieOtVj7kytQUEzThR7uNWaY1HZMmGuypVxei3XVl+siML1e7ZcKNiZ0B1WYWss/l1QAIk
Az/XV7D8X9tiVqO0E9mErlQ728hrIKj4nx2J8qEBWXvo9KX8jg4NqlvSq++1Jev8rPbGD4XCiMQv
4rnec/m4ciyY5cOoJsdAgOQCeSNdFEC6SQ/SqJJflma018sxGx4zxIdXGeQ43mm0XLQIaDX9P0wx
KSLc4/OT0VR1I0YvI2OYOjOQC1NV4NzaaS4BPvqD0tPyzeoGFiWZSEuzLYX5enurXnloSgGyU7Jm
nJq35uagCRQaea0ejPPoQL7pqw7X2kL1jkhJyxcFDZDyX3uH2EryuKi9rVNCIAvnTy3wTWG8WxuB
yMTyNJpN6eNbUcDqlMv9vz4dsHX6viyCU9uFi4Ge6JKKg4FjkY3UO2o1h47MfmZulh51LftXjSoC
KgR5Yh0enSaJ6ibM28qoGil/B4A4EWKYhuRUu4X4PGt0n28/2eUdTTlFgvo/qCrOgucvcR70Nha1
rWM643i5P4lU/pSysp2QcRGUnturXW5UVkMHhUEc1wWT5c1qzpxqY5kYpI+5++jmGA778JTm1M+R
ZT0taeJ1hz5XoPFqeS1+6sWo7N1al7nWCitH6pzpC36d28LGa01HxuYI+rZu1celWIwP7Bq586SX
5wHEM1J0HmIOrPfqjfZXVBot7EfrAqpeNgnko+w5Mg65AcW4ogf0afGIurdf7QXaY900q+aBsQ4M
oaisv+ivFdW2QdYqLSH31J4rQm3S5bGXnftgodD+FhwBDKrCzsugKYfmS8TYASmEKvoWF43+9vZv
ubapIAyiqsLkjKJus3+7uR+aaYSD1dsJToqiTO7S3lZPq1fCznu+spSGxhOVug0Bi3Tz/Kmn2TAU
B4pIEGVa8cbM3A+UyNFTF08fbz/T5WgbHgIhnW4LeghMSjdBFlM2XJGy1gycqa3e0/iqP0YkQDUW
g27d+lYl0ukub+Ju8qe0dXAS7yAU+friujnjm0bYvmXDgw20Bvr8vx/j1Q2V5JCmtM6A7/w1uLqi
dsUApLxw6c0EspbRHaIQ5Yikgy4OO69izWvP05J1k1ElAIfAxeeiH2EhVtJ30ghKDEQMBBpqTS74
MWlL8t7NZxPiQha336bCow+P0s/4p3QZCi4m/12gmqOI9zb/+pm3v4jPj8geuHM6OJvnX68etWwz
Fbu7pDiibGD8lnhihDgZKb96eModLIcSFwfACCnWFJUazkvf7byYK+ENVD0Rm7oHxMFWTyWpllUc
MkYHqI6mY+fN+mFGseH3RBl5v1R11vixp6QJacdQfGNEunclXogaEQTWTAg0HcBN+N6bTZqivalE
TqkGUVWMD6rZZ49FprafLLyIH+hO4oFVTiJImoUUsFBi/fugquKumNLhVLVd8QHEjfg+CrV4sISV
/bm9ca6EXrTr2ab0PCgLt8BC10SitBS5Gtg15k8GSuGohLR2sqPAeolpWHU5QYtQ60KPhBJwfhpm
NxLNHOMIVje6jdbeCGKh7eFY+PFUN7BJzeljTeWmrwoQ6ptsgXCHSGu8k5peuQOYDuHetaqFrn3a
858x2ubgOGmrkoyVyUc9T5svpp6mn6Eu248TONKdU7AmPJtDAPVi1Yji1uGa3dyuGvo23v9xdh47
biPtGr4iAsxhS1JSt9zB7WxviJnfY+acefXnqd6cFkWIaC8GHsCYKVWxwhfeUNlYhhgoDDwXthUe
+jHLz6ozVved1oCfoul4f/ubbm45CGWcPjCUaPuIX/Xm3RmZTbWQMXkmL94/oil1rsZs/tLocX43
xUmRQdwNgj+mOTc/cqFiBcRemK6Qn8tPejiZyCiGcu4tqd29jHmJMdLtn7i5LhTfqEWYAjAgtuWb
X1gu9H54OhRvKZroXm3R49SqIDrDWkOjD851/WLpS7Oz2be+PjuQXhTwbW7KVXEgTp1+TItc8Qa1
DLGEref4hYAHr48pN+PaU4cBqZjbM906YMABBXvDJPl4bae9manUWnKl17PiybO+fMYn7hvel+PP
24NsPLnEwf8/yOqOSTF/qCY6Ud7cwGry4ZgtCPA5YZEjYtlNf7OMoFfxaaP3SfHx8uMFS8PLX+As
hUKslh/IBPvxwCGYPX2saXi10Z4+vvj962MkpMgsgxiIAFHM/+0iLroiFVVMSByr+X3VY4g4pa1x
7DHSuceZ6Dd1j+pcAL6+e//CQqGAUUSVA5TCamCnS5bUatEuAK4LKVPTDfRFm+EJTlu7s1E258hh
4JESTpBrbc4E2IJkcv17rRNOzU8lV4LxYUrwhKbVW2jIVaH2dAw13KQ8VZnC9xpCi3eKQ8GFwakE
97HaQ0kZZ2Nkk7GqiFIdwxlJhEZeio81giiH26u6FbgxQ4APwEt4EdaKdhWNrBJ/JdVbTHOaPuBM
O07PCKuNoYcwAouMzTiY4kJOG+lxiEe9+5Bnsyp9zDqkPdyuUhrraHVR/y2SudR2LqetawLVXvqn
dLdJ3VfXRGBikxyi0umpIeyuSonx81ii9gFXod+wz5adpHnrLhRMK0R5cOtFwPpyc3c9ABBjooaF
LjW0w1z7NmC/dhf0WXayx9ryAz3qdvb1VmpCkZDmBx+BRNNZzbGwjFgbFK6lYmn64rudTtFZb5x6
OuDtlNEQzsuazuUi9W4fF5J2Htt0LFwpAi/okipH5d6e2LgoyURBO5LSk/6uyVjAAJSSnSd7kTSV
0kkODaU7gjOu0x9kGkt5CiNyG7+rtGU8RWEMH43QPmF5hkz/kSi5OpCcA1R25QkjHpDnSri3cbd+
o9ixwkMFHs6aRtqpUk663MrU8WqFmk2gHrPMno+3j4e4VFa3Hf93JEkRHcCc/RW5/+a2o9/ZD7iw
48BJWnE/lYvxLe/7FzmppdN7R+JSZQeIvjw+Tetn2HGCpunCyoTHP+anOLRR5KBS/k9SD8Xn20Nd
73KGoj3FZxQjrt/BqIhDrdVa08stGXHjWJKPbCbcEiQYALOkjMfJmKedldwcFJye6PYBZ1uLHNSL
bsFZxB6OJ6mjgGFSiacGYB8dhKYf4lyf7p1aVndu8uv7Q7Q9VK4Camzgm8WvevP9MixkNLW2MKWL
oYPy/qKNMsnGCeGd/GSVWNndXtqN4BpeKC14AddTRGvnckCUpMY+pcDjNfO8fI3yiu430KvsM/Tf
9gCUN3hUEN87JI2qPQaTNX9py3nvqbyy9hBIPgriwjZHVAHXiU6E6eOIXJxJdFUpVorulVCRCpNp
QHwFonXtKmqnncPemn51ZaQ+Z4tQ2jICCD6umpj1H7k07V9GkVQdOuFj/R0lAzQvI2OaS7cdpOl3
Xdu1c3Qy3T7HutFoZ7ge0tfbqykW6/L0MQ1KpiwnENarfrQSzXqnoYPlWUo9yiczV2Ib4z61pCgf
YYoH5Hqajj1XWHpIey0uvZIahb4Tw1/fNBQOaD5S2kBJGU2Vy0/aqGYrBxrkPTVpYDQaSfzSIr+x
s1OvbxqRGUMxF1A2ChWrURa8IStpsXVPnkal/FQPVSb5unBdrhYS6p1HZ3M0qmCkXUK0xVhtU2xH
+zQ0Hd3Tqr7Szrmp6MXjoiJL5Flmi2Tg7Q+5NRxFKLQHUFQVInCXS7jIk2BbYe6xdLH9y7ST4tAH
UfyjVPGrvj3UxtcCNCHsk2FOc4+uSl4ddm/Cc8Iii26i/ynI6n2rwngnTti4VhiElUO3neRFW10r
QIFtMI4MssiVpOGQUKZHinoRTJupWcz7HHGHX7fntXWzXIy5CgodFTiIPRQWphmQmSYZqyS0g6Zj
B/f9E5XN8PMyK3aCLeQ4nZIpkj8M7TR+v/0rNj7kxY9Y7RsjaBZ9mDmRM7qRB0vgvcc4al5sABzv
36J0NCHKgMhny6yxISD52pyaou1BJKFzMrDoZ2mpuaCkadkrDmwEYSB5qAuJkEckiKvVrWgbVk5W
2Z4iDZl2qqJM+6gb7aKdHCWvU9+JVVRezS5dxjurGZtv4Zw6C44w4XgP3jXId5pWWwtNbZhdzETp
HK12GO6BekOPmm2ctuZvyJj5PyTw0+AmmjruJcZbg3FWyMIB01IjWQ020MIv4DgwWIZ0TBPW9hfi
h+ZOted+h866NRReeAxDYsrjtFpnPYzjZFASy1NmS1J8pAbs0a2jJpz9qFCdH7e362sta/WC8DF5
QpDzgMK6Xsa8pN5hOxxUO1R1nEvHse+8uov72FWzTP0cL/FMFdrkUndhuBSnodGowBQAJLNuiF6c
SFdPt3/T1grgzUg0CZkA2pW4W96EJAsKhmGEIC/EGr3/mofN4FX01GFNG8rOUFt3IcpSLDVbWnfW
7CUbSf84oxTqxcnY/Eqosp8rZM6indtdbI/VIlP8F11W8kiwrqvtE1gzDpMFAJnIMLDMxvFY/o30
LkpEnaRpbiPl8q8Eu+6dm34jOkBaEPQCiZoora0eFb3U5pxgwPbGSrcLlByi+hgRXepHfOuW0J1n
M18OqlyFX7pmyvDgHjtL2fkRW6EWd4YDgQ6qtOBJX35Ox7bzKtBqxwtsp7PP8yApi99YQHld0GvS
p0jK89ibTCvEdRmASuiWthLTeh+V4Ukel+W/OcvKn0BgWcDeVLBy1nvLCl3Mc7XWs+UWNVZrTqp7
qY5G0CtahXOu3Y1d8v6jaRC2Cl0cYVq57pIUXdioSg+eq3JmLJucEYuITF5+t4S73957BnAcYSSQ
G3Q6iaouF60dtakcgi7y6RR0D1aMNAx6htkBd7hiZ3NeP9UMZXOpwWVHUWWdASidlVZz2ES+MfT1
KTWFqrKtFad0xmgYwMYeFub6eEPLFSE3RVOw32scjkRm5QCMlbwqgMfeFVnnV0ZlPNh9sgd4uh5K
WGMKw1kyRiQRxPF/c5PUS1xkbQd7Q9LUgrJxyuNPpepJqzrn3XuDoSgIwJUX2dQarOZMg41p2USP
tATd0lR97yYL1g+trZXH9+4NhhIDsYbgNta4+WDQajRE8M41AzM4ZhQ/PHTs5INaITp2e6jrvYHY
3GsKDB2Jnoh2uYBJD98xiVLJU9UMsbvEMeZDLAUz6CXrOZf1P7eHu74nGU5sCnqlNiRL9XK4kELb
DFA6IMUvA6QcEPHDbi6b/53K/HkO23yn0XwlUEvGK2N4RpxKbR+O0epuklE+RscMiOGScoe5tHTQ
LE2Q/s0/pIXcia5kBPkX/lrj9G7XGfJPGzHW2M3lRP0vscrk0Wkbo4YDhWvPE82MUT2hh4Zlj7uU
Nb44txdoI8blPSbjAxEg2pXrrkBABNvTipG8KSjNzyZGI59TGsdu3WNWyM8b/NCxyjsz0c4q2smP
YYxw6e3fcP2qCNIAWkQ8meTPayxbNBujTlkLkeLRxLSyFJj1qFaPSZOX1N8q9d6qguSAKneCLhGc
qtvDbzSMREjCKypMyUmWVo+pFTnFCAAVAf+Ud8J1IOl4CZL5v1VNwg4C7dbWzWFa/oxmpfkU6Ut8
pJY8/MZvoAH3rvUnI1KcY5kNQ3BIHEz2bv/ArU0M2pfaP9e3oFZcbuLXWmAiW9xvtWMf9DRISUiU
CBujqD8hNDH7Sps3O4OK/+llhEHXTkFBnM/CgV33CrO4bbASRyqZ9M74HlRlyZPYDL5aWZ0/U5K8
7+N49hJpiHYg+Ft3rFCvQL6WFtmVU2sNJxikaIaMrKKgbZColu/kgX3WjGKvarOxsqI3TmyM/pbY
fZcrK0VqXMw6KwvXmfDQGtMFqJik6Z6iTIGPT27q0//ba8tvHTqGJTyElmnx52rHYeQc8w8vVqha
s/0zrsrOp1Xa+3I/y8khU7PwD4o6TnAcddSqoIgbjhtNxZ6c08ZS8zsQH+PQUSlYU1AXBG6gjUI8
nfFLDD3DHsDto/PYn1Jl2MNabVz9IAFQ5KLBQztw/aCVraUEfZ+HvpP1FroPahl9CkO5nN0lm4Kz
3hrGTi6yNT1xr3GwBUx23dQZSlWuy4bbv3ZGADlSVv7IZZDBaFZ032+f0c2hhPEJb5uIsVZnlEJy
HzrAbzxJJ3POdCu/S9oYr44JydC/GIoGpJDCEkDn1ZsWtGOFAJYWeOGUOCik6qhr5HlYRK6UmHvv
9da8aANha48QEqso/v5NwAPTvcuxjw08XQ+H3i+cUW5OiC9jo5jbeTfs3MVbw/F6or1ED0Blr1wO
l2o1X2yUAk/F6+0xMsfUKzOUyAnNtXBnHbfeakwa+Vbk+sBi1+9OrCLP07cxwYE+VM2HwIjbz3qc
Jt+1Sin+LEFat2j31PpTLMeWfCSjST5OemHgUTYu0/96zA4C7sNwQladQAY7GVNLn3vk6H/f/uKK
mPbqMqYthPA9Qly8AfqqwgbFZI5QJBFHJ68QN8hsCNpSUHWHpLb0T0SPveKGS1Q9V7Uczf6MNuNB
6tE0joO2fzJi9C7BlAAVlfpaG3c+2sb7LTJ+kZCBDSXgv/xoYYv2WTEbhI+hJYEySq0H2BeO28ij
dqD2qvtaOeH/XA+t4WYtlJXby7NxsUDFRY6Nc876rEkIYZyPjp6AJsRDtD82vTSAu+dpDKbpCdLK
XpVsczih1QEDEMbhOr1pjJmiscOliYXxWTWywsM0nDCpzcaTMsmH25PbKJNRjBMDYeUBBnf9EOeL
rLajjEVi0nXxsaF4d4BxEd07E+YFtZZWBTYIRv9lGbLqe2g5xX3UDuZ9MyzWTkaysQtBdCIQTG0e
uOEVqrtVhx4xasnTBnU5C0Nc1Gr19u72hDd2E7UFrmuCZ47nWq6A+EdywkCN/B5/x7t0icKPUjI6
Z5L6ysvBKx47jo47d+iIxUr/XtMGAngkOYl6xCtFb361mQtN6m1tBvKDO6JyzPHrwHJaQWeuiXTf
qA3ZtVEf2TlBG9ceHDKa7a8gOaZ9eYI6ZRLaPmTMtRJYB6CpqY+RnnUIxv1b7xqZyMsBf1+Q9zkt
6wpVw9XtcBIjX1maJfYAnZjf9Hqczo0uRwfVSacHfYoXF8liqhFjCqmiC+M96YeNGVNoQL8ebD4Q
/XXxN26dGh0/M/TjZVROXUlQSb0m+7cnWNu750VOubo9dSGwAXYGoIG8VraOsYiygBNEyExk5X1F
E/tLY0rdqYjT7G7I2/pHlnaOeE8LrMuh9d7rTQVPJTOCf/oaovTUQXbZSXo2bhGYNAJkIX4SNbzL
T96AsNC1BPSG5MR/tBZYixZG9sHMh+RUOu20c0durTc5DrkplWA4Kavyz1Lr4C8rFc+WqaDvPGJL
wv0sgr6IvuxfzI1KK5Avys10hlaDUcptUZLvGaxsZbLXyXlwssS+LwtDwX9G65adAbceSOoxwNsN
GmzcTavwyxrVLF4Q9/CXSlZPQ6dZJwtirR8YwQlfomeguDDfHaVxW0WfTxWupM9tMyh+izjbOdFQ
sBzCKjjcvsq2Fp08BroUzVSi0NWzneCwOtupFvulXKKTmUufeh3OeNsH4c7nFfNbb3F0i4nPcJwB
OS+OwJswjUKmvFgGFwhl8Gcz6vJ/OxyAXc0quwenUMwXw4L/71hStlPw2Jgi7RKKbhCM+OLrcxxI
ph4EQRH6UoEw3jQtBKRtDA9fG/4iNgTiAjqGUo7gZq9WE7yT03dVHfrlUCwnA+f2D2YEZSptiz05
gY2XjmqYxrF87TeuGwZzgCp/LmZlh0rwqEWh9liWS3R69/ZAt1uIJlJ+AZK7mhBsrSirjTn0i3gI
8apqeqc+JCPe9G0s7zUmNu4bjiSfnxWkMbEOdrWhAx4UE7VQLDcenHzgNZuLKXbj2hkaP5D07uft
6W2NSLwA3p5Tzc2zml5aTLlaaFzxc10GJ7tD3t1e7MWNTC38AGJpj3CyNR6JHkobwoIGX+PLM9CE
8jLUlhH6bV0jvmsZg6chmupFS2R/TVs7/ovPJxIHhBBgYkG3uBxvQdQnaEs99M2REDcNKMGYM4b2
WIHt0Qm2ThkbRehNWMi1rndKUWNwOOjCxquuFj8Oysaz8th4CXiZ3h+KsEleDXe5s2ATX87KWjrY
XoWWoWisLm4Y9NKdHGIEEeHp8/5CD/UlBhP2MqA8VkPVcexYBeKu/jzW7bOm5uYZy9vxIVmkPT77
xgLSisClSDAReJhW70Ne2zmw/jj11ahCsiDtkGLS66ao3XQYpp0lFL97dRkL1ofwzqXgcYXv1Ibe
XiyacX5qyPU38DT1hzbclTzZKiIhVAbfEII58c16v4On6kWfPvVbyKUnIsgvkRHId+Ni44wFod21
GkUodc491Oukuosa672uhgTLkA8FhU4cAGVtpljzTSsnGVlW06qwCLJ/90Gcf0EItLsvpyTY2TBb
zzwtVYrFDEfKt8ZeT/Q/Mk2paZUpSH+gmVHUHzKwCefeDEZ/Cpz8saOyeCd1hXXo9bh+BsZYfG7B
AD6Eha7HXpnX2j+6Mcb/u33ZbXxzqnk4P4HVoKC3fgcVGumNlpeJv8SDDCxSguISpXt0mo1nnv1E
ax0UP5IX635hMBNK9ZiY8MlnG/6eJOOXqZKaYKu7pOZpGi3zg9SPqILHcWXuRFkbh4giGrcCCRJ1
4XWQAStlBqSRZn6Wzcl/hSWFD+FYm+fYLnaqaVvzpF8P8ItyAl2b1dOh9tZQ8LHBgBSNeSY7Se+J
CuQD1XvtMKLg/4A4c3IiHNDvbn/HjUeEl5j+jUKpRTTFLq+/vo3kykiYI03U+E9nGO1hnLUBJ2Kj
bu/6fNwDoW1NldozpR1mAKFf/P2byK2LFhPuEyDrtJeHI03nwW2TWHehjUXHNKntl2BYKlfVw/Ll
L6YKYU4hPgVRtYbck/LEqPSwyDpCFS5i1uPX1p5/zfI0nezCse5vD7e1eyge0IImwxZUhtVEZ1BH
ejIhUTAYxY+pMUJPmVC4laNO/XN7qK2PKDy9CTpErLOWFa0K9AOLRc58dSxMeG6F8k/RZfnHQaFz
q5mZswMUuz78VNgo0kDuoqDPS3Y5tbhZmnZIJcwQ4yX18Nopn9ph2ZP7vF7Ay1FW8QZed2lRZigi
NGqmfB2KggqbUnQfp5GWwXsXkCsGoB0vCx+KpPlyQorUzG2ULQK5GlmfkW79hQeweecAnP+QFcMe
ZFjkg5cPpoAK0IIhhwOnvC4g6qOh1KkcFr4trDNKUtXWTSHKPcnT0qA+g7uxa4xkcNaEQSTvWho3
O3fb9ZbhJzhUCAARgO18fWzfHMMqwARIRp7IB2Rnt6in6tUXY2r7c4CQwClDJefdio2Y5gjhDtF7
gXGyfr6HQo8C3HILX6avdkirWDktduTQitL35Bi2dg6D4apMwx38h5j8m8m1etVQ5akLHwGcjq4z
zYpH2H9N7yJy7+yQHbcOA4oLIq1BdJsU6nIwYGidHTojCok67Fv6QYWLEWu8FwqIJ2C9Z4SXFXBT
aCNXUnMp2oroB6EEFtetToXKHNzMHEwa1YvqJ9rkHOdZzQ6V2s0nOwpAGQRq8N/tY3J9d/MK0McD
OEG58loFykoju7TV3B/KwXG1kZyqAIdyj3V94gX6NN+z6WdfnvNhpxS7tV2FOjYBFtkH+KHLRcZd
frGCirugS+35yUjmP5mhDjngSDSSMUUZD7dnKnKn9WqjxUC7iWiT1Hj1ICcZMOlQZjzZWn6PyqL3
blmMxcMUdZaHMnPl9lEX7dBVt5ZXYF9e7e/gUK8GLRFIqbMuLnxHpyPUBoRTqDIg+pIbKUAOJT2l
sRN/U6Q+fH8V2EK3QAgPo0wlirKX61vEVUd7CKVYqeojT5OK9mmOcAvqUKvys8IoPdNM5p2EeaPU
z2NMz52eCFuKqujlqFJhV+bgoJpJiRbVpsKRMt2LM1P7xRURdoewwxv9XkJKtHMbK5hyUCNDAyR6
EOqr7ai+H1nFDwIUAQ6J+ITuw+UPKggC+0RG528xGsWtU2s5I7GPfpbaBX9u77DNyTv4lCNwRhXv
CkVuVGFr6Hie4Nxqjn6V5GnlRmgnVK5VNzyoRjw8lGO0fAf0ThRG5ji8zEbYn2o9cbydH7Nxu4gO
Dy+fQw8CV9LLiefNBOVNE+LWbWWdIKtnXuhU3wfxSyYliO9sbKaJvO383kAJxQ+6sD2+/zfgesTP
ePVfReLu8jdwj+VSkJKJh4Rl8mMdGeOjbs+OwVmz+v+6OJA/GgSIzYNkxtG3SudOOBG9ltHO27jx
PNP+FZ4bLAg0idViTIk047wepv6itNW5H1X7LlXy8VyUQMYkLdDOZTdkHnIQ/dcJCvPONSDussu7
R1gBCIVoBPdoF6yGn2NdqasBqatlzltPxbzPmzQpcodeavzba359zb3yTeiL4OqEKp34+7cPZdZX
U4w3rQeyz4Hgq1TfhiqdffTV83sJZ5Xv+mTK2ft3GwUXZDLgR5NO86+Xw3Zlo0wYKzh4mnTqXQvt
x0/1tniE1zX62KBy5Sym+hnqxd082uUHZWrznd9w9Y1ZWFM0vXjRAGm8Cn+9mbmUtW3Wabjcz0oM
8CuNQYqiFVBmUKkGyXIVezE+ReUcd/hkN1NxoECa3b9z9fkNNJFpLJIekGiuPvQogXlQpxL9xsAI
z+nclSdLr5NDlEjWy9hn2DnPu7anVy/p66B0TRFGEBKEq7SkVdouHKoKkUOprBBEifq7oNL7Qzvn
36UwGE6353hN/hXjCREeGIcgHdahNcTtQUODeUR5M3e+lZlZnRsnas/Vssy+hlLUXeeY45mH3PrY
9EnwgmOpcdd3Tv9QTrL2qw672dj5+FcPrSj4AX2jgS7iiTVoMR27FCXGZgRqKtnHoqxUPOCLztOb
bHINJx291EKwTB0wTL29HFdnW4yMNMRr3YQgerXzDfw5nZ7+vddlTniom7rxYdUn3mw1eyjDzUmK
CqrwzRFjXh6ynP6tjiHe4FlmIz0hzSi7ZZwod0kUt6cS8bxDo9aNK9OL3YlVN0dmSJFnE32v1Wkc
cykkp2KStjHA6GumWnksQHP9O6sQe0vFbl6wm0RGFHk7bSca31pg8W1BENBt5SW5nHVQ4Fwv5AC9
YUHA6lTGmva/kLpremxHJ9t5sq6uT3JF3gfMvWDzgB5cHWAEF6ainWBXANDPT8sQgZSMccD9PI7t
eCq1HF2LucfN8vYm2hyWkIEUhx76ldImWu+a00zpALk2X06BNpp3ajHhupos8cF5NVTJ42Zn5258
VDQf0QkGKgAyan1hAscmvzPRN2zTJsEXuel97N81t4aw5ROrBL81awzvuyXZE4Hd+KRQSxC9fRVx
gTF++UnpXysDrALEbgu5uJ+VLn22tTH7T6kUdWfnblyOlFl5DmG0iBbO6sykc611BKGDR2SGbM1A
4IEdRtU+ZL2mPxZl2Hx9/6dEU5d6LGGnQJ5ezk1VQ6Ry2nrAwDLSD2EyZ/eZ5qCyIRfNIW4CxASn
uHgv8Ytt+wpFoDLFBbG+krmObQVU/+AlZTQdAxTozmPVhh/ggkc7J2Tr29EqhbmD/CzNlVVhRWY5
TWPghDQopJ7ipJEf7bHJvdjug5+3l/J1rS7iJjEt2GUmBVR6meticdcamDBY4eBJidI/91KaTP7I
k2J40F2dyEVzMW6Os670pltLTvDTCYf0U6Y7wehiLNM/KWOd4hQdaOrso7+ZfdQkVTK8YpQj69xl
reX4UhboP5zFyh+R1Ql/1WjzT17b0QBwZ6qz70Z6USYlBuXEwQTlnVrdZkraoik9ONykfaI/9FrX
nro6Cl8KXBcEbnuvrX5lU093Sqgti00hTvoa/mgqc7hoNRFnA9TBxsKjs6L/qGVlhptkwRiel25M
f1qs5HI3FHmevyT1nI0+NU30NnsriD/aQ5A7rqEWCH5QGe3m71M2TShcGKgcu0u/DJ+zQRl3guaN
kwvIQ5ArOb/cxKuVok2amVEgTR55FGx0zOLC301v1N0z5Mc+cqMhyY2dPOGq8sNisa8pnZPCEbKL
3/QmhlSwBGvGVsHVrJqrl9Bx/u3UUt3Z1luD4L5KoVxoC1ACuRwkb5dY6VqViCHKejcqdBNuTJEe
bh+ejSeFYiTgM6AGII7WKLClquxY7iRCUWVY7vikw72+dEJXIJzvlrx0vDRynJ0nZeNy0OirUKUT
BrtkA5dTS/S5c/KFMCxtmuLPMC/RcgwkS6MNgErcTsy3NUMQbijesE8IflfFFXlYWi0JCfirKs5q
gHV69dIhTve9QRQSukzSHO0mNF9ur+vGq0mZF6g5DV/ERNdQrAQK3ljC9/CmUu46LyzM+CWZEYYc
8NNF/Swz0gdZT+PHrBulnW+6tbxA7MAWssUpvK22J1C6WCkcLg/RrDv0zSyHJ1oR7SJIgtK486hs
7VM2qODfA6+/4k8UsjMBKIomzyoK8yffXFVdOTH3CoFbkxJmsVBXwN7C277cM4vj1I1Bv9zDsG7G
H7lqPwwT8gLIcKD4ePvjbY0lFOEt2q+UHNdN9InXGWoAyOOe0pNvRBPhTqvIzUOSNu1fnAUhPM/D
RaxjrUU9CmQlAR1iUNAoCIsHbA9vpgF7nmUl2TkJG1+KbIxLm6aqAEaujl0/LiMKpZwETUabvK30
AKpWU+3sh40LmboeJh7Q6wQmTvyKN5ejphedls90ZpU6osEwVopFU8/octcYorI+z5lp7sT+1yU1
HPUA6xKhIm5IiXr1CFA5qXmS7AH1tSqWDpxu+T84TfojCk/zHzz3wD8oSVuBgnCmXPah1ucnuZZa
1a3bEgmqd+8fkfzC/xA3K4Hl5RJEeQgSqiAXQe7QdJNptmjZ9+VpRCllZ+obWxVoFS8fORf16jVR
ORknNaHMMQiWiXky2s782teJBpctzXaG2rjSDEp0Og1HDjtoiMtZmUkz9k2vAzZCTuROHRRUhBRj
fJIsdXo2llS+s2s8DZDf1T6+ez3pHAstEbz/hNLH5chxxzoGGpM0jDl6CrNKI56Ixwrl81ybd/Q3
tlaUhEaozfNqoFp4OVhvxbHWz9aIBWibfk0TGNGypBkPgGiT+9vz2jgqQu6OqJWyDAiy1VB6bZiV
PKg9HEppfJpbRT0aAtvZssV9rRn3gGMbTyHjWaKRhHoseM3LqaWO2jqVYiCEW/TDMaRC5kpD/dVU
Iu3OypzpvpB3DbLE0VsF59xrfDviJcipa2ioKcmIm8ZD782GnuZuSO+udfXZMZ9C5D4qt9SG/HvG
f2u6YVWXX1Q7LfcMFjc+KdU2IB0cFWiXltjZb66k3gkUyHWsc2ik+f8iXUo/zbIzP5oYRu9F7ltr
TNGL3iM9z2slWrMx7DjUIxI7TMfve20yDosWDo8Jntk+BCSSElAlOzf71iK/HXS1kTolUZbQJAOq
zGLw0sWa77MlhHUcpRZO40n8QTKL3znZrxCC+4snjAYlfVA6ymjWXOWyqWy0kRgd3R/dL0elOsLB
l7B0LfZ6BVtfEk4GmCjSZsHou/ySjR6G1JJY3Ska5julIPHK4Ij4XWIqx9uH85Xest65QmiLXjII
/quIAz+goukmvfeswWwPS1MlHxZJTT40SpT+Ki2tHVwnqetPda96RtLf9VVu1m6uNzEMg8w4ieid
EHoxf+OSsCQk3b3xT9Sjt3r7h27dIvDjBB9I8CzN1eNnT4tqArRGFm8upN/WFE2qW6Ry/amtoGcj
SKJ8vj3gxkeAy8CVxYdgadZxBKjuoksTjhNsMTwl7ax9zKkpH60mXL7/xVAwjwRkiJbM2txAG6n3
NYPcI2vdSJ+0IgWflM4591Y9aDuZ5Mb7xuMCrp5VJEJa59y0C+q8MAAR1jYi1ZJGI7DlnH/pi0RC
KLOo7irQjm4z4aR3e5YbgRkjE5YJVR7ql6vATJ1bCt7G1HuZZkp3+JSanqNFys4+ucZRAlagqCBg
GI5g44qr6801WFekGovOhpZyNT+bTfrRsurxMNqhdNBDKfg0Dk7iTjJspLDSUYG0CmfnxdvcOsLJ
SghvihLq5U9wZk1vWQheA5lTq4e27ks2OS54vtm/vaibQ4kaPzobUKzXhlltKBu1kdjsUme27zAa
SJH3TJUjt8q7QQNiYWmfw/ER4tprhIsth1m00BT0nMoKDvFAvaiL1BApy673OhJoZMfLPaLLNavz
dVSQy+geCivI1a5ZIlPOo0LrvQHB9eOSW+kBRcLlyUao7g6WhDUfq1Kvj6mdaFgillkJWjYYHgI5
G4+amoynQRoR7bPCPjpk4Cv8gq7/nt7sxnsoInPRceIPDtblF68bO0zCTOFUteHw3MdzwjNROmdY
e8lnNBod36TTeHf722+8h3T5yKiI4DhPaxSHjpIBECe2WdNPwz2MkOZnmizzo7wsyWno89Rw1aAP
HpIGor8U9eqe4ffWrDllAlauUehcv1NT0lHXiYh6NGmyT1lrTx+akCQv1JHnqSV8OBZVynawMlvX
iNgHQiMSpPRaHibu1FYtqc97g1HajyFeJm4fjnvs9q1zBWaUcpG4SShQXn7QSVcrRMW5rPS6bg9K
VRT/q/P2vyCpu51M8lphS6CrSDdoeQjFljVuvg/YM9Dmeq9qA9tFd1J6roruh2l2xZMqhQW9S131
5VCakYEtANXLZYt9e60/FGke/by9pzbnLbB7olJGA2YVepTDGA2pKp4HI+iOWif9iyDt8IUOSLnT
jNjYPDxBBlodlFoBB6+OTEj1uUlLCWN6vEy+tUUv3Rdq0uouyubLc9yU2oseaN27qQOEyCDcKQLi
f4M4zmqCS+L0Q7nUgOipz/1Sgtp2J6Mzn6d82mWkb00RvXmQpBScURJYxSwRkv8B9zCZTy/rx6qK
pq/IjVCZUEezFxRUy7fqAjf5sWs7TLEQRTymsVXfgwsvTo5ezpNrF0migyfskTQOTIKwUCqlw2jU
019seWBvENsE5p3UXczmzcNZZUpTxaODa3FEFTZzotjPkiB5MIfm3ewlkadwX1Dmem3Srx7ISZrL
XqqrHqfy7i5z8E/uJgA4UV/FH0yrtHa22saVIfJcERWwsa90uZo4lvKQIWmdsGpOa+YHJejUL7eP
zlVkBSUQrh5LR4YgjB0v1y+WUblxqB145ojuXVyN0wH6SuXNtbW4sHPxTpt4nlGr3Sv+XqMQGBo8
KJIfIKSxSlifJUL4spSCTkjmK//0SHH8FwQjTRR9bvVj3QEQgYujxb9hNS3f2G2hI6wqnKcggf9+
qDLgwy4bsfl0e0muDoD4XdQzMYuAUggO7nJJLDtXJqnjNgH0oGqeai3a0RqH2A+HosG5rTIOw4zg
lnt72KvvDfRFVACEb5eQvFltLytIu96JWA4zD9LvRWFHijtKerX3/l09wGIc8M3UUGn/ITxzOT15
COqGzcA4k5ycMj3CnF2xp1jzIlXtvsZTkC7ulOOIGeoF+mKUAnZCgI09x84GaiTuUOorq2cqJejL
h45fsITRyBdsOtSoS93Nrdbx66QOD01jxnQg8uzbe9eYwokwVOJuA8ilrm6LepINPbYiqg2J1T8q
gTR/ruP/o+w6luRUtu0XEQEkdgqUa6s26pY0IdQykJCQFtJ8/Vt1R/eYuIo3OxGnQ1UFafZeexnz
p9yhf3R9EIyg4gRvHafFFRj76xPeRohucWXqVk8DwhH1np3BHPwegtnPozN/ajL/uV6v8gnc9gjw
Anvq7z8K7Okak/Bet9Ct8RxuG2a7mVMznCeS9899btMbFU3iDy3ZP+5c/EgoXa4FAO4IBMv89Ucu
YneFziPdBo3w6YEvruMLoS1Flt8fdsa/fhTOJpSqIEP+o10IUs4pkvzABVqX/vvIXf/TTSx53KOC
fPzvBfKvzxKtHg4AoAuopf76q6JktHjU3LRRgUHUuVjFkHRLOgwjkOtCVRc7aL9hkgpxyh96wH/9
lWhT8B6vM4C/I9M2V15AZGTaShf0tKfpfMEEEvlvE/0T2e+fG/Dqrk3Q5GEyBK+xv51w1AnELKdc
ozTrq5PI9pmeahX2EyGy+gXLSl7BRjMv77N1LL797yf8z1YXCwf209eVCrQTJ91fH3FKbBiR9aXb
JSCosNlLL97WObdFh6ic8E6zwi7HIezqNa/W8LvekBjVRrLc8z+A5v88cPFF0GvDaePa2//jXffj
bF2f6nZe9AJugu/7NmFrRf7wYv/tc67sUZSNV+3437mjQwLIegNlDgSWRd0OaSSPPqV/gt/+7dD5
70+5fov/KoRKVky7oPiU0m0zrMPA/q90L+E7aoQ5Amfdf/3hRV5XyV9AOLxIzDVQc10VTpBU/fUT
eTlX0YrGBt3GTOBORwtZND1Ly4fVVOHrjkP4xswAQBtXWXJJC2/uWE3oM1Tty005Ev2n4c6/PoOr
hgaQ1JUV9belxV1U0ZkspuUz029FxNkN4oiTr1Dell0FPY35w6v9tz2LcggN0FVs+w9rx3wzizKB
mrafI3q2/Vx3vfDzwSDZ/fK/H/e/ftS1EITOBMfT39UAwZTBFpXXSDKMzDGUK7uMPoaJY2Lz//f9
fEUPUT2BLQ3Kzt89dool2iYzII5vi0tWdnk1gek99hssuGV27dkhJYkVjY9xINPp//0zUe9iAALt
8jXF4PqK/2sZh8l7Amcx0+5oGe43L+OnwZas0cb9KbYdAMe/bM0URrRw34f5Kyzd/1aCZkjhraSi
VxwZocW3kZsrqEhkcVUlzYQ/qzHCzxyKMQ0nlWwwOAKnpu5UpSLTZGM502PCjXmJ5iL67r3rX7jq
+6IhOYrIDim80na6kkndgNLs/ckn+bB3lJU0PoktFz8lfKfFUanN/CjW9WriFaARR9QC1U8+xny2
pYXIflbSzT8TgyyiMxgZGcNoVLhPGO5vvOFzdq3XJ8J+oLxP3tYK1VNXwNT8i9Xlrk8+8OnLVWTA
23LKdNEgdGR+phlBCatSsIOgwdPj1JQmi+/1tNfiDBuvvbhWn1Y1UxzUz31XBXtgRRkdfdEzfkQB
C34VWFd93zlGVXECOTpvNYFY4DjWoaJnWAfWSztVa7nD9cbDf9pzr9nBxnQNXcQT6o5ARdi5FrBo
RrcYVQQmcl4OT2of+JcgyfB9Vev2BYRo2M+mHMm9wPUtv8pFQ34PPQA4zKUt9ofAYIjbRfD2gydZ
nbrktp8QwtHgkJh+rLkZo/uqHJNnBSYVKFC07F/QOCZ1t01IJYQTOYtoo+O1nJ53jOKnQ7VzA2ww
X/27L8sRvuGp2Tz+RE5vwYWdoDlCe5wHng8N2Ud9vwZ4+4Grs+I7bXnSu7YuA/0FveIAAlsyJ0hW
crPTj8IEW8LFbljFcbCiVi0Oj/QhwgSe3uiQrw+0LHv80rGeb4Y8WvLjUmH5t7ihsi98n8bvyCJE
4A4QOki8MF6J23yf/GlRSBc50CSXK8ILJwhq+2xAEDtbJ446G6TQe4Bi3h4GXkrSEJo4hP+NUMHe
jHLzy8kIAs7UOvTv+xKSvLOVHl2nLMJ8j+XGa9ZSuor5vlrmhDT9AttNmcRUtPgVyXEw+ZjdRJir
K/ium2xuoF4ZYbixl9t6zvcyjjpkr6Ygt1fa30SoAn5RGsA1EmPAS0iCqe2FzdsEasIQl98zW8v8
WMBscGoYuCtVg6QKXj9vbp39idbMVRd4vkGKDp4Pz0+k7/GPRZHzNzajeXRO+4k/Vankjz2bhIGt
tdJ3Uz+SZ2tpDJAbWupvRUHzok1h/wqRTR6zuR3RnOQ3SdX3pAFLbgLrE9Dddgy6CgmoErnOP3la
4Weycnc4h0eXy4PJBm2PcHkHPRGws+FH5pWkkIjI/sdWlH4+Z7I3P3ifru/oLMPY2chmyPmD3oMf
/eCT3yPME+8gfqY4hYpR7k3mSpU1CC3MymaVqn7RQ4SVyr2c9fXxzmeHZcibqNjYUz8gY/Dk0A7c
OCA25QmKDfSTK0/X33oyELD6AhYs7QLC/9zAhU9fypKRHBLeIl6PLOptgK6HLdvZsrLv6sSvQHHG
qk8vs9d8vu6H/Ufhc7KBhVbPzzVGm1W3q8VeMD22n9Ue8bjxsIf9Wjiskm4Fk15d9sGNv9B0+695
JgvZ7QuxuCQ9MrfOPV5y3ImqjhbktG71syl2ux7SYZyHSzQG61qzRImBHBa+OwdS2Rj5AfkWh0Yr
i4QU1B6VOhg197LhHKL61npAn7DqRWgW4Kk4QL3Ri6HqdMzXuFHrOMkj8MhtehjHDVi7ppvfO49c
wv1M+8n1t/XKrUI0aDroZixBTG0H4/b9wquIgZ5j9Kxb7wZMYyKP8MymHOPIfRvp4NgrutvsZ1LZ
EUNeMSp+n0ik1Y/NHLgKTxpfxx7g7qayE3B/t9wlkpTuZAKYKbd4+BgQFF4mcLiD8HAyjx72qPS2
DxF8fWVVTvxnQfZi+TKMbMVx6L1ErkCzF8hxMKciV3X5UdBBVx9D4k1KG9PvMIM+9APw+Pd0zhV8
5W0etuhFZvlU//IoFQVEz35ViPwae5dETQ7zIVI3Lkmh5ztGopqFb9ZBWR/D72Iu5hNGGHr8Dngq
Zo0hcNT5GSX7LnMMlgshz/2Qp0N5C298HFdtQmsTvxq3Je4twZwDI7SEJ/YBdABqfs4bksTfowzB
6LcRLhTSalEM/W9FoLTbjqLqp2k9qUz56alw6ATvnUNCkGxzJOlWUaOXJILnhepVxH9RZB/AqbMm
hm8vQJopv52dlSWsDaoA/ZRCCNUXvoY8Flg+8TY8TCBeZWBXDo7fDWCeFZC2Lbkmr1UaQSVQ7hmi
wJrVwn//OWKFnocDT2cy4aqSpq/EQWbpGL3gucWkg4lxqh+rgE+JmqAXjefWh2xA+C9ay5zv7wz5
4elhitfKi9ZpdMu08UNl+zMM98z4YJZ6F78WGuA60ViCpf8A6wmfHxPsjVg2cW7mKDvEwG2mX3Dk
0YPqdgJJ1GVE9zx0aV8sD3vqjDkr8BthwDKDynFb8ejqCFQvNSx02gIpb/2jT/k1ZCkpg8/gLShs
nTZ8GjOEZIiMM3OfBS/q+5FdYwn8sum+bgria4lgKbXUxeuiKV4KQvMiOyMSELYg4uTmekLi87Jl
6ZlXuc4uM0es2F0R83o6iiLBTsgQ2KZbHiHrtg3IVYvh3DXWw/izKsM+PMA9rUibkC/L3sKv0yNO
boPPc6MjyCHblHj/qLExWQcnFtSkghEOck5qBaaIvIyX4+Y43JOl7XEsg0VuaN2Bz7ksTTHTJG52
smK+uoJZc70gQz924H7FQ5MnG3vsrZocGNHJ9DYaRYaW7yaPTkRm/rFei4E0KY/qrdv31LzHITGQ
fFMc410UIxKmT9MtBkZeOpivU0z+OzoX5NEzp78QV9jQblmUqAZtUO9uVlHD2HBjwP0gdoNLO5z3
IBNvi9Iw1oQ+xd/Hlg0fS86R4izqfVjPPg/sDlxv6EKJE/zWREk83vdJtfpD2Pvxcce5hwenZfk5
T5FpOTYBgYIV7irwUluzSqZbEHodjCynDXVBOZXp2u4jkNV2UvD+bMU17xjRj1rH38SskZc9mlqJ
BlUi4unqvhTkCCrjXsNQi4OFbvUqqq40HCezEnJEmnqyaQx+4s2bV7EYK0+ULsF+oGpMs4YMGZt+
jZGdBDgZUtpTr6N9cw8DcnLnYxiCDVFj4Yguv1RIUojLY4B8CW6/sApQB6kLyw4yQWr0R7Kr+KtQ
MVozDB2kv8RW2aopRg1rL08nWh5iKAWjxo+5RJruVKXmdtX5dI5htbve7CDOVU0Co7XtKYltHKP0
hsNMN8T9Gg4Fmjl1643z7uScTA1q2nJbsNQnk3UgKkLBkCw1IFokMgXTFMluQTPJKxiTr3oMXX11
GzzsVKEka9BJq+EBh3EyP2CWMs5P1KzJ+ujhxV8eJsIVb01UuZdllD07g5hZXig8yAUyJagIp4wC
YIOJYZmfMgbxfRtDkr4d1Iy25YkXnpDDKGR1o6co/CpFGj05eS1JV0bXhzlf1DsDNUo3pYxRokgH
IlorM7sUTUUoopWAc7MP7BrzkScW+ySVQRR3IhixHXi8FL+Lahv0gRRWLjdk5uXvfc/g4Tng8Lzj
yD7BfxYzAY6L2nZpk5wzuC/KenmxOCaeMy0NvA4BouGeXujaP2BeRGCGuM0LVo/cYbe6sjp9doJO
vEFlzD+FBbfbRY8pblqxInriBvewgtX0CDsyeEgMA46sEj4hHQxRpbuvQfC6hxttrdFTRcgpxZEq
kewdwXciUnTR3yqxzE84y+EBR8y6vLl5ZvSEnTC+9CLHP7oVE7KC3LpQVGZ7BFsMO1GNMm4Az/NQ
GI+P13U9n6M0sWUDqy+LOf5cX6FyHaETgyC7brXMWdKOro+fRjrlE8qqBJxBU2l+O7g9Xt6BzOnv
fS85aZF5LNQN9mR5gl9yTr4WIxvG85wt09Rgdtu/7fu0IzTe5UF39cBU3KDAo99MIRHQKesV3jw7
TGtfQ1Et4Q5eGxFtgQAbc8PcJj52ZJPgC4O6WDYDAUx8NhlOgWXi9XaUpdrZTUHLcJkV3tYz76vx
LtlxMh68SkNyg63ZrxcAHXxpMomZ7p3dgtQw1cQg4TjLFaM2OIiCYZV7s5ODKaE0/AJ9xLx+SWxc
rM06ynV6g/lkUbdwcclg9TOtckH2E4HnqZDSfB8iFq8WTQ+MhxDCsImydXBMj4Fdpyhwq1WkAe5e
zFY3oyJIGVrEGKsvE5G+aoaS9l9SnK1lUyBG/nM2mfFrPAf7XoVMvklfrg9+EeE7hlwTu8AbJHIN
3bGSu3SBi+Op5+P6uRxND/ST4uGtSTWa79FWEtsQVfSvtpDVmxyLej8PRtcfVW+CPuUQ52bPNexS
8oP0afajjxJXdPW05tUFxziO1JyiUlVhZskdInf53VigqGpwUVQSq0TEz/uCXv3MIKAkD6NVRp8t
9Gc4ZMqer/dMh20+20xMyeclbEJ9mhPUu3dip4h7W9wkYPizRzd4k+5HFmBVcIKI2K6fFhSm5C7b
su33uLBMdYpBt9hklSkpiiGuebvxCRxEk/PI34+UqfKQcK6Txz6tovkCaUr1M0aE3ytyf4O5AMeg
aWMntsb3G4g7F0tneI/nUVbtp12THqWYydlpIasdzpTH9FO0LxbZwmtq7BkRzv1xBBpj7lY75Zdi
TyDnHWwa4tsFTwd6rzKP1hNEk+sF7M1iugwrIa9kkAzFBTHzdSJUkfckDiC0GQ7QtokMQMRWZTkD
PKBJOuPT84U1YKKjqeBglH/ZbC8nEAOwRicR9+lBpol4Tq0ka4s7M7q9Cn6nzpZEEaxufHAjrVS/
rsYHqNp6AwP9emR0Q2lrsq+5c/NySZVQAP0K5F+mo0GsGSKhHfkEr57qqODv05+gKk5ZoxQsfQ47
SK622Rcspg4nKA431H/uR5KN8BXhco/g5zxU9BeflEc6fVG4G2orhZaYJQMBbgzOvLtjHJaLTbZh
6IzWncJ0NObTyo+xB9fvhCbPVPjhURiR5pqsYHyA/lDxhzSPZnfG3BogWpzBseMN3UOtruIWdpuG
Kb/1EwJhmxg4dfI0QfgYjsC70vy4F0q9w8Qm9a2EQJkeY4AEAxJYVhO6qhgYxzKmMGFDDh5vjORR
csK2TpPTjhoFMfeZk/klG4Knt5N3V8ZANfVZwwwPEXpAhM+2Fd6RPEsylqfNk4R2OHUS3URIHsqP
MH6EwV6FayPcIyluN4e15un2ZiLUiYeAr3NAzUqQFjH2ALd2QWbYzV4FR9ijNZI7ExkDNtH4aNnQ
qCxf4KS6lki/GZaxGfgGkKUaB6maaF57xAHNi3ykEUSEzQyyiXrMRl+e55hNqgNklXzCIc6+wF9z
RHYcTPg/xihbbqot1UMTLTSeL8KiTmyS/0wzpjlkz5Mx8zd82ylu+jmp9WkCPPFVWUFeYdQ37yeW
SskOmcny97X2VDaEWHVvMlxOv62Js8+C4YEcFoludRv2KqAjKQD7AD3z3xCmkYGxvbt0bO2UxvQu
UnhYENZxexGcaH7oxzR52iA0j+C9CArcXY5JwNaNiMi7XdUS5o6vtBbHuurJc7VECgYQFImnTVFE
vULT9593G2wd/QRAJ8QLnB2FfiwzMIsPElbCyJ3PNNxHNpXolxyHxK+wo1Jt4VC25BfC9P45Vil1
BzEPoT5UuG4SnP7VfueENlj52Cen2dVIkeXrvH2EtLS8M2wk8phklpl2ZFl4NFJodtnBKjMN7k/y
tiR5gDfuso39mfisfwopd9hOcYQa2UaxhEXvOCK7Z4J/SYOAuFq2xMAFqtmCkQSvdcBr2/pQPorS
ADbE8jFIsZMznGg9FFxnu4NQ2KSCAJx0axyrLpslzizRbytpS5jVfd+jPBLt1DNkM9KSUyCGixmf
vb3m4+w9CuiznVDaNHOu5ycjdpIdAdSqV5XPUA6CoWZUO44RZpuI06x+ordxlzJC/9gASxCnhabA
HmrD+PZh6lTqI8ysibhd80FF3wM4m79rRZH4odmY3fWKiZ8VMOH5MHmbfd5ghHkJaT+wA0oG5Dvl
FnaQDabE8W8yAzc7jIgwveqAtZUtKjJM4hu8/Xl7VjBGD0dzzTHoIC9llwzFNDsEHIGvdc8dNFFj
pN9qsrpnV+DqYR44EdKAVPLK/bhnN4sT7Ml528fPBYqC7RjFVvYAo6sK4R3IS3tkKdZNg6N1fYwC
msdDBjPUS4UBYNrCw7ke7nMHLb0ldYk+ISRsOaTjZN7TVXJ9YZaxB8F0j3ieITf7KYk0O1eOp/Rm
udJI0OTkCwfYxThKJ9wRqnG9XX5CrO480GYFLexuCMp5i+jUsVmKYHqkVlQOWezoUJoZssVPV1sb
9IOugvkNaMDmUMIW6TtqU4bUNYPWrUOcNGI3sqR0X0Td558iLqflNMxl9llVGcC6HTZNCEMvfQ0E
mFfT922n11edhvxQwKP863XiMbYirFPWqmgLT2u2oIWDM+UWuhD3I+wYwyA/JdEI1vhiyw0bQSzl
sbIZct/2QtYDaBTBHMK0FfphqyJUTIgSn+9R1niIVihN986VhU2aGqj5Kx9AJnub5bzgMQUW65cY
DdjXwaN1aQWB+uVBeLrdZTyyOXaDxHfDkScy0syjCr8Zx4Tt5L0SD3vVFwGDgLSij4QWWHDAmUUz
pdO1mB6sRGz8quFgmcVzdkjJAuFBOs3Ji4GD6XqbD7Q/a9woLzys6R0sY0EfS6uNw91lqfvwFNUj
Urg4lMuNA54JgUwcifR+2KL8A+BgLi7o4/P7IHkxwHdWxnCTXiz5liO2/qPHiQUAW4r5DhFalDco
uPQbI5RFGN9E9r6wHPrkHSZ4e2sQs0Jg7FVR3VX9EE8NItmxP7FVa3uA0yh6O3y78s5XQ5kdEu3k
47RCt/IInT3wCV9vELHiBVRxA8Qpi5p0rMKrUDkqCwnTrvXQRwSjGB0hDmgLWUjaIRFiaIB6YPOg
0wIGiprTw26K8FChfMAM4wJnNREDQw3pdAY+vb/gjkaG6uxL7g/FGHZ6VyQa945D3SYfgFD66W7n
NdofKNNScVmSYSRdPqX+sZ/C8m2SpTlmew4aO3KXbPwAyys8tjVNadTOwrBw7xayvO85KrA3thTm
O9tpnj8zQjRInSbfkrsKjPwb7zK6HyziCrCjekIzYKlr8ZPNyAZrMC/j4/0oYntvtMYIRSNu7gsk
lSW8/4GwPUGGF8pGIfzgVhSAa7tlGZGW0k/79qJ2REYfcs/U2mRkEBja9MN0Mzi4M36ufZ1u19da
TN1uLf9KSrmMF9hfuuhA9nx+lc7tWLEU1sAfRAGMGxwAmjdrWfXu/PVL02WArqkukCDSbdxtHGRn
0gsk87nS3bJqXp88Fqi/IUL0nyvwDLPXlS+lbEdMn93XQkzqKiYB+SXEBNEoi0od8LkdpoDNhjPf
oF7CT8GJwsSORK8iqs89YOLovOqIRPeMgn8AC0QyfS8mUrjToAqUJbvQaej8Ciuczu757g9RNJFv
ZDM6apKoXnXTu13So7QYpHUhI+oNkE4dnQ2yLT+gK7bZgyCL+lmYeHo0bCdzi8sdh6pJfTwf58RZ
0Za0hhEKtg5ry2GsLx6RuOnrnFPMkeAc4bcOXPmyfncYoM1nIMpuv6tooV8Q/tO7D51t29SKxHAc
9MXiOwTC74jY9GjAmz24Ir9Na+yn87BDcnVHg7jGKEvQMy/wD/bsVY+jog2KGDlithMAp2o0eFdJ
+04onmLpAWYX84PNbbY+1dbw31BvZQIq0RiO0v0yROpsMCIUZ7DF8YNw72s8mhHO8mcwT0rfcnB0
zz7qM94hDggwT5r0/S2mPTn6AbrW9wgGgaJvofUEdWot5W8IZAlA3FWDdV+ErQgtqTf+1BPnHuXE
lGsFVN09blBR067AdAroNw7VrRtgdn2+sr4gFBHlRj9h2jqDQSiz/keMjl23yVLCLwwiUBXaqkjU
AwVVWjVjQsN3TH4xHQRxO+8bDXgR2DbGyFckKXe3vNg5OWuBTCh4weDkWKYw/NAL75cDem78sc0K
cLBB14ZZutiAnh+npep/hmJRv+A/jWLbzglFnb7mT3ACn+UDnIYArWtBogPKyWg8SipX85TvVpwT
1HcB6CPLOQyA0TEdgb3nAiF/YKsC+lr8C4F9VPIs0X/L0+5s9FYz45PG77JOTjRFrXaZI4PSdI5H
96nC1GU6GPgMzUf06d62MgS0LECTTHwgIcE5GLRO/BfincQcsV4dmtOKrbp1kHY5mEm6+HkbXYko
lBHa6/Cf9bGCRs86F5sV4+9gk7nbQcv7EqswJphkaPZjTfrCHnjEDciNS1yc9gq+xvD1c9PLICOZ
vNTrvu6NTTXTx1pJok+pKT0Qno1cA79WlxdHjMuyCTB/DIWTzRTYkTnvxXqD8dMiml7lDjYFgmbQ
Lg8cznN9llaPAfk9KAGxR3+vumR3TAKrO7F42roeabTFYcKRcoUiF8lAV8E2H2txrQKUTSfoEAkg
LLGZ6m7OKxFdiEj4dBBABMQ9Ws9ha9Dvo5EnC2J6MM1z4qaeK0yeU7SmGFNX6c4POy4BAMhDBGBu
X8x3RciMgW+1GnFA6rZEp7KlYmnWXbivu1Ua954j7BTBzBJhxnLJ6BmeHZMGiXsleA7JdcEy4RA3
MKD0gu0gi2kLjyHgY5r3euiAowxQVpB+zZqJpwU/9uNYw8uNj3V6A+0geBMRCdj00WpZfGByEw9y
pphHglYyVg0aE/EV9fPkGzTqrGiSEiUZLE05f14ptAa3ky3RBUU6dxbx7ODmilwtqgtraae7PJdi
OSC7qQKAkrvhtq6j2d9F+0DvuLYB/F2TYoSXuRH+vnqQGz/jmoo/83SJf+Wphy5kvLJTgeTwBUos
liBeN0Q9rDBLNDTiABd9DX+eeV2/upWhiN/hsP8AA7dr9IJbFehQKYxaWhl5rZqKj3gdcJCLLnQL
mCzAZ5hlDfia48tMM5YczdZjloXyZrvFFNuOJ51kGNuFZMBfDxoUnIsDlRfBZj4zoglqZQoTTr8/
DxhG6RYJtkgAtf2OMTwJfrvxSznRI2pmpLXCnAlNHPose6n9jHRJjNlmCY+vEJ73uSizbkA8UHVm
40KTC3VD/iYxn7yxAclLLceYfkDJtFl29GKNooahmSjQVifi8wJc5W0NPuRtZK/shL0qEHrcU12i
n8bIXt5EGFC/SJRN2Wd0g1p8yoiT5S/g7iMYAiXF8GYBIOQ6ZscEGA9oiKh6B8s/EGqqxWmodYrS
ncT9pV+moWy0nzN6IbAeRNwoCGmkw9S897+LKOAPdzRBLyBpwC8uEB1IA94PfEK1rOsjrca8xHm6
+PTMmJhfpkHSb8OGOXI7avhKwkSi3gMU8uv0CzONBAOGgFkcxXHuKn30QZi0A1YADgTqceTYYFZV
uGasTX27euUAq4/Sgxy15KAT7VyID3QKKAVCVbIfHHOzvXEUKNQhWWDncuvnmRw89HX7MYyp7HJQ
38UFvcamD2zYtqjrAUXdpNmVeAATs2JpwbzwuOHgeYFJucjXGFZ5WVCP3DO5AhtjSd5wgaNNMnAO
zvvGcV5Xqlg/gcgjs6c4xXv6VojAwnnDWQ4roXgfi5epEml5iAaY/H1zDE3zA+YeOOswWQYIl2rk
nTRi7plqBsBc2K0FWwGzLHCrQP1D3jA5wtW/mGlQb4XFsf/OMsrQgl7vfNzvxLdbbfQrNLv9fIDv
E+SFeMziXdqt3O7pijTmC1AWTP2X//yUEFcswwtGrfME2RzIBk6E6d0LP8IlYnEKGYRimOTdRCn8
FNYtiItDxqW60qzhFpXKPsFVq6LySwYoAysLvJCldTNKiWOyZLiqSvzP79LmuQWqXsWvBXf0Z+zH
aWjAN4k/EBRajLe9kuXSYXhXmGPihXi1yi+/KsFUOED6N9k7sS1b3VJSSXmwZPQ7VDOWkpsk0cPv
JdLVCJ/QkZtmqpb4GT0QuOfIDwItE0yiHIPaCiSsKU8M7m+NIx3akl7YA7Nq+LGBFfVqwKJHnng/
JUVXZYjbaFSWRWmn6nWw30Sp+QukgjX4SUEP7Ah9UApewUgLZMZqAxtW4Es+7uJEgT8QZG1oBzXP
SO80gzdEM82Vwdh00ADvJaDJuwAiAEhF3uW/Qbm189FQIT8bolTZTKryL0shkqTB3UMwuZ6rIb0L
Akdidw1tCTcG8HB/L5UGxK+li8qDQGSM/bbta5y1+6S2+B7jd8Q0ZauAM14a9eyx0mvqgFQx3GKI
igz7U2GjAnxghVCWmwnCG6y0WWX3RQ/7hwNsfWAMGhA8Gh9wvIm4GSuIoTqJcc2BV0IFSDzBbrvi
s/5urXRSHHe/J7Ax5lL4w4qI0gJzPs/eoh3MQEAEG575bEH++z+OzmQ5Uh0Lw09EBDNiCzk503Z6
LNu1IcrluoAYxCQxPH1/2du+0WU7E6Rz/vE5K6OYA1t34SVjTnjNPB+tlxejWDXgNNhOsj6cD3E8
RFfGEPUF4eUNj2Ks5Gmy3WU+qZ5/er9WdfXo+NRE7fO+665WW0X/hVvNlADhKtoDPLx/HRh9vyAL
kO3jkkFgE9Su26d9t0QiCQoEEHeZD8Jk5a6Y/1Vesa2JRB0COzrT8r1jykT6Mm5QIF0z+uW+71uq
P4pAl78DO5cCwsNmZUrQ3TCD2h2q772GBCyTLKO9MBU1ZM2+DZoc8Rd0/kvvKiCuafbGn2zlGLvI
CXnGLnNqx+y62ybJKis1g3WWl1c9Ls3wVlZI/e4tr7PfbnrSLRH+up1CUOXxi3V2/IaqbbzHqc6I
7EE1kwV7i8n1fqOeZUodnM/35bgsfoIegmThAnxf3y/LMrwWQUDbOE8yR9A6BRx/wgTdo9rCldzp
flrrxMxr8ztsdFCduc+C7znT5eMaBstbPPZhxVUZIHRHLlG9F0VmKJG1QVxRMtniCYzfn2h45eJJ
uqGIw0Tr0PxspQ8kP1tevp1qt6ge6EMuUUnB5QNsDCNyCOJUxJkh3St2hQMDslvDvHmbDcE7h6Jx
B/sqC8PJwy45/LTrIml/ywgQh1UuWMSyujo4UyclBCJI7MfaNtOYGIt4iIRhfn1UBAINfwO1LVcc
sEYcGe4zZz9lk4mRL1rx762rAhbC2hagSqiKnL+Rh0xwXxlPHW1/wsCnG69g9JvjuEg5iubxIr18
mWAPZqhmE5betbMC/Ydrd16JV6Uhde9OjvrIJaknaTzGQCptbC/5uav0COPZN/Gj0+nQT9dMQC0b
WqLdUx5P7Tu7dwMlvZT5lUOgj3YF8t7vbo3kF9UlgPE3cOzDb/riTWbKi8iy3lz+ZozoPIxVJQ4Z
zQvlPtrs/L22C+WcwgnJEeqhOssRySkO1HwZ+xeojzjJZqXgdNXoAT6NCFoZH0TxWeuyHveViLu3
DCNMuEMxEDyhi0XI5fD3PTdjEAccFblsEj30/vigGyv/AmAti8QuS5UllGBzzIZ5NZ49f1tWcsLK
WR/m0Sz/QPUqRopJb3WqJQT3vmrg8vdOH8bDbReJ7JdK18pFrrZQj46VuHnc4sr71Fgr3LMRznxm
aXO507hVzNH1N297rgC//kixLvSr64itgjUzDw+lNtGvjWhA+UgbppuzwdbtF92vkd4vIR8JZ2y5
sZWUo7L30RpNAD9FTeCF1LEqUFJ4+R1YtGwP9O/JS+ghOoYTr7lS63UF5d+22v1jLT79EnldU9gL
HeM+SEBmi6d0HrodxWUeP2d13c919OrwiKR/PrksAbd1f+ifxGy5xX4MAp5MgQjra6oaYNE591pU
43XxUg5Rnqe91sHf5uaTTBvdBu9O0zqvZWUZC5VcWCFKi01Up33E6HGwmin4isxU/y1Lx/wiaTQM
05C4NmZAx9pAsGRsEh1E238GqYk+umFPXxd+XO8ev//8WaLi6w8zNA6x0c6NdoaU0zgaexx1aLuZ
2krqNdYUcVbOWNx29WXKorlNh9GV73h4nTWdp2ixjltzo/xjmO3nBm0U3EkW1b9Q8PgKNYLDB+WW
YQBlzB7xVBLTPiddGc9/jC05bSzkANj6UVge5nUWcwJWm39llbYR0FqB0xCBWTcrtdkw7wyPMWqP
vOzkHoy0+WwQMiLNmpx63S2+6lCTj1s0nQBIR055Z3RBDWX+nPFYoysvLYCKcWgFkhY/bLd00Z57
KrRjt6feCZZrCKUh0wmxT5T0qA9lYjnjMJyWlsueAKAV0gXrcxM/RVVmvSCXQpSRj5N8NwaOrk0M
W+s5U/Bl6KvmEr3zZDPvFoyKEEdW5x+3YfJpax2iuOcfzJHToX9QW6LQD09JMWQd+R3jAGEYrwUd
973JzW+CIvu/0s+if+iBoos3BADJzsxcj06HCLadIC+S7gFvcV1KNcftLYpL198jgtN32kYe+jiC
d/6de6uwHxFjBOY8qqXW18LpxDN8p2pJpxvcJ0meaHc2yml+t+i9kVz59rQkjTXrRxez5JxU2ivv
EZlMfcIWaf2CISyQHKNRT90u5KZw56Z+Vp0Vfc+qnOK/iA296YDpuPHhM2f5gFYe8LHTfvyjjABW
8lCW7QeMpUWCdlCVqTCTb52q1cgN/eq6tedgyqg8akanoVsHdaF/DxmSPWkB/39YhrYDhvfyzD4s
o4Tct/DEHfCoUxzesLW+2uhf6wOLRXgY1sKmADD0c8whWycMijUNsVhBurX7RSAFeTG9Xr7yUZmr
DkXeHXSmewiCcOgzYmBt2PQq8H2QAEPWyoE1LLjkM9K/xB5jpQ9Vzenza279aviOrJF7bm16ae02
ZG3VgyfWtn8JmnJeErtjWECzbyon0dWid2HPkpsEKN6dJJxgtA9aors4dJkTwcR0Qf1Ias3GlIzc
8eC6xsUCoaf1kreGo74uDNKwQTX5Tzl1bsjQDTxz4bnw9nSBcBZCwHYuuuOeK7wfhltLcxT037Mr
sBtlah78NLRnCegjiBLm1uir/t2ZXGAdFlXYxflmM0BF3k/NkTRrVZ2yOm9f8qokF3IgJKJlppbz
BY1L92u1gv6y1rnnAFiVHGt2jx0SSmqdF2fne7Nw9lZH4PyD0LPdHidHz+2pU6W9EunBJAzSBBCc
OGEYcWFjnDv1ATJubMZehTBLOdU3S5GPr2hwZjIdSrQvqPALgxoilsUlqC04oSIqJE+C8JaHph28
eo8Qrd3bZagU667o+FXqZfjy8S4e6DFo1F3sdrDKPBHw4TPfxvg8djlCzKH2u4e447ZIcmstwgTh
6JBdhXFKBEOUv8VPRezn0b7SRVA+RIZdKHXWIfbupjpvWsaNsDa7YiF0DJq3n+6hm5U6ssHq50D7
6NNyH9t14mTCHe44tsaJVU2pfyIC2EJvP5GeMG6xaNMANVN2CISClwUsUs6dBp04MHpwkphCb29D
WVc/UQRPtu8WkNgk6kf9aQGze5yGLHxk0el8PSikZuYoOjmi1XJM/e6WxVwcmsqzncS1uFz3VtEF
ENO9mblp2pxQqFB24teGcoKBnCAr0A+5IO2f0Q2wTyiEuSXyXCCzjD4oxAx2tVvJ2Q3SOVjNdeLv
WfZ41Msh3TZNSwWoUls/tJBHXVLGLi0j1RYy3m587gvvdbUuO8hXtBiTFVpHw6lmDuPsucWh2Pyb
xmCZs0d/MR3otNXRt9fbs/mQQTs8z2qYWBvbqSjTDul9AGWJRyYJmqpcUq/SzXY38zQD5jZr9hnw
I588L5pem9Fk5b7lg4AxjAxC46GOhu5MTqT7AJKldQoGQRi2y9VxHeatkgdRdFGUVGu54L5B/TjQ
Wm3bcndz80Obcmp+R5gGvH3YkUycDhBXrON6cfC2qhz5cOkrxLOxz6GAyLDPWLENoqgeDY4+FGEj
Xy1TRsOdzgL7vnW1AFpzcDGO6B7BDgLlhRc7wn+Ft2GWL7r0Rhi2qB0vJLBHvNSgVN9VZqvwAADN
f8sqLtUUcGJ6nZg7soQM7PIKoBCIfbkEXnWNgk6/zq1nLx+Srl33btIVMq/WhMtdPXqDBVmfFfbP
ClM2PLbDQgkF6ne/Syenqqdj5i7V0UWsL/85op/D/+zOXlSCMKCwLtIdnT5F+Gg/eYMAqOu2MXjd
Bq9pfoWsyQNwLMHiPOrb7ZHp1gbo3RrEkd/SW084IfS59pqcZimvdhHZRhthECBiyx6DblPDPc2m
ustxOC38PQNsewZo95nnLWeLhbL+vzb37Z9s7hEfuVYRXjPsS0Dta455UQI1xUc9A2unurSsCZq2
1sjIbel/gJ45w76LOrVAw5rgJ5467CTIJlFPOwiiv6aus39nwxCHD0NtNv0xc9F9co1s8c4PF+RD
qDnyDlKnCb9xxgDTDridy0fDxprvpdMTuucVgSX4Wqr55HfQRSiiiirctX0P7kGZt/06FHCcR34Z
lJAsLN1HjSSYljQko+PeLT3kDCwC9b8Rp6L8zwqz9qdqUXAc5Rh5004R1vQSlLBtctjY/z1gk2CC
ai7WXzaPNUk2ZZCz9cTbdpXIfNczb3ff/SqXCBFXMhtlfgOT9NPRhyBfWFB90klxMq7Te03Mk3yZ
uiDQTKUh2np/i5s/WeM794RFAhFVEYPrrhECYC+fQZOd1XbWCxLEekvlVuuXKWoxenB3Umrjm1Yn
q9UgkYQx5F0dYp8T2dM1Z8+gp/CpCOsFKbuVi4fRU5O4PTATTI8dbrJKc2+Ii89GrrlMGCErVE29
76QoG/k2KIHOLyWSwuFuMlGPln0MWQgy0TKH+n42MCYT8D/vLB+HSiK0M6xMLB6zBb+E+7TALk1H
U9rLGy/XYE5STtI+5lx8J5gyhFRTP7kP1G0467eBPsj2fMgIRf3Rt9A6ad3dx9VYTTsnYh+6W3AZ
0p7G4ZUni1pc1GJkJm5/Jp806qtLvFt2NLB0/n23NOJQS+M6B3eUxc+MUf0BqAkx9gICtA/kjenh
47UhjaP5/0exNAVYs9L/TbbY3qsBKWviDLp89auQv9Gux+Fqrf6qjm1YA/+11tw0tGTkYHTexot+
0BN6ATpVJTlhleMH7Tfxo1SAx06f/QfIQlFn5famOvQjjpG0IqRUMuFU+WdR25BozKxznDbtBt4i
I3DnNFcIVs7zCk6kmxGUljpVG5qhA5dnL5RNfZJwWd7TYM23VKG19ZJ5CtdLzY7OlWxPBbf2SGtl
smGwZlrzG3yUJWhi+LgYTB4Y7TgQRO/aLwgjKLx0uJ2jB9MNbX9HQTRToe/zSO7Zr5YrM6msEnIG
DI/BjBER7LdmUbi1sWmKwHAN7oIJyHhXUVTzJiQj89mpChYlb7ayS8d9SVhBqD9Ig4KT82jCxcMv
GwRok+CkIELctT/mgREtaWSvXwMMeU+44MFPWpPVX9ZksjcbCBkcbqUJJu37gbD4jtOCfdXSiMiY
Cf7aHugq0B2TPJRrvT7122p46CvMMUdhE8G/q7ibnoFdAuBtjXP3KEQWvK+ebK33WHoZ43ATiQ+l
uu1TMTeisthKpi5D02LKRtD7qWVspIWD04yPNQ9qvY9y3I/sZXNY3ucEQMAZ8TsBShQWewZRLvbB
18LW73XQRPmdXU/57ftpCiwjxeIxwDLZQYoEXp2EfVS+AkbS39XaVfGFPcZewOHaAf4wwLJ04Ixo
22vb2AENMXOJflQt61tTtdYnX027psjkmnd143RT5eXRP2N09Z8abMZ77XVesJs2MdQ/up1kcDtB
3VlBGnf2++CaJjijbd7aV/h32k/lNgmwG2nZ08/AmwlTl4U9468sHAa1ynbTkvIlBFmrJSUcT1Vd
ssh4ywvSW++sByLG0ypEWXBq287qT+4IEM/0KrR/AEUoUYzPKIagUmUMIz3435Pt1dwzkRuWp6qY
pydKQDF4Shzpb3TO23+9MV/PY+5UgJo08nACNdvyhOu3e0aulitgDbJlnv3C799L5Vq/dFMPHoHg
ork6o21lp260rAc0ntn07rb47igprs2JFhZAbKsx8oUp0SMiucipEcXbbV9EryJkuTFPUOKCPpEW
ECz2KWp0pI5ema/90V97s1AHopGHim4K5FNMVE755al4iK8AA4t5GAaGy123hMeYjLBw0u5vf5Pu
K7SOPTJzj2twLDIas08jxgZ1I7vc/6ayzMBQOzk9A49VxQlRY3mt1s0UT4APgpaMLZz/1UvF8VRg
VF+spF3mUh/80okUOF1bblQTRtzQbYs7LO380o+O6wLQdAqaIOr2NemOx2bqLJ8SdZH3X6RIBwUJ
pHKAc5Zox8C3gAJ2ehUYvFE4sCLSia6K6q7udP+Pozt/24hWM3unllBVnTfik5Ekwf5HNWp1QTa/
zhcVsfWmfjlHxV47m7ef3S6odn0jpDhsTlXiplhA7GvKnI4WPOmUBAHVlNC8jYPR1ckc7w6TevmB
hkRUmCzpc0gZgLL+zVqt9hvPBvRPBzBKJsCqOw+jyIDPs1RKXeq8d5xDNNEefZxHbNq/VieaJ6gw
MGy4e1WGDPGBz6BMezQHgR/zqKMH/ZuDni+s7G2Fvhy/MvA4IYBJgccASW7vuPwqwyLKg5WZLkB5
baiKQoqCT4txVH9CLNa/PS4BhweMhRoRsswP5J3hM0QhEL1BQxSPC6acImnr3ldHEdCWvTPhRgAk
Faz+vcNk/p/bRqtz2GhoG5KejJi/I+t9cQc5V/1zywBVYm6M+eYQ6RY09oyhB2xy6k/plJHA58Kh
k+Bxc4dk3TDE7mr2Qpw8QZtBLPtx9BubbEMmSNkIByapUd9RhF16AG+NUsnAd8nySRS7evCHv4wC
aMjU7AcxARetau88lBIvbdUB1wkKRAJwykr9Z7QtvnyN5YFQJEhdN19472PL52bsxrETR3oOkLTm
Ybt8Q2vL/oR4jpRpJEDrdZuQnpxY5iEYp8neNC7Kyf7BdwY4hk8hPzc2XhKEkE5dEy7sLc4eAyum
zGgKxcUBfasP9RZjNSR8AI2f7wj3X7c50YceOv0ITwtE3orWvE+8xw1vedhcMMMgdms1LinZeHAW
9lqV13kkceewjrnPUZIPKO0LxN1nK+DG2XVtMFzNaLpvUTr+f6T1VJdtxQ8AXeYrGD1Mj/81+uZZ
YC+FLRX+aB3KaLJftsqAMrpeu9HTqv1hQ69IluCeX5DdFsnE9sRbPfxF8ZgFwJgwUdQbduGJAYAM
hVZZuJGssUWHWKMP2RW95wZfZO0BtMo8aF2ikeJiPXnT5pq7ua7acxvYBGjnVhv5J7hv1ZCwXbCe
9crexs/AWl3nDjk5vDvBBg3iJQRzI1IQHvxkjtrlni2vjM8OK9L4YJAgP6vFb0JCCJqS+1ww2+6F
TSJjIqVZH7z5BsE4co6j3Tz6Pv8IGbXV75LgkuwIMM5jLirHGl6II/JV6mcyvhSWdQPcslBeA2tu
/9mISGz+72V0sQuR/2YTiLckmrM6vCOwra0vXQ2a/eKUvVXeEZddbrsMRT8CV/q1gYiwuURSdtXT
UM2SslCyIn43Mb0CO6LMYBFnJ6jFfsodU+wq3OaPmECxK7JW+pi1w3m5x2MJ9x4xeLhJ5zYaSaqm
Yvd5rBp/2bnOUgVcmiv3TTdqc+9mY/njislXX1GxOH8WeKFW7uymz9o93qPiUQBv1UcKR2JUfVFP
pePEQX1FjOG5f3mfmuzSFMp95JwsOJxVME/3igMBQ2PN3+fc10Br3rkK81LeBXCC17mYzJ8INdKP
zS75Mg0wwvtlk+OnGMvc7At/aueXFsH3rsB2i2u/J8u3FToi2tVd85OtmhnWMx+KPQWzKt9FKKrz
g5f5orkDc6WRoc5iTl9+f3oYR2jgdx2P9nStqQS8RDw7K7xVD9aQGapYjxoQmKyouqpTB0U9njwh
sHrPN+EjSvT4vRX4eJNwjvrfuSn8GwctyylRoYy9NIZFLhM/qPI/qoWSQT0B9pnENnTFjktleVUy
5P0qJXbMxOJcG+4ymZnPgHn1KXdqxfTgu/NP4Azz2yIzDIYY+rxDjEXrtxzKsdkhHrNOdjtWf8Qw
sZBXXjslsFnusrtJl71dAYltDplfFmrnMAB+onhSf6xA0mWSk+CAUURGLw11SdnFrWb3QqLJ4t3l
wvSQK5C2zZmEIP3S+lG37TDuYUjpiBLJLmxPSG6iBsI/WSEexmRwQ+2xB6ngC1IuLk4Ojz1XYBU1
v4CRRnOfI8+rD+GKOv9APAJFPKiIvVRl9MVyS7mt2eF2EP5pYAPCRjf2CkuIu+RuKuVNrXZrFWzu
SZ4z86GKJw8Gt63VcwMLCTTkSIGsf8mC7aGVjNDMMzr07trejSkVBgvNDmsAULGfI3oPCpBr9mI4
CMRxWdOnFXZfg7F8WnF5rq51N88MKPt5gp5KbPARFAWrKgiaMLNi2yIkabhM5iYId11uG9pxxgg5
VYYNDH2mvG5BAJflyWUghWY2kX/fNP528HNsroldE/mSEDc3/J7nsX7LxnZtzvXartexyvQjczBk
pee7K7LJ0e/vM3SjWKytbGQI9yx9dXH6u/iqAnMZWxVvv3D/b4+RTTcYq7+LcpphdgBw2wRGcl6J
lyUiA+lghVs5PvKpiIh0F06hsxTc9sdgaohptqAauWwR0sk9OQbNNSsbXlquPv+FXdlv6fAk0IT8
rb79HOosumwOx33CYNv86j3ZPBgrpGc5r8msZQsTGNkAee4YdFEwVUrVAleBLQ6UM7DXLNRPQFtH
Ub/9dMpHNdFtQb+jgTd7JMtkyu+BCoNCpkNjx/xZvfllVXlw7jB586lCoR2XevXNfkRESHM2cCnA
fBm5zY87+2tx0RLDm0ms0l/UR026yt+m91CPWZOzkFo/OPV1Nn6wJK3yVHRgpGP4oTeJA4Zcwh66
rFrRJULQO/m+MZl9UU54swph9JMI6i0PGcJN9ZhWC7JzPHCuD0pLTwmTSLeswS66wTAAM36Gfw6f
+pb0KJGmR4uA9+3aVVH43U2dh0afAWHYbwTO2h/ccJ04L1tFdokfcvgmxaIG7GFLaKGHCOR2Div4
GDLTZzNZh65nItxNds8J3qLpTG28/XkaI1/EPszdmC6lMI/g5TSNFz1z3WGo8Kmmcess3gU5lZiJ
JchpCQUSGH6It53yd5SjxUj4y4TsZFI9wUICdgtzf6UHnLcYCIsnnbndCzIigx+WXVCkZHXEf/1Z
i+ouUoX5aZa1eNDChOT5dE1wpdokcP/QA8T6j/U+CpIOdkPvbkM7S0FRYTwczBrOJAbMNxfZmofP
IfVIyNlcqwMIdfU4PjcV7nl+WIttTIRLOe5F2fsv2c0Ky8Rt+82eHdbHnTwizcDBVCj7GXEF0jhj
5+rx5ju6WxqkHkArDQgHNabYm/qY1ntW7zYqj4xN+Bq8cH0NO1JSf685DjBjYtE8rcov2rsiK4b2
H+26CJWxUEDuK3jq8YQ+N3pAz06tmepdvA0xsBowUBbz5jdIB59h/xlsBlcT+ROSxfMxRLhHEm8N
1jewcP950MPyXcKCfi2W5bS/vLg3d0YFBWYs1mAQmq5tGAWi+j+Hiop/NkROlkybHl8rfqsbNAIF
vKsKLIosZKX9Oaooc71k8wfB+yn5kw28WUeDHpC8ClDuMyzB4ebUfUpyM6AlgDP2Th4iRUK5Ox2w
D9nnfAudUh05OIbizHliB2mBkjncu4gJuTptb/tGWGS2XdnHQpyrChwy9f1hufQNl9i+cqu8J5zK
Vd5rWPfFcBZtpv8o6A8MUaSq/LrZWkvyFMrlkWORoSsquaEPQ9GAPQ8jKzuRG4gt9kiuiuZ3YXUc
vJpetfhOjrPzXKy6X04OL0+e5GtlHi0dr2Tlk7/AphGMjP9jP2gqjNqbfxRiYMa/6cTY6Wtftf+c
gszBpImrYNp7rWs5qcQpACJgzxkYmBvm9xPKr68IVgNmoCycIfWpL4x3OYEpZSrpg3xS7eh9WM26
jW+Tx2PCo8prjzS0a/Q7W7zUH1GIPh0f7Da9W2T1fID33Az8faGesrzir4Er1ffEc/R2ik0fmU7c
TsFrTN1Tk86l3Lga2PARReI+EGksbXGNnWnABb4g+TWQB6Ua7/3IE8g1nHx68jIqeg8OQRUfEUT0
Hz5uLzj52WaztY+YVw/2UC3hCZ2tPDtZkanUGwMH5AyEgGCoCckv3UEFLHLO7ise4nphJzZK8M+u
IXWfl16t873K8348z2UWQaMJsmJSkCQBPgL8gA+W/wWcCKJeHTADYBUyI0lyKT4QjZWrsrd5xxhL
fkexurxyq8kzf1eNBSpdPeToAMBTmVs7EpQRDJCX5uwXTEFHJBd9uLfw8zEZAPXZO1yWbpNsrY+j
3FOu/dyPGXZszkm1xwBbWKnWCBXSctw2FzORkMNpnkMOGVmrXP5tWLAmgnccN0jMOndfxbrF6oTA
zw8Te+rztzI0+bvBCQ+BGcRTQCVCO/wBr+LzEkU1fo21bUMR4SyhGccrh3u4eaiBaVgJ4nK9pRBH
DIb930qTWE2ih1izRJct5o8Mu+h60ATBP28+HybMb86mVwBcfoShZ9GUqVon511uxa8s5Ls413Ss
zjUnnI1IkmpkdssutoKzwCfcncs6IoygZa4fj+zv8nUdOejTHDXblLCvmGIfYeqfD3VL/EoiShLh
dl4RZ6+6saVzdVQT3qEL0GVK4k5+IJG5qk9rW0zlBfkdV9uIptU+xwbMOoFDm3BqxIQIIk8Kj/CS
w3DvkLLmpGIw6m2c/fjNwU7tHwbenpv9XVlHgsf7/MgzejvvtTVwXuuuOsDvanREixt9EBqO4HBc
LKRMxufFjLXrH+deo9yoS7cRR6NGHe5mzKWHG3GL4wUj6g2r9AFFsTra3WGZZvFiDQr5R+m3U01D
Yq+/VjK8ol2NavgFTTq8U4b3GFH66iN7150bNESjFKiZl2HA3WPBmcTITTFoMYiVrGxLgJYQo9FC
ONtNVlj0Ti+TiUy2H8Pt+r6ojdQBpEhuf535WY/OhpNiT4yGlfNz6/G0Yp6yLoC1Xpgu+NFnRLpV
cJdhVdW7ui2ATjk+ZopP4cFuB3EvyqdGukCgPTxV4sA6Zpd51XTK6JqKm1tSjuf/G2kYeBT9NMwQ
8+TooJ6joM5J8DFHdlrSFv7Ml2dqaI1WfcdxGXx2SHuic+Rl0j4RmLzGDNCu2957i95CXrnA/Y3R
K/rFXV85e432k723dOJvZ7CcV2IC2INH6pluqsaSh7tsfuJ+3Ny0IVhGn7csd/IjcHb8rwuJ5L9z
PDsnCB043kpnT3fbvvcwKdwTP+GVO0YrJuJGmeFjo6+4SAZLKKzMVuEgZREB03uFGsPcOWEz8Q7F
dbMcPIWdYNfl4Pz7MCDfg9C9zWOeyun/fCWzARtGmKPDPWyAjMB7weLfOYDBHZSMTwRbQKDiWYuc
DZnkMRIPlmVcssS1fcE5gnTxWfaL9GGmNYh3gWD44gks7oTCukTFSbgj0vtca/lD1kr27oVWW57w
lbnf0EakczKozWRxatfdr6BwThqKcVQwXgE24spUJM8VOGa40G0qztPA3JKokRAz+kUov9uEIOD2
Px+jlzpHAVNaKhvu/z0x0NEtyq/Ascl7FbP+k0Si3xm7+JbUvCzbzl8jR37ZfTguyNc6olHyYmue
vDiXoBvMwzzhIATNC0GdCtRy80EVKo6FT6tGfX5CKDsSKtlEQIuCKRVFduuGGa5jyuLRvTh81Nd6
gKS4Yzqp3Tv2qqU6I9+xR4yBpiJ/NKgLgcNXEKGAPRsicGt6rnMOi227RLVucY00Wy0eMdHSwgEU
HX5FPeTcm0UejNivIHj8QAuBFxEXW4dJyqvldgzxqoKa6TLvv2MEkOcGG9d6j+DN3o7ejIP4aARt
LFeY1eyqVVh92+00li/IwVEw8gyugJV4jtknes9eU1ubIPrtAf7LM965Uu5GmgwoiuILVFg9XURh
t25H61y4mf2rWgsrPFV6kW+2mgg7MErNGAqqHMeQEGV94YMxT/GoVLnnDlLNtxwZfPajVW79UQfl
+oCynADy1RnCz6JCaLjwfvPa5sNYIIaN8uXa3nSWYFHixSaoCuOv68lDD+5PkTPm+f6lpaVtOeAo
qPR9FXtLdLCtpj1uNrsQbl27J5yCb+PiOJ3pU5LR4nBvpG/EwRCoinI/IL0fA4bU7d3sieGLCNAO
ssLjLjq1C1ns+3lkxTlJ4iH2q4wndY2Dqf0Myq36EIQHsg052fq2blKqe3dBWLdnthHuPndRMu/y
Zcuz3SRW9JgF0Uy8GzmqLTBmB86IlRCmfxEugsKGEuqCIKHtshAlpI8qzis/5fOrDC7ffOFhVUP7
Ultytt4RGo9cQTLcovuolG72P87ObDdyXUnXr9Lo6yUcSpREqdF9LnJO22W75uFGWDVY8zzr6ftT
HeCgUpnIhGtjAXsDa8NMimQwGPEPW3DIJM9Qj3gu6X2fJQdec3H1ptbK+lkMsui2XdN3IXiFKLC2
OhqYX2IwWuFO1W7T7mmzBHco2PH0GgoDvAftkpSLcNKibtu6ZfEgZV6YKMqoKdnX3mBwii3wvLxA
tLT9t3EHcFiFhRogZHTX2U8AG4MVLwuDl+WkpxIZyLjJPw/cSQA/dA0HU6hCGX00qvMDfCszShHA
UG2xAtwqh2eSQqNYow5JSRcXQ+vOiIB6H7sq78NjwVpQMAAEWzyACe17HOVc+SZ2Ot966pvYjd/0
QzjQlo7rYQ+QNPzZa5oSu8SLWDTdmIwjdTRknww7mw94rVkvWdCVwyNdYFXt6iSt3btBgxNIG6GH
Dk6TrfG3OsKfSGLVpvik5VZLTWSyG65/NVL2QUEngkBqhw68BSud2WqaI9ZOkwmUAyf6ktTgDF9/
qgvX71Ess5W1LVD7JiQ0pF47vaB6hHYREn2T1Pqf4DaslzivYGI7aQQBWeb5+AYGXPCTLKRIZwJ8
s3H7ASTgHMs3vH8G+rPB4L/Lq4hKLzAOaoOiEhKnKC+rfqFcFn6PpoxWkkfSt1dUA4IHeGMYOeTg
0FpcOpqkfR/2OS+8JpDe27jU85/wdNCvKeHID9tYr00P3t9EeUN3dNwYFHVPF1UHA8Eth6DBRQTR
4VOQlrlz5/l5+2nKpuk9chooMZCS/4I2lRN8lFsXyDHU7kHW4LiQ7ZnGDyIurRnWMIINtNldb2sZ
RIdQs/1n3k60ouwGCv1dYtU8lmb9sXyNUBiCCmala9HKaTpdHQtsqn62ZQ9Z0qgg2CNKW8JicqhD
jAcBL6H4VCQo0e5SOXn/WvHQtHcZZ3cPb9lr7ocmi1+oLdYCmFlj3lsANhqESGGjvLgdvClqemB+
Ob8+2XfnpLLcIk+Xu6tKeunejVy/WsO3L5O7IYoSnfbfZFDBteAsgJ8p4kdUy/zkEbkaQnHexQgw
2JLi76ZMeDfOL9nOu3MELcatMCaVb0XlIlyL8fQYr0yEZUFqwnNvHnNO2jezcpufpcq9BySAMOKG
NwYypC5KfVaT53lDgm/H03ZyAv0tYtCAoCo3Kd6Ck6DZXbPMhxpRMFr5PBS/CZDw8QZAL+rOaMii
wT55hR5vtVjaLyxWpa8zhLiDoxkOBnWbAkHEtWclsXXPVdf6e5SJzGAPn5Il4P/ZHZwoS7iZLKnq
B/wOuTEUpBK2YJ05nwNylOrgC7Ss9SzTflkCP5PDlLWhsRuidspnXk36FuwrVVm+Uforq0wqk1bc
TC9piuDeG4RcKrkLOtH8QM0++MWjZngMATm+NfscAmCW6MWn2NHlR4Ke+xi2afPFhTHZbn3NdSDL
pya8rd747JNIfrKmqe9XPooIDW+1KdK2lM+zYwy+CWxcKEyuczE29SbmnQG/3XHA/zdFizazZ3rW
E/ZvjUYIjdofPJrpYyZ9qP8bgtb81rVSfRVFh2nE7KKqeHH71vvEaIFI5TKBVzrGdn+PUpYt1wnV
iVx8pTmWesc8951+m1IAM9cRNOZqR71Lez954fTNEFVVbaTXWF8pmLPNbXd+KSFBWz2PKBogZoB0
C01wgElPpk9JfEUSY5AqZXr4qJUgM1du4+f91tXshBoaXaFNXYVOS2udXgTAVaP/ZY5R8oz7pgfe
mSsMzSrPrIHQeTZ2F5bqh+gBVU7xsenIC7Qu8ZI1BAyKmMKh49ZbKtPWnovD26MzuTr6m7Ulvtow
Ht6C4wmCdQww1QHJ6QD1deBeH+iNQOjPSs35jPWV0jcaOeCOsiaqRG3SITuiu9CCdxk3HggCUHlr
eFJVtIUdRkXTShFlewfwXsCaQ1cEHlqBb7Q2zE2JjHYvpIsEplE/GXqzDwAYzNoAdcKbK6QbvKot
uoQoUjRpcwcQqv+I+YTZfGvkiLQjQB3N2Cf6gN+SRylSghMv7PRTayOiBbqZsd9Wdj2L6Kb8orGs
mp/YrzkOLTw8Xe/IpfKHqG90pDaGvvg14u37YFCooahPq/yNjI2i3TmjC8Y65sDKBwqGU7SxZOES
dSU39qM+Ap7YTim2U7siaZ3PvA2SdC0qhBdXtJi4S8NxQsyvjKoG2RgywH6XOhNptyedvJq7zH64
sXq4DRszMuaGr2Z5H0d7TF6ajCz9BX88EOxokurtfVoidbNC7g+h/K6kn7gyoym3t1nGlOg2UD9Z
BaFpfeyDIqfz4BhU+aMyhExOZ6j4OdoTLvAogdf9JoT22q3QJSutNRmM/SsF7XdfjbV4mSFG/krv
eBMQfShBrFp0Bmf2EeB9xGFH972e+l383GtOG9yHdWFD6YPOz3GsoL+WeR5BkKr8Zp/mAp6dbboJ
709tmr6H1HWQwcsrfZf7dmNS13FMkIINkspvvBJFnZU1oENw6JVFWQtmmqhWXqNZ70OEg382NurI
iLm4/VPsVp6/tmRNhPVCzu/OCgAt7JLKGq3VKIv8Ed1dOvkaSi0oyQ7is13L+nuDFjnYGoM0dO/Y
nfgV4WmUPHLb5o/QmgLSIk/o7VarPAFkOoGqyAT8iCIoet13Tt9EHxBCoTOFeF71sTDLBpX+Mep+
oNVV5qvOVOJXZebC2yBAQUsD7TPnuUnsgOyAaIuqXWlGLy5HEB1go4voP5m9/dCTAMNWClr1I0XM
tkN5ChWdVcJTUK3QYyIIZInoe7j3Fcw6lwbs3YQf5cDTaxDxCpUe+6ddA/auo6ry1kbicXvkslJv
wKFDdQGT5H4GXR4cjCpEl6dKe0jJkYU095b1AByCdHkDdGdw1NxwC8Bd6LKMsyeRFsaPHHRAcXSR
jkxRK6/FT+w9NLke/UxCHs3sJtoLcOuPpjOkzd41vKlbJxVdzu2InY7Yg78bH21naCGwDL4+bLCt
LP5NfD/86gFp/Gja7oDk21BxmH66cSDSPSpQbb2yU+ELYDdt+zbENMI7RFUch0dQD+TUwO2ao2Pm
OnJSAMk/D1nofHbQ1yd/6boBAEzaoTetT92/YSrJ1qcGo2MzMXlyAo20PkyOqahoItAFIdHCb4Vu
DB6nT9TFrY+am8AK1mIzQYLZodDdomVgg5pIKxtkMSWnOQ3IwaW/t5qJoFgUcO7oe9ZdvbO7zPra
+nhYr2Njkh/sCWghtgm+2EZ0rMFsoLJh0IU2eZ1yhgIL5VEoFxuAyQr6ZQFTkNKGW2p0WgUYNrND
/Hblp4TWTUANbNuj1IQhbEXPft0p4N+PIEIalMtoB6FxLaBDGOGasdxyK9o+Tj74aI54CF4PtCFB
UbrdFuVdGAieHQ805jD5Tg9cyKG/oRxiJgcpwdVtC6OT3y3a69kDev4k12mlzbJWTY7kemTiB8E+
0+QXvfLtDxgtas5WpvqUgFOC47aRCkDHBugOGSo0xvxhwC7lUwoo4nubV1pG/88xP6b12CGVAQGb
yoRf6F8QoE/eOV01UuAH6vXGRY8CFcDsPk7Gu1LYuOi4FOFfMsLqCOwtDxwUFbuCmjs62PhqKGf4
mHbt8KWcQLxrThSDQ66n7r4KB2rM0hQhgriAvD8mgPGM+wEjAshhpFeztgBcqz2eTNWz3hnsjR5c
3YexkLl+Tz805LEIzecRpcYeUBUC4/AwbOCc2g6UEeJSjZL6ezTofOObZdfUzHu8vx4DAvgPU/eN
cWdHKFS/0aCYUCseXScisiLzTh0wlc6zmQRwEFpYHOV2MgK4lVEwynHjg8M8cpm0CaqkOfDpWjOt
d21qtVxiCfdSAZG0XYVGqcWkknZ1Z3eh626iLFDkJ8jEyK0amu7bpEb5SQ/GzNjUtGbVWnSlw472
8bZDLjccqR5nMGsk2KP0frSEFNRXXK/5GvRwuB9IVcY7SMxGs6skNX2faADPnh4+ouBwevNnAKC8
TunfBh+7XhHJ3NaX0YZ2kENh3qPcseE1FX/REP0o1+hWjmqHc1j8JQtqe0CBRhvu/il5k/AQosuk
EosLRuSodXRViZL5P2Xg9n2ZJTjRODIVDxU+It+lHkQUgFNB76TzICigz13KH34D8xQuGhg2xAp6
/11h0dHB1SWi0odDGvoggrc7aJcWccBvlMZb57msgqx9Qz/bIH3PK9/7oLeDmDZGOJlHCEdhCt2m
DLLVP24v5ZiR1m0A2ET39BVcxMPZ6vHuH72gWFFQG9wEyrN/0rBrPmYyCufcCSyWgJ78+Z9pgtEo
OgkF2K4Nj4xWgFjUgLhSBilSe/cPDMrGFcpLtrltBHItuDfvRIwJzyECyDze8I+7YHdmzL5q/BUl
UKuYrZX+8BSqwTrGoihnAy7D/JxYAF12Q98M8jC0fvIwgbP7NnrxeGzMJrphlHvBksow6X+Txpum
cPWF12FPNqOIcoydITE/erbahkj/U+eeUdZx42z/8z/+z//97x/Df/m/8uf/Z7/1H1mbPuchNbb/
+c8LNlGM55pAHMGbuM7C4dCPxgrvIF5QmkGrFU3GF61tqkfeGsMNf9LZTOvE/ouAAQbdFJL3j8WX
Pf2qPT6xOQpb9jqstPC+n1pjz4Xar00Nlwgrlf9Wdo/cOXYb97XV/rg+zTOfPjpxDKkrU1iki2Lh
dlYGnR/DysdJIquiYyFCPCwR7tjVfgNf0OwCFHni5LXf9vegzFoI4HXG0l55Gou+CSwwcFPdFp+E
RCY7K0rtCXH88LXuikzMtUzp4GprYGS2WEa6ZkOD2wF0s6Kod5lysw3E1WYzeNgrXf+UZztGmTp1
Fd3ivy3LFgvLQ9MzugJFfKQnlf2+cqPkzSDLFzPt0sfXD8R70nQtpdNJFQt3tkS3LWBOaAegmluv
BqoCTwbhdUczHK7m9bHOjh2TMR3btVwc9xyIu6ebE74t9iupa64V2qMoS4/GKpY5TQswwyvsMbrN
9fHOjMTm8dx5uQgwBsy50/GiovGRPWO8Cmz+HgVIbWu2U/r2+igXZoXDp+HSqBCUN5Y+12npT1zr
DkknvmRrL4/cHfRRdHIbgRSK7O3318e7sDUMpWD6uoaiK7Q84roGKzYVIPIS0dZrw7Lp6paIFZm9
M326PtSFqcG1NCz2u+IbmosF6+byQBpiPjFlif0xKlqaDqowXxrkCvegV4MbcfnC1KQwQPZRIuCA
GfO//+NO0HAH4KYEU6chzXuY/JysHEDVmmv8ljPjpaF0xC4Egk1cMMsDhuJBM9MYkJ9BFfSAvQsn
oKWFAJOtfa0focLZV6BLO//jsvNPZ2V48FRgFM1n2SxXmhGKowecsNIi80aAurRexAxiIcBbov9i
vQoDyOEQMJUKQAN8XR7ZvT9E+8Dq0V+bymh3fX9c/Ih0Tk3bxgRdLD2Dcf7ok85lK2Y4I++HXvob
E/OwfVNHL38xkuFKhEccobi6T78hlH+cdBQ08biiNT+1vretctlto8Gv/mZSEnKl4BPallwM5ZPb
m3o4EKV6A9U8dAOOlgcJAxkIdcM+8vy2Zmcg8klvDbgi7ranswJYDvrGQ2AYZZwMaHOPhs7OJzGn
KY9x6EtfVYD3GkOjEzKBUr4bXcmj9y8+rSOwUdcdRzr6YnvmPOCzakD1wfC0EkckuOcULKuDcPro
RkD+/bdO0xPYzAJLC1vQAcbJ/nTCwk+bnKaYXGdTFnzRKro4q2bA6KgAc/YkgiR+DqvKvKdBVj/g
iieeuHKnLe125wgmR/0a46L7BUg7c3jjA9Kiwx8folCnwKtBhrlxYZ3lqJzcP3/uYn00DdBqbDty
HdOz8LOALqw3YISA7cUW8XaxTscmRHkY2ZDra/I7A732oYzTD4VOCoSXnpFrpBwBPaAzlzpPNsWz
danb3b07wwIoFLx4laweRJgGh7L1bvyKS8eb4M962XPgchbhGCqRGUlgPvD+UJr0QhTHa8D/RyTD
yxtDzYfqbL7IKXDCAQXb9uLQUXaJWoh85tprvlkgNvc0ZjJau6jKFkgKXf+6lwaTs8MoaA/IEMYi
53GLuDFnNVxaj5mvr3PdLB40FVV7qx8S6vEmHLQb89MvjelQMiAjMWxlLH2NXRjXZBGYcSLnUqP0
izMBeGyvOCrS9eOI9xeAFMPeIR7YP4Muap5G2fMWmmJs96hG2ivN8t3tCBC83ECpEbuSqvn++oeZ
74fFKsAz1lFUcSj6cY+c7rpsXoMcVS0wcnAtnRIIvkkPbnt9lAvbirvJJavlljKEWOxtbxpow6KE
sK5HgcquiWaKsowVdPxxd32kC/GVGK5zuxt8dmkvNnDSyw7sHQkgbaLqOAWZdyxo86wpqsy9CDvb
d7UeIA/pag+YiVSvj6xk1UQQbLWJEmdu7ANk0LAPrLWr5drbxhbQLcRY5A+wsJMv16d6YX9ZGB6b
PBfYXfryOQ1eElpwyVgGQOFDC0p5VVGwo/waoflBWnDLqPfCKtpcjywhft0Wbb3TvYKvDvqeFrV9
0Gv1HR7pyAEWjfNQGY57YxnnP7XYlgzl6ga5Dc9nfbFhMO6p8QryuJETRS8oqcMW1dIwQBccn7Vt
bwrjDWZZ2o0wceE02ACZHNsCfGNZ+vzv/8hGk2woMbtFeM9SmBEhxxVuvKCwH169cHQnUCc3KMYo
xEdPR7E1lOUhm5LkTp54b5ZFRO8AAPIBjmXsgsXrSuNGMLq4dK7Nq5I7X1fOYmKWbHRiIHtF+H5T
bjUkxt6gc2JFmxCi+eufK3xAVs92bEOSAZ/Or+HhBKwgQ76QNwRoI/IchXH3tiqAeF7/lJfmRdBy
XMPEF1bJxbxiRLVzgMjWGvqZhd0QWsRaglltCwBxc32oSxf0vPl5PFDSgfm5mBbMfWG3LdPC8kn5
68LJOwuogMoPSNEIdJYTCFFJ72Y977Sx/1VVAOBx9qnuplYnOb/+cy7N3OYuo4FOPLWsxY1WJ3hE
qR7VTNx31aGFD7Ub3Ppj20OR/YuRXBd1LDA+XBRzHPrjUPB6w66UX0C2aGAvAFkM4SMD7Cv+eDe+
8aVjr+b3GR5r9H6dxbGvhwqYVg2kogDye0SdkU4bXlabij7OHTLS2hGionO4Pr8LcZQshMyU25hr
w5Cn8/MVqo8jMtqgihMf3i1QjDSw9a+jmR6KyfVuvHgvzpEWkjJJsVC3XCxcDtnBMUZUnLwwb9+q
0IzWOPJMB/Q14gc4gxhQoFx445k4n4NlPHUsOcOrsJR37MUcJwTpwNgh5J6AV0X72EXaDIpVEH69
/i0vTc5RDjuSfWkT406/JWpopjeg5bG2R6v+OEyucVflAFkjXEk/9YGTPLS9Nv68Puilo0BZGVVR
l0ecac2T/3ODVpkqzR61BOgwwyYftXFtJxr8APrE+1cPRbWTSgy1wLn0s/iOmGzPbDNaB1CA9U1A
jfKBsnK8S0qvu3EFXpgVVXKoTkLxUiSpOZ1VC4UJYlaNWqwrxC4GU0krJLGRwHZerk/qwuaA6sdW
JGGiBiMWizYIz6vjQq/XEkDJY4Vx9QDfM8On8/o4F3KzOTcybOhyFEesRQB1VJnFEfK2IF0q95Bo
jraTaSPWJOY0POGnP8sOtELBJYgRgoq/Xx/+wjlXSthASuiT2dRnTj+oU2Wt5SvJORdW/155YnoH
nhvZUqfLduWYaTfqrBfOgsLvlLo4lS3pLONm3HpQjmM6ijE2VvvQcNVLrUHsDGnsI2KCRWUa9fXT
qydJpEYCRkopBM+H00kif4xwPyjtdeciUJejFPFk05feoQmJrgnvyBtr+vurLSILVyH705EWZ1At
Qrab9CNd0hpxtTaOv1tBqn7Mgf27UNA6oU5VaLTrwRDAYJqge4Dj8j+k1B3tzfWJn39tS9kueYQk
t8JdfHFcoHEg4RRSHhW2ZrzFODF5oRGBCyrUg3vkEiy1GuHXmDeu4fNNZbGpeK1wAzOwmk/xH7HH
RmM4dDBWwsMQ1zGweeMGM8r4DibLLzZheGOWF4fTnbmz5OouV+XpcMgW6jCXgDfNOoAfQPCYxyox
HtC9AlGEQ2ehXj+/+Yvi9QURXmeOpwM69qxMnPc17B+NrmTEgX0/taZ9jCyvx0Qzb27M8MI6YurG
mIp7hGR1cT3KsgtTnJagf7ppfQhlgYI99g4bzfPiQxBo3nHSNOPGqZkjz+kmppJPPOdNw7ON99Tp
LCnL5jSPOKr4eoBrqgaMBmPyHKUXxU87KMufUVPjIQC96Mb5OY/y88g2+QAPcBvg1enIJupCY1Va
XJhomG7pPKtjJR3jAa2f/Eaj8MLeoW6rS2pxFHAJgqdDaZ4RFYFpgnAo0G2shnHawq8G5jwV73MP
N+/rB/LizFhBqkng6kxrcavEqQq0KQR0As052+XkjQD8PW2HfE5y4yNeWj6dso5ruzSbhFps0sgY
YHeks4bMBP+vqzR/a6K9g8q3/ETj19gjajRbJQzajVxuDiqn+4bHMEM6LskjX3SxWeN+xJ0orRrI
H1SVNJyKdiGVjhtH4nzheHVQNGZfEmrOzmCno0sC+btZ13WErA50gA1CNMUOtU5Uh3CHufE59Xkn
LKel5icZ/SaDnHhxHCpRIJTcyAasszWLgGrRfkwDc0uhvIMkDpFmL4oamoAt0kNZpsiVhm6zbTpf
Iu3Rl28Ewmofr2+n8zW20fAzKODRb+YGWWwnMNc+5Lt5jU2RoSeZ1toHP26GPVpB9uemgYh5iAaJ
UjYIboLh9dEvLIHL65Ksj//A2FiEeVfZA7RcoAtaPX3zkUCm3YLR9AiZiRC4uz7YeZ5EFNJpznJu
LElecHpQ8dspEEXEoUIA6j5gyoXQjpr6g5dim0slTR1zP0VQsm2aaGsBQHh9FVhxiBifX2Ejyr44
T8Kq8PbKsnado2Wxg/GuvxNlIjdoD9U3kqTzE8RQZGRQSLm8mfDpXNuZexBb4G2MIYNxXAbNPqTL
eWNHXxiFFIx35Zwb0IpYLB+mQtDZER5fGw5M3REHoDs0Bbvt9XWb/8rpsVFz0XGeDcwW9svpXHKE
a5GTHtBonTW9xkB2R1uPvsh+mvZ/MZJNiid50FEnW6SyHcplEFf6bt379og+TeSiVeMdldN1N0a6
sBepmPMI0VGqpp++XJ/AwZrGnvVjYO7W8CNaa2cORv9GN6jSr1JZxx/SEcZerbryc93bry8do0AH
YsgAlmDT31yce0R6qeqkoKhmvOIDTfBpm/doU8ZiMP9i/X5DFdzfq7dsA6ID07WqNZCV8CP9oVQx
/bm0jZ5RPLzVj5g/23KrKGY0w1cEotKLDel4GFXpIzzLUk7yPZp3xedCs43Phgayd9U1jrtJ8yx/
9XWFLy/ANR6UOhWz5WIi2TMMiW926wEk5T3mSsVG713rxmG7dAwwuaP6N6MIaN+eHoN+xBxamMi0
wzVEG3SS6LXKqVrj5/f60hRT4T1J+KCdSh3wdCjdgKsMvBqwk8K2RCHUusUNz1r5EkmW1x+5uYIy
Qwfoe1uLI2dUNcZAnezWpVeP+8lFHTugPbxLuuH79ZEuBSvab1wzM6iKlvTppOxGpu6U4LhRVkV7
bKraXmcOGP/ro1xaJS5UacGqRRnTWgSrQnoU/CJYl6WDdQjK/MhBV1Z5mJq8u3F5ng3FJMiqeQlj
9AWuZJElTWgt1XaLv6uwOrXHImU8lH1LjQH+0fb6rM7O1TwUX86mNEqmay5uLg0zbxhFSB7FWeof
AD77yBA1wTO+bPVXSPJIErj6zCp79bA2WS4WQ7QNuGWWUZIGNvugwA+TG4CsuvmCdaK+T9LY+IXs
qpMjBGWVN87Z2T7hwfDnoIvNbyGHk/rBMCOZTYPkc2x2Y9h3h+tTu7B4dO1cJifBzIgl9qitXGvK
EUqYO2jyiMPRiEUSdm5ViezA9aHOUrx5QmAl6c/yGUFInG58DzRJKId49uVMBpzZUHY1Jfo74BW0
fdEZ9jdSsPj9oOobJ+7sklsMvNg1qLmApTeDad00er/jCYh4UWjBz9SnqLhDbD3YIOQF7R7v4Qc6
yemNs3hh19pz3Y0zT8uEUvTpxNHYm5rKxelEBHhQrUKBquXGD5LswUMXIIKXUaIJMqJrcfyLL04D
HtkpOmYkm6cDk3KVOibtyH576A8Yoet8MXAh2sN/UZtSqGmfV66zxUeuuFGQvjRlOuNUA7n+gH8t
PnlfaK6eefk8ZTD8azTow/4BOXGh/Zi6THvugjrSqODm1Y/rU75wanhE8QDmY7sSUN3plO18MssR
AZx1iwbGtI1aZL3WUZOFyY2YcGkgkk5JuumCIV223LgvjNKpoE7b1KFmW52x8u6DAMrKjUW8OBDl
t7lxInBhXMwobCZlJl4sZmFkHFxzTBimurvVkb0QBxQR/P+PsjicQYxQO5ofYo0SSLNXtoeUe+DO
KkTq1TUR8F4k67RG4GXSl1ncF4hJlWkXGGBt7Nz4Gmij/tZoFU0uYESb67vhwjZUZLVY19tzt3kJ
n8Mtx3GzxBNrZN+Q3EO4EmnwfjxGqh6OVTOA7Edl6sab50KcI2FB72bOj8CGLFIJoQKl4bSlozOX
Vj8ovfyLLOL02BMZ7mHfZxtrmg3mXIWy/PXpXlpEey5xUU6g4L/cKjje+U0as0va1B73MNJxY4wg
+BnI7Lz+dlKk7TMOkvz9DCPr0uypfPg98JTqfJ8XmdphNnkL/H5pQlQLQe4piIvOsmEY9JXTjhVW
bihJlTt3UuWxKXPzgD+wfG09i105V0NmOKfiZbwI0u6AZRw2X8a6srJ0mwftuMP5a9zDZrxVA704
K0XsEKTqFi/J0xhFp6bwR41ZBVpbHPOg9w8IoCPkk5TTjavn4lBcf9QUKQvSpjgdKg7B56cqMdY1
nphHaAvmscA95c5mm2Q3dt+lw8ZKERANMjTaWqdj4ZoQNY3NF5Sy+hVDUDyEDTy5GHfcTYNZBMbV
U76/vuPne+TkocWq8dT5XS6nlrIECBTA2/1sINyP7txp0ss42oxln2aw5vFgRIA6u4HuOO+I/B4S
8I+lE1NgyJ5O08K/PusDoIIxSsnI01FxIJo5uzCw0JyDUKjvhhBHeVhZHc4pRagjrDC4+o2VvRRl
mDYvd+Bd9GYWUTRWOhZRQQjYLXKMZw0vFgEgw+73VNH6H1neWBCWUKTv6kreyofPx+bUE1bx8KOK
Twnp9BMUmm8P3ejh1JVH5aY1zSFGHW9luDsYSfWmNIN+21DB215f7PObkGEtnW1sztir5fsWhj7l
rBaSG7bq5laNkfcmRvHucH2U8yMzDwC0mwc094NYTi52phEPuQHgrGcdpfTx0ULfZTcU5edXj6RM
AsD8lCY/W6YQWKJTmxuUASdRGls3noJ977jlXp96+8akzs8m/fMZpevYIC/OwGS+HVpaVofg8F0U
1WWWIxwuNHSoMsfbgX7VVgr17xsB4fxw0m4Ge8Ezlzco3Y/TbdIq2NutBVgPxmZ4MEtsbSsc5g5D
A9W2DgENv/Z7zlUkXvE8D2kxLb9n1sVxjfUUuljB1ELuHSoCQ86j4yEFTHNjM56fgdPB5m30R2ew
aL2g72e4kKoaNKidGnEIv5UbMVk9Lr0Q9VUu8f7C0PtGmefSyPTO2KU2brVcIacj58JqLJ+O59pH
jOmTEyropQU6pyiR4hc7oFlaVlgcW6nR3Yh95wtqc0PCmZoJJBz7eZf9MWd4tn7m13iqEeFx7gAB
exz0BMY4ysrv4rScbmyg86PIeDSdYaowIOWW0/ES5BpR+nFHrHMM9w3V5QH3s0BufLO9VVk4/6hK
EFoM3bB5CMO1OB0K0ZhhQhKj31hF1WEm0NXNx9BFpF1vm7iFHjxY33Baqe597NdvbKXzz8rYrCXg
ZZMyypJFlYw62qlDjnpHERXvPBl5hwm71rteGvU+EHp7Iys+/6xzjkjXl3zHAaa4eBZikTNodqj6
TSVLQrYbDStUM3A2FdWX6yfyd3/z9H5WM3zVNeY+2tzgOv2sSVDBRXf9cYNXLGqMfQp4aFWZeKOC
5pPtpw5prGcbQZ0nMLcj4v4RnZDVrAiNKQGOuqs+Se0bjdLza0QZhF1BgjxfYEugHxpRrQAkzOf2
BC6DqPYEa9ln48v1uc8X8GLqULWsOTvh0X8W/eCEY7Olmx2gfg8F6xRU7QaETxnudYxGgZ9J0AyQ
oZwN0pyNXKUj8njXf8KFhabMMo9OZQ7Nh3nT/3FeTddDJzZ22NSWiB9IDJqDqCxxByZe3nilXhyK
5hksGyI9uN7ToepIknvUer8xJq3B/CwLdHMd1DUSz0r27Y3AcCEJozLM40oCdpvfdouZBR0rIVAm
QfCo17J1a+hwo5HOuZOwUtddo8NRl2O4hxLsPNZT5T/7k36L0nlphaHH0g1yAGlD+lnOGalAQ88H
DIV0/WE0JMYwIV7YWTohS4j9K4KWhrZJErj85C7th+ure3F4zhXBA0Y1vNLT4c2k9oKYwLHJ0oxe
BnkpLbwODrQTWQOyiKDfE2hpVLQ5ebmmbqGpLy05bzKQ8BTneQku1qCxwXG0QzVs/C4tvhdYFO4T
iiK7MjL+IkJy8bCXoX1SAVnyVny9dRpj6gfUUGIUM7BMPvSDLXco2oSI2xjN/vqnvTQ1UEa0aela
6qRMp582wgUzNhXbq+zc4YPNABtIjM19VIS3YBuXotFcCJmTJIBdy53ctAKnyBBgYywLIz8GmYOq
Es5nOA1cn9McahfxiHoE9za0Vki0S1arSsau8HNuuLyUzj1uqNbWy1Ebyttmet9YCFyjquVurw96
4UNycc+1lxlGYfyGIvwRgZAzVb0fo5tn+0WPaxjmQJtCzq5AVY3G142wcHaRIj9AdkIqTbFVkgae
Lhu0+MRMWtWsG2wjolXWp+5D0hTmV1xLncdIi6sbMf5sevOACP7pNHJgMi6jnjlaVT/mICniZFIH
02w+6JoWHMKw1v9mamp+lihuLsjdp1Mzg6Qoy56RcJMoDkWJCnWIThnifmI4tmh1HK4v3Dkcfp7a
3NWhow4sfInmRFbfN1TJt8xSxCXaQASfB9rvd9LssBGpBhXC1zSnb0k4RPeAIbVHzfGjA3Jv7avL
WvyUGRMHUUTBkXYWy1qXfdVZtF7W/I/yKfFSuUGvEbKB3ZK6XJ/3pRXlBUE8h9jOt14kLJ2uy3hS
fOeC5ksK7RYZY1pOaElKLR7eXR/s7EgyMTBbKBBQcSKMLxKxAR9DbbIZjMrn9DVELPhL2Tbu2zwI
ESHo7QkACiQq9+v1Yc9CzjwsYgTQ1ma80XJpTVXzly0UAtPBG3cI0Xi4bORid32Us+tpHoVcen7h
gj9ewo5l2CInXzEKsp/9xusRavJwrVhhu4reAqotD16ThA/4cLQbz0Jx6W+Gn+sTpNXUYRcHRvMH
IIW5TSxAw2mfDRaaf92IpOnUNMdJNdNdQ0Tfu+jxrXCr926cn/OlpTTDqZk5QJAdzEURuOqHMmpM
0WFlOU1fhw4/JK9RVKfwSC4wzvFUr626XIkbScH5/qXRxD9zb5kNbBmncSIDr4T8MC3zPGZwvrV4
ru3qCVVj8eX6B/5d6Dq5UKg+SU4liEPSAFBbp0ONCBHJqA5ItzK027e9cLRnPTSLeBWMVfxVVLaB
X6/SvmGalD21ToDOcIiXNpLEyZdC77SHDmW395nw8htb79LHh58wNzYBt4I0Pf1lyDVmMlbggazI
C6NVjUXXquoU7q0oCweYFmDcjMD+LWTE+Y7nMEvSIb47EcReJGQNrTBlVhiMu1Rzy1U+IY21imu7
/kqzSrfxFfKjveyK7hu6wpO/Q1F6qG/ErzkWLhcFAJSYQcQ62KtFSJnSulCDwkg6yLtyX4ukewz9
pvhkICb3AR2PVyeBbAICmIscBxkwKdPpp54UplrQwdp1n+LlHYdlvMGHsl2bqJPdOFIXtjYzmlET
ALKB8y6mhq9WrarZsz7hOl7P2jRrj+rkJkOc5sZXvDgUMMBZ1QRB32UNUKNhaJcmODXhBo+4bLX6
OqWheW+j/38Le3hxrLmMyiMCopuz+IJGp/C9L2S71lJDr1AU6wv3kMd1vxNuNn66fmgvbI+Zb0kO
jR7HuW5RELhz95nBipJWOGXUxwgpXYzCepVu6BVj5X59wPO7BjId1BMQXlQ4uAxO9we3QCibiv2h
xqR/nDwioF78L2fnseM20q7hKyLAHLYUFTo4jvOGsD0zzLGYr/481T8OYFGEiB4vbcAlVvzCG7gJ
7o+yceDlhqfWgCQT+jCrUcw2Q2V0apB9XvRkCoA0pnhZxU1GPczxsMRo9WNah5gv3h938+voflnE
JwaBoHv9ddhR2zgztVw0oSLlNJMqOUPSROjx/jhbe4QrljSSS+2W36n2tKGpd/aHThbeBIW4czEa
8SExHDP4D0PJ/82ghUP8t7rEshq17TFhhxiY8x2IkrTHYhh+m33p7mAEbpN4SXIgFYHtwEkjYL+e
PQUqjwunn8vCRc6tNUX1d1VSD8G4M3uoFsV+NjvzYzSM2q8UEZKvHi/KzsRuLSBBCmcCahT38+pr
J0yKOk/jpYjxRTigXLuchDvsqWRsPAyI2pICUXgCXWysjng9xkVFM3g44Fa18AyM4cOAHevRqFxE
+BpQz+grI7KFbu+5MWAlv35JaWQApfNgQBjrRN2oW2zf6TYgr49r0aRkTYAYJYUBe9pL1Lc2KiGt
1IMi9mB9r5dU4P+HNmQFcrVMkVNs5jQYLLALEzqzO2dveyholnyXvM9WSwfPOTUaFSXfiHTrlzqI
+rOUuX0A0hru7NSNodgd4GNpCaH4sKbloAlilsoCSjYkCwlMiLFHZXJGvxiFt7MhNy5oKp1AHfkm
+YivtsqIHqoW53jgYJE2nhK9G5IDhjSI+wu9gpWcmdPD/d1xW6Mlp0KSDCI+5Q5KSXL3/pGjtwUG
j6p8V0scv3K/yJfKet8r46gdKzE1v+3OTLrD7NDs8A0S+g9N4WhlEGOF/G7KQiM64jir9T93ftbW
pIMdotFHbqRpa6ZQinGNQkmB5x7a/kkZ7aw59R1Ong9cGvU/toVj22FO6aN/EfFov8GtPRl510qk
PzQTWxUzHXLjebJi52RMNCb/6kCf1TtBycbRlr0mSsm014lKVi+AhnwMDrBpf8AZdw7sEvfuCJbs
0Wuyd0kzFA88Vhp+WE1/ku3r158B6NnUxBwabTQt5W76Y+kqxyIvt9G3quMk8QfPUp6SSPul9hBX
7y/H1moYpDMSI2hJ5tb1SClqzEpDqsYOxGYGZorA6xUVY2uBk39/qI3HXKaMTCuwBSDpq6FQtItj
qCKElHEzP9VtNBPMtpjPoL0anRt9tg9a0+6xcOT/ugqcUUaDx8QyQjJa97acBIsmRIiGAzZvaHrq
U/4d28hyB2WysV0YxSFKAdpJR2R9vBNdSweTErWm9fiXLp3+FIvM+OmlqXNSUKs8OVVnBwluVqjI
C/Pj/al90VtbfyU8Kkn8gLUKV/d6GZMBDehixFCvG7zWvOhhiLYYqjXh7If0RMJD2PRpeMTRQzGP
YVx1UgbcEf+k5jT/m1u9+qMp4+Zc9UZywsM4fhgpk34WSpbYx4jqnjjhZKMrfpLHgirRyGV6xPLN
rsGuCi25uFY+5tgCKeUxR1q22vm+25yUQIJaNGViSNxUylbvT4Zad2cTH6HL6X1J6uHshTZublhp
+7GneKfMLTJ/nFEGxeqD5p688OD+fCsS+0PZRQ+m1X24P+XyAriacbmjbGgcssJzi4rBu77RnJ46
xJx36ZeM1OUTNkbTgxB4gTkdtrJKIsLPTpFbp/sj3zwlLyMbQLMltYNG1PVa11iYmriPdQD1PY8k
3RMnU6DbuYSzcxz6TOw8JDdXxMvZoRnBWHRS1+e2oH5Vx7PVHVT4D+dp0vEBNNGa6mB47MT7W0PR
gJadWpfge93BJMtNQeuHtNynrMWWbizPprlox4Kzt/Mgb60f1D+6wmSCPEOrE9OXuiWSYugIUlvY
h5nTmT9xjAu/dkMugpTWN8Y26fS2n5c98b/Noakvu8Q4yMmYqzKGAXwHRvPIAi52fEwb3ZT+FEjQ
T2P0jK9jdEDdHynpqY7O97fO1vyC3NV0IjmZAa+uqUwRMTrcHbW7eln8LtcXtPPwHkb0eA8cvbVL
dUBcaEMCUAGqfL1L0UO3Usubu4MeAaOlojgHk5csPj6MebAMtr6DntgcT4qWMprU7lo92JQkWWT6
AQcVubdjkZbZsTHNGs+QWDzbuNTsxI6b45EaMpc81VxJ199H6JVO45L0vFnZ+LHrGy8QmqgeUIPH
qguK4U5IcKtLxjEEFEJqRdtdKjldD6grVUNdvEDFugN7hrtWWjSnWBks7WD0jvWuSO2CnrPn9Dw9
nhK9q1SzG9+rcY/6upeCavFxCi1dDJx6l8YlNtBf+Uf9Lzxl8Dp//UZDG5QrAzqH5KFd/1iS0Elz
Yw5yxot/9CY3fRsm0icBSfdv94e6TTeZGGSUydRBW5Bxrk5yNCY0ZmuFFoqiKt84s/W3zFzMi9PP
2q+uxZQIK8U2eeIWsD+airv8o6lt7+6sz9bRIrtmN1CHAX5hXH8xoFwsWRBFP6h5uAS97qY/57LT
8d1y1fzL/U/e2nvgoYAJor8naZjXY8WRkWPIAX+5643+HU9R1/t4LGAqQ5KfYWpd7wGub6Io5pjL
Cj64QdmVeuf1iE2U1ZrTQqQlmVc+AWnD/DYOd4KozUFkuQwALaHaurTvIRO5jA6N7nxQps9Wpthv
cFnUL/cnb2uhJDPx/0dZbRdNa0WuulV3GHAcD2IEPg6xl2OyJ1L7eH+orXXihqCCRd+SzuXqpUaS
d3CKTkYtbjs/E0eoHyqC8G81UVzlKzO37s6rtvVxVAIkLoU7EFzg9ToNOshZBZ2Ag1ajGBBmjjgn
6M1dMCCLdo74y2O8joAkIB62hIoY6RomsThc5ZPBCxoPkxEfrU4YH3RKOfbJi5P2L2XEgAA9v2ZK
jqGJvd2ReCbCZKktu8+aMswOXirSrCOmlWxhcd1N5bHU9QEv67y2Dfg0ufY+xQWCMlyuZw/p2Cum
PxhF+vdoIp4H3zIU+s6SbU4gX0OSDsnkBrspWBO7stzu4DnSPpQq7qkzMhUTMSXbmcCt3UGpVkoF
IZxCEeJ6rRwXU+jSIoJEyns+tkNh/aIuhjmTbSkBGLG9lHbr0zi7Gg1tbg5SvuvxYnUxMEhcGE+n
plkqPSGcU6REWOF/2YZgA0ASIo2ObP9qKA25ZmqNdHadPEwOcTM2z+mMj4QQZbKTwG4EU9QSSB5R
cgEbvW6gD5ZiD+YM676H6fJPqFt55dfmPBxsVWkeUecqjmOtVsFo9c0eXnpjRknSgROjZw8nc62s
CFcowzsJwv2iYzpmN1Z3yZQFRqs2Zqf7V8nmULBYXQkNNVEZuF48B11MoykJLZIk+nfoKuOk1z0+
tGLck4qWa7M61oDoJLwXeinbchVIITfYLanKcxqVSnVMCxQrTKtWj6//HiRGaB/QRIbevNohXL2e
jqUDlW8Lbx7ci9vxW4Pr20ByWee//stgPJSIbko109XrNXtCtZSEWM1OlgTK5Sgec6TN306V0D7f
H0r+VzezBwhTyjOD0FtzAqcFj4A0p56ieQnuOnrlnRGC7k9ZNiJPCfqXijSWyvcH3bhJJEtXRh+U
IEicrjdHirIHvn8MCqQlfO5DTw16Y9RPc6hNhwGT6J00besjSdAkkv5/Wcz1eBhTzY6T8FCT/zao
evbjRzxczQvbCUKSOrfVQ6KM5esjbqJfWTSU0Hp6ktejLpMpLCpvXCrEg6ccWNkJccz5FFtJ60d9
/GpdCGR9aJjQe+Llpg642jUZGMsqkUV8qHnlEZyfeqmU8Tdkpb0+wsZ8Sm46SEOAG1QLV18mmwud
cBTBO+eaAWZH+ld8pnQ1qFQViyrwu0riT51u/ri/bzbuTkItKQiPThQN9dW+4TINm1ZGdVNrTIGb
YvSO91f1pirM5TCBjMOHyIrp2xTNTra2lc0QriNB9gIk4eOvF7PFb9lr+7472G1Xfew5MW/Ufhku
TaZFlxCHuweqrOM77Ceioyh4qpxULU5p31UgUdvuA0LLWL+atvK7ntUW58i06l5/qrig+JHw3+Xj
spqd2piMHqtRYilVG4+K1egPkWGEful184MdWer5/mrcQrNIluATc/FyjhG01K/nxGjdmJIzdQFN
oVZ/EEpFuJTpReJeMMNbPmpzKcxTj53pI+VZrG9HJRvSg1nP7b+DOxBJ3P9BG28Ov4czDsJbBgyr
NdIaJNJ0ld8TT3iv5fjf0uPSTFQ+AafeH2rjBpN4QhrlkALAAazmGvbPTKElpVqglm18XhpSS392
DFwBa6uI36aegRXk/TG3Th1vKZmG1NZCIGI13U6kFnplC3IaaySVWsTRwOcnqOpq+Sh0mMW9Yek7
H7o5KO+q7MnwlHurNNEt8mZuI9QMs0ikX/NwsA9K7TaPbl3Eh0iJcIVWsJa9/6VbCwmphG8lUeaZ
WD3pbhc3uMKiVlY4eAWbI9r0BiWfs94p8c4m3hqKWx5bEC4UIFqrq0xZnDy2GkQp08qgJYrj5Jtp
9v42PYy27n/U1pYhbpbWOxoVmDUoFFPBfGy1WcAOtOOLJcbyGeeXb4otosDrSBLuD7f5YRKpCHQS
DNYaEjB3IUkOCcdhHtBDUa2yOqSl0Qa6xt/9h6FoxcjRYFqtpWYLx+7hjsQE6hrbY8Jr80hq/HfV
2/V/2BgSgAnKC0QVz8/1EdDdcHDw3uMhJ0sDOuUl37GsZf7EkP11/6O2yjQAbyARACziYV03y70E
i+jc5bglg1Nym1AaTJDvw1xTS4IlG/vT3LlK4JhNTPmkEOeodcydZGFrz0h6J8wC2ssg+K6/t3Pb
hr4iT7rmltmhWcrip147rQ+5yg6a5vUC+tzoCOdz6JheiFWra21Us9BWS1YyDlFYMlN8AWxlKn3k
e8qdF3Vrf0p0GlRAg/rTunQOW2zUXLyOD2gxl0eKYn/XbtR8rAF97EziVtQgu6Lwt18kaFa3CcXF
djQQlDzY0uA28UTxPRzb6pkKSEEZKlmevKyMZEwR7ewhmRSsgmuSVwJcWkDspXVT1p4yx607Sjfx
UGhfyyqpgXa4085MykW5HYVeKI8wggZrrEM3AHqya6o2ujkqF6AAyffEKOtz7Y7T0RhhXpA56Re1
GFT6FH2yE5RtLqSE3v1veH1VOm0xE7QLj48sjNqmET5Z72dPQ4fJFMnl/pncPA4oPhkUcXT6SauV
LHqt1ZqI458UE3aDc6rhgKgMJkpa9AO0aVd4cXNAPo2w2ibWWWexSpr0C5+N7CpKiMDUZqyOY9WC
UERdG2uNPeLA5laVo4EqlLf26olPLfwx20EKhBZx/taLi/A8D2WGLWuRT9kxFKbyMV367uOiudXO
g/ECZFjvIyI5PJeo1gOGkgv9RxPf7qDo625EoZE+y4wXi4EK41Is2RfwD6r+QELqaNIzCJ2jtI9t
Xuc8w7A1hp3YdHVjH7q0UT3oDkAi/TDzROVPeBcj7dg4Oj7oOO9+xZ97bH0lHJDMvb85tvahTTVS
ohcho6+DhjG33CVpuVAGrTKPerRMKJwpZlwfvKhRxU7csLVSf462uinnKtXKVOembBUnOtkNau5D
mhbf2qRIHmHQRUyUox1UpUx3ZD229iSlAVwsyRgRrVu9gSNQODF6VCJwoFsOZGjFRZ0MRGzyuTp5
oo7f35/XreuF5dWgtZLNclVcb4toKdJiVmjfgplWngyzxcjGtOdZ9fMIKs+hMedsDHqtj7+krMHv
aTYxkb//G7YuUkkV4EoGRY8K8vVvwMsqVuysBYMzL8ZnnFu9z5Fb7IHGblEJPH+keBLTi9sBdpfX
w+gsZRoKiqlVhVwQCpF6+nfUjlBFFY6B4Yd2+KkoC6heSGYWQaLl8T9O6DYJbaO2V6geRjRUxmkq
3iglWkeBJmqcWUbFWHrfbYvlR93XXXHA8xUF5VQooeWnNqbhvq5oRf0Wu1YtOUQ5+rzB6HbNq2E6
7A26qdRBKCshGbS6P52mztoiZBonhFneDW7I2ajV7NR16s6bu3EYedrpFmNnSXF6XVBtlsZpspqK
S9ZYpl83lXUhzEL7CS3pnb2xdW/J+goRGnVpMr/V5kiKkYjGpSoAzTQtD05dz+FhifL6B+bwygfa
rKnjR2leeA/Qp1MDrTuz/1S5RvUWZRWb3WxFIw7SFrxrf+FReeNSKmv9VK17bJtFO34QM5OKxa/p
1Tuxszytq0tXxgdIm8tW3I2YJ6TfbBYp5eA8M5NjrczzJe/sn1qYeJ/TMI4SzjVM4Z27cit1R7WO
kp9s60tQyPVOr53cbpKYDLw1cvOtIkYroAmCgXxF7aQ/tLis4bI+DtnBzZrxOMyK59stAnOcdf3f
+4d7Y6+QXUp5Rapz/JGH/493B+w70lL4zx/gGhq/knjQj1ojVVTFMOO9fH+wjfl2AbiRrUhcMdfn
9WCuQiVCcwde2LApn92sMw6DGKIT6V8NiU0vfhgWBfL7g258IYNSCOdiIRxc91pbB+cNs11ocI1N
HlR9rz+YvaoePK37D/0gV9I3Xx5xKvyr72vUYdGF2wqEdobiiJ2sEQxYsx9Dg7rI/a/amkp5vF+U
1W6Br4vrTlaR07Yb9FQ5AYXJDwJC09mugQ/j5hY/OWbc7QS7W1Mpp5DUgVwauuP1+i2ja0e6NOFw
+0Y7mGnanUyp7tOhMHS5/32bQxH28YdngXfneqh8VBMLnyv8Pgo9Pkv/8XPn1WOAzvge6G8r2aTr
CncFqgwkhTUEPUnUCjAAZYgy4aRliG4caBLFR6QtisDOpR4EjurHNKmnAHXqyFfHTOxMrbb1wegh
SklVkEY3GoymU6v1EKL6v8yFaE4Vy/qJokX0eWlrp/MdGPyFX2e4Ol1cMcB7nNS6rv2i63L3YC9O
9ORoEw1BKoD2w1i2lofQwDR/vr8sG/EPmjiEpy8tfoSJr5dliJsqpzbQHtx4Kmn6xMvR6I3PotXy
x9Czop0q/sakwKBD9ot6H8HBGnBaqTM4FptaFICd/F3dhBUMzDB6rutF3XvJ5OZdPQaSModcLwJD
pDmroJKobwiNiZJD3UyhfTRmpw/01jSGgzU05WUqm2pEXiAcz5oxK2do71Hh24qlnF49xdJ2hmAB
RgRqGatDVttx5yQTeZY6zHGgjTUoaz2Zj5bXt09V2URf7o+3OcdA6CQ9B/3sNSKmVkkbpoUM3fB6
G5QZMTuFj+5xoD7w6sCEDMczuLdQbOD+WEXP1TRremcbLTqjuXfBHy3HriRWT0XT7eEeb79KDsUg
tNcgPdirjSqKekLszG4PvVpOJwvmsK8OYX/Kw12e2O2ZoAIPSITWJC8p6LXrMxF7dHYVXWkPamHa
RxVD9AdiZuwP4bgf9Dnck1h7KYte71QmkIyA1pXUwlonBXFpOhVtNL6NGj+mq4NrVadBaU3LHzgj
7+Z6blTfxpMJMW+rM5/QMfDKI+IskfDjaCSHMMYoH/zQKYvsWBe28ZgW4fB36hb6KQyTLgvaadKe
mbsxC2rdiN9HEWr1x/s7b+PilVZEUj6QlIqbXi7iH8FHWCmzrWbMXGaa4z+U9YuHyhHZQ1nAR0Pq
ueuOCHh6Z7QK1AfPDdWvVm21e9iUra0CXeyFB81WWTPL46rqRJEnmG7rcfKeXZK8TS0j952xTve+
WFa0V0tHy4IGIc5IUvNc7qU/vthrY8NQ5IWW2bP1ppxGygtGlyqXOo99N09PsW2Oz5YtqmOUeMMJ
ybyTZpV7mrC30YOU3CSBBX/+opR6/TPM2QjdvuN1NSITjWvd6c9TjqfF2Aqi97xLLpmZ7lX7N84J
gSbYbAqBUghitdo1ydGUC6s9eK0LGcip5ufQSMTb0csQV0KRMN9TiLmtEyA2AdoSZq30Vl/HK6Oj
llU4IUve5ApYgUadD/mot0e6hfjb4QMc2MmoBs6gN5/ub20ZNq/XmdYJOuy0UCTU/3qCKQtO9VhT
iJtjHFHrskrfuHgj7wRJG0h3PhCqlRRclLXc1ZQ2vciWcPK4eswGtYnQnqsHV8yzrBkTImhzPutH
RTpqRzPl1zRR0k9jkWiB6mXxh84d8urUhnF8WmLDfbg/BRvHijcM6DDOoHIZVu+pIpIs1ZOMgCat
9E8meNejEwGACbSQet/O6721oem9SqIIdib2GlzTUDmnYsZgiooQGz4m5iHuXOdd52XhoVF4tC0q
ZTuDbm3oPwddZfRWUy2FrcZ04vvMpj+BDKKnEC+Ydqi/G2gB7URDt9uZIyuZkgClyFrXeb2qjik6
KkOL8Z43P4A7a/0mbJVj1WaL3zvTeKSAaZ4jddlTcLn5UvoRUHEoAlEXJSJffWmdOLNN7x9ejILb
z8U026iAZtu62CeFy1xfUBOL9mwpbjYQ2ShhEKkbvEmQYavuYLjEaT5HsIZ7+NbFWe8N8Wy1IUJ3
thbu3Yibg0GHkXof1GFfwvM/LuZZZB3KOxUQI3DvT1muW8GgZE7gNaXz6f7BeElzry4HRH6oNtBI
o0yj3chkzZhfFqU6D0GCA+ao+VNYer0/L6XqnJZm0JbjyBtc8d3F/IvuiSVOVp6ama83nZocx0aF
dtipaR+eMrUUb/EI7eYzDh1adBqBtvy9xEn/o1edEth+2iMixK1nLx8ULVJCIJXR4B7tOpq6Rw5o
9QZlnig/JDwVO/v1ZtfwnZQMmc+XhGHdnCghbOWO1Y+BF071X2o1PkajUj+nfe485qa1JwN7s4Rc
txKgIqtrFp1Q+e9/LGHWw6aMARMGbaEvv61OnR8r1IC+m+g+73zZ1lBopyDtQcpIS3k1VGTVeaOU
vRnofVl/MAqteOro8l6w3Ih+3t8tNzcbX0UXmfIFKF2g8Kvoshcx1ok9Q9V9Pz0h+ugGWrfEj2mO
XQTleP2ZFqW5k41urBwoFrRhmEkALWsCqrHorRNWoREUpV1+SJwExeUSlcB2xJ216/YIAFvf+Odw
q5Negq+ToghGsBR4qVw6N1InX12ihmKvQEttABg4+cJ8PbCQyQXmRpWL1xN4snG9ZZLJ1UOzR3F8
nCf1e4aG8LdGjZrPeVYsO5X8m8ubsAcJGkonvG54TK2+UWhOmEcSh9PMi3oUSaOept74dzHj5FRM
io5Wi1P82wjk8l+9gRjYwUiQxSRjWG0gC8tiyNBCC7LOaY7LqCuf8PD6Fzvj4e3U4fJnz1p5vD/m
xv6Bj8W5kB6x3HGrjx3d2qHuy5hDCE7pUIq8e1NgSYcMi262QYlZ5un+iBsn8qUGTdWN2gnd5uuV
FE0Xe/1SA3PqIvO7pnbi7Wym3q8Sd4mdLHZjtyIU8LKaXOLA9a+HUnLcyQvhEjdWnVoXftfSLvjg
dKWDKH+n6we9dd33Y41j9eu/kdwBxD55OhmEnPU/LrikQZHYQOUwSDVjWY4DGsVfiWxbx8+9ot2B
bW5NKJv1hZTFt67dhFtH77KE5kJgjcv0BfULITCdd82T7Sbzzou4NaM0D2mNSKzMDaQRXDQc09nS
AscLW+Hj0DE89d7S4gIF5uyI9wI11DHvd5p5N801jiTBInguWtqMu4pquFWXtGlNHWXMWhkeZjpI
FyeMcDZu5gi7Mihv5seCaPVTMVj9v6VAMPn+im5dCsB/pZsrTRR+yPWKkmU61igaA2n0Vht9e9G8
/mxWufUzz1qVEG+sjjH0sEDMkdjTt9n6fEI6XLco+sg5uB7c0Kd+quzRCKwwLvMjALqo8dNQb/7K
PCwdzSrMnuBD2wGCFgNQFPPVSDPmH0YDzSMaR/IZvf4BGRYwLU5/Bs6CRhkMbqf6Se2ZF6VeXl0O
YigpISBFg5BpWccGsZalseMx0cUYR0Eeu/25QG7/oQAXv3NKtzYzQ4DYA3SC6OHqTdGjUosKJzXA
4yKtSIMjawOMec1f1FIq29cJt54Gpdt1Gb29c5HY4figfA25G5bD9WxGVlWH6BYvXEvj8L6nJHYE
sVB4Pn87/axRFN5Jf24/1IWtQbzsQKfD8mk1oBdlrS0GsQS5pqffmkZ/QjZG0fxMnS0CB4vsxJqn
ncv3tnnmkgoY4PLBfUrdutWRmXQ1TwdE3IKkimBqTMOkPY2mFf4czdz6Kw/n+LmLRO0c5rq0L0D7
Rnhh7gCUw1P/vn96b69I8IREDZL7w3KvCbKDPefumCkoU0Pm/qQ6U/yrVBvzTV025df7Q92eVYJA
yMfyRSUZWkcPuhENRtqmcAWrjMZEoXvH2CtVanfC+pS4sAcYk3cgSZWnuq7CnT29sbeIQaUmCWgm
86Y2Hs1OaSPXvPC6tkl5wAJej/wUi53sYExWePa8vNrh923sLgn6AeIuSTNEaNfb2U1Ne4CNMAea
h0fwkNstnQbFOya5s/zSEhTyM935cH+Wb69jqJhwJekGk7eQbF+PqRgxEK0G8nErkuRzXujvRehW
H7kOlYuGEIXfUt4KwAbs8XW3dpLEBXBdkNtTsr4eOCryrPTiTA3yVpvO3aRHT0qO0WzWZdHOu/5y
/1xnnwB7uZxchBHYSWvsHwy5Nh+taQkMGPq4O6LJSJ8ZCQJJbX8rimn06U87QaqP04OjRfPHhBLu
p7YYo0ely7M3euNEl/sTv7W/gFoCegSPSACwOtRiKtIKKeMlSBacb/3Y7pzKN0vCaQy9rfKh9Kwk
e/XbK7XIgY/z8GMqvgbQp1UWZZKVHYi6Hp+9RdO/ZEOUUz8zir/Lds6esJZyAi2jIPsfvpbXCBQ5
mTH03+vV1irUQZDYUAO4993bSWjVAcMQ5SsU0O6xjaNw5/LY2l1cHxwnC09IuFrX4xUgF0cYOLwM
UdGfpoknDyZ+f64mt9p5E+RCrTYX1xSzKZtXsJtXIVVVGEmF7O4UFNnUfUA732QZu/Hz/QncOKcU
amQ2hWQykfDquDRqks2uSOcgroupQQDBcB6aUjUAk9TpRdVih1VNOiRqKYErO/tm42IiUiMDIDom
qVrXwlAabwaBkHKwREvtL2XTPFj1qL/tm7h6Qsm99ydtqo73v3jjgBBO8KxLzyxevdUSWkioWUlS
zkFUCDMoTTN+TPTEOqmD9RleoX6+P9zWJUEflJoDFTGKcOrqbR/BZ9XLgNG9N6vOAQkB54jGC4Y6
o2V/QKew+qGZSDnPCn83qU3UHNtWtc+JHmafEhRAUCJ3s3jnFbrtkWP+xDUBOJNiJKLEq91FFIen
huiQWKoc/X3mKcuDM/TNX5ivlb+itgyPKlqnz9nYxt9q2Iq/Uwks9aESVyd9BOJDm3x+7riBLmqG
OODOpMlFWG9+al3yTmVjUlO4PmezMteoBg8T9NFKNIFRj2MeJHanfxeqoTgnRwEi+WirUfR7LKIm
OuCkoT6LyM72xJJvGVPMFHUjZJp4yqSX1fVPKVIky2lsIY0/iFj4BVHnCfFV8SRdX0gdk9J4nNV8
vtjlPJ6Lyit/t3jTVkdjCvND4yjlG/wZzXPi1MVzBhbpK7rEirWzqzeiGi5AwiepPCYj8+tfmQyN
k5azOgVpWE013EczedLnqnjihfR+VKaKImCVlh1TWaLWo3Zz+OX+mm0cZmBySNdLQQiJMLj+BVbj
5GpUY2YSJVwdj1Ec5o/NEA+f7dzFUmDoOjEcQ2dxX/8EUAJmSGitUo5v9QSkXaMPuMdMQY37V35q
WxB7/8StoVSnUseK55JUTqE/vPpjIRcA+oet7lLGXx0feuBmWcqG16Qmbf0jUub4kuLF0ZzdLK8S
PwKDpj5qhf7qvj/TC86Nd4FnFkGI1cHABs+cQHZRDmqzugnmtI1D1CfUMfTjNDSqvXti4yBKITYS
IUxjiHP061XN0lyHjZZpgVkhsAJoY8yebbOvn7xh/mVANTilav9ejyLnwQwrfBsLtf/r/lzLA3Z9
F1CUgEPM6w47GgnL659gGumCBpYnAvzO9K8Uhyy83K1K+SDKZdip1t720QFdU8SU+vNQXXkergeL
kUwZ1IVzsuijqJ4K7qYyMPLY+W72QCjfFMs8uyfPbGfQ+tZoegcRCsV8mrqi2rPruY0AwEfBRALI
S0BLv+j6t8DkX7xQ2H3gpD2NSNFoMPTo5+8c3NsH8XoY+e9/1MK6scbZ2DV6sDGuG2Gs4vZPokaL
rplagZLaYJ7uL+jWgJxV6kUo6lC3WO2pLrV7ayqyIVDtvLq4leY8KMWMhbdWxH6I69Pl/nhb84hp
q1xOyghw5K4/0C0HDYccMQTG0EZvqkWUn3Rr2n3o5UWz2qca8tj0Z6mKsF6reaQq02PB0A9BY7bF
v2mN1buHpcD7ofCQaW8Kd35a4t7wMycNPzSZYryp6qgIun5039//YHki1r/ERGDL4o4gnlmTASMU
dHW0yoYgbGx8ELM6Vb6mhe48RpqGdY5Y2pQgTw//IV7P9mphG6EFlTAKNsi00z+6Kc83iqEYEUKb
aLwkuGpVwgufnFFkT6Xa2Q1CCkqrHOZO177FVZwfQrPuv3RN/7uIO+OTSJb8mNXxdKi0wXmmZ9N9
vD85ty+l/HnSZFY2RO01y68CRZDrKMTgfdLXVJhRRP2o2FV8npXaMHzYOg6gqmHM/CI1ELnkvtgJ
Cbf2I080UDwuGZKX1UsZuqUZth6/YLSi3vHjsAD4mbpipya7dczQCsAXFjgIQMjV9ZF17jzodTQE
iqIOn5tKzfTjjNTafPaWpTkN8IJ3XsXND6OSZb8Y+CIYcH3Q0kSYo5OBKi0VUf02+qJ663rz62v3
ROiSwg5IwwGzsTrO9aCU8Bq4r8q8U4+dEjoBgnJq0FTAn+7vlY2nR4q+M3cSenLTrA95xT03Br2o
DG56rsbRC2wUQo9h5NU7YczmUHKdZAmZQVebokf4Lk/ADQYg9AGiQdE/6rGegg6N90okWxsDZhT7
Ar1XKkLrCey61q0t7l+T0/UusXPz0um9Cge8Mv7C4/7VHV4pWc6rCjsPrMX6GaPbUNa94uJKgcP0
IayK9txOTRRo7RCe7q/XxsX3ohgBIkoiZdZ1eAyzDERq7SHoUPkhIFk8qaaSYjY0iIseeYTvijkd
KR+HO2f6Fj/EgPKZBvop60H2KkqJdfyw6Mr0ganE4nOZzU4S6AaMDS2heHJpak/7PsW1KnzVWhYk
WEfKm2ImQvXj3CjxNO3U/ofsARqXSJqlBPenZmN/0bqk5igdHCTx/vpsVrNbC3pbY4ATng3RP/9e
l8ZyWSJ7537duASuBlpdOyIkrx5j3PcW2vhTsIRVjDxeZ4md6tttvkFyCE6JVx3vMtoE1x/Uq12D
MBW7WF8WdKKGoSUn1ZRjayqt76ql+lZpY2tn0K3HDZaJTaWeTAc/9tUjr1OmBzzTDEGf2nF1WJS5
+4Dkf0Phbyz1X0pdqCWjd0aQznUy+gnqAB9Ko64/1s0MyoiLo88IcsLoKSUhPHNipq/3V3prYuCg
yFYYsFZzDaLNai2zzRoIYqop9qfcAsWFbYCCnqxHvSOFcTrxLvr3B93aXrC7pZevlBdZF8bUXuRK
6oRD4LKZL2lc/QD8SYFgivZY+ltnXOLzLMnH4l5e7a8wFYsAWUR44UXld7savmVtXZ2RxSmflW4I
H6iwYJ/bmHtGthv9EsJVDiAOeZA2cAW53nHwkMNOs+WDivi7CArRVm+T2Yk8f65m6wyrPj8UpGL4
FWv1eEFrZQxGga4Gtkfunun1xiUukyI6JqCWyULkLvgjak9Qq4iGXGOVC5E/DKmgIBGrXzunnR/t
qdnjiW5ETQxH+vU/9sCauajQRBhSgKWBrsXDxyaGOYgTUG0drbGZcBCOp+QpKnvrrauY1TvFxaLo
9RtMFmJoL9O3ITa5/l6dYwep2OsCxdHe5kpmfJmjsaYvN07n/zASjVQ62dIdZQ2Wy4o6pnfMSISi
0xF55+Wi2G11yiynf32gDv2Vjj/YNSLSdRkhLZc5K/6PsjNbjttI2/StdPgcPUBin/i7DwBUsbhI
pChRpHSCoGQKO5BIJNarnwd2z7RFMsSxDxyWKRYKQOaX3/IumrVR+GIuDkPgIndOSzLC6nY4AWnT
T/hVmUaMj6f4+2GCYTFKYIyFgAU+N4MVIuuqJuPaY2t4x9HQ4YS77jq/C/i/fey0pb5YvD44/Prp
vrKQAM8wdSRa7BX9s/eISAl2M0LppMsKrz1VJrzq0jGo6YvUWG4X3577s0kY9scVs9MKcQznrQrl
lQgCGoNWrLdPxeA1/LyUvNnFk9pIh4RlWh3Dtf7owxc6zJsYj6YM5XnQOXkycFr//ZUFOmH3QCSs
w3DYmy1/2bNp4atw1jVruCyCr8o0nDNQxZIpUTu+cQqLV2/SAzi0bxmg08/ykdbcgnQzd9uzxXe/
qU7nF4yGxJma6ul802Oe5JmXx75VtJ9HXXseOlSAJTbTWbFiR6Aki9C/ms+nZbETXIprhJHX1gd2
VNrDQy/t/AxAp3c9ozxhJ5i8TV/hbIQzz3ObL8a66LEUwistoknUxlXp9ad8xS7j16vp1bvc6Y/0
4eA2PcdFBkE+d+Ew60S5RvfJWOaL2m+8NVYssYjh9mrEM7D1d7Q/+zeKnX2VPCuyQQ9R6hCU8LZ8
vpBFWwS58gedaJEGXwicH3u7gxUCs7tM3Fzc/fpOX0mr6EgxZqONAW/3ubfd2JdBTuKoEw9qfB1D
ZxxF1LTLt19fZj/DXtwVSToysLsWxvNBvN8P6dTmhk7MflzQQKiaIotcOawXMrDe0nF8LRYAad0P
sQDumdh//pf9oI2uxCtjo5IznPVOBY5qP2w6Tc0YqUD7HaOTeo0mWgl2vFJNH+bK7d4oTl66deCH
wfAQMWnEOcmLn+0TAzHlabKtHua/2y8x9PhUlFEoh/TK21o7i1GNUp+F3TnNOz+HAyBrjVNWL7T1
fdKuf9WVzfzGqt7P7mcvgaSWyQyZOljD5wEKpZe6r22lULb256tdtwDNVVcfm6xdD4UaUDcOJxTR
fv3qX7kqVOIdQxSSVjEa+vlt5KJC3L8y+mSSg3e/W67ZUV5V6ycL20FIHr4ML6t87L7//csi+LqL
eTKufqHcqAI1gRvNuWwZmLB5sJO+qjpmKXFoZg1siwqsBCfVG9v3tbsF9MJAh7425NhnyZxtFlbu
pZtMptYN791eLFQOTlriG6syeTR1Ox69JXvTHeaVsAHsgwx5n3jCp3lWtpitpaoAUfFEVuytd7Y1
tD3iumH9baWnfVuGyq6i2h7r07g6rYelQgXXGrvHXoA0z7cL4nrJLH1DljSy8bVVUaUnz4m2zsie
fv1qXgkGfxSL+wiaV/M8E7LcKp9lOEtK9VaYU+TUYbHewDoMN/ia6Yg6yN+/IGGcid+O4KCR9PMS
BEcmaXLXMjF9CdaeLLq+VLUsLhqtsrf6SK+sADYXjYl9CbDkn62AcQmGIOe4T9K0dO8H5d11cmve
BUWTJUs/yWPRZ29lAK+8fYxYyPT+6Eaz4H++wZWZoVPhJJGsnZECEawHP65Cs86iwuvn+z6c32pL
vxJjd5s4uFvUCXvt//MVm8x0Nq0bReMqnyv4C+WmTzmWBxBGizDMo80y8nc+5LXmYt56x8DnVwnx
+LdfLNraUGIZOe859bNnXTANSBvV94nVAPBdfWVHRuYTx3KxTG9Ez9eesc9sm+r8jxTv2SIKazoA
bOc+yUs13WZWvd5V5tQgRh8EZ+0m8zc6d6+sI2S/sKFzidiwzsXPT9h36G2ABKEgrK3+gyenxYBR
XuZLFHi6vO5lSoYXTNNbEhCvZARw4oBtAKGArvV84IoWfemKgVFVAQbmkHuFSKyAuvhvvzkIsrSr
mSXY2JA96+kWZlj4YSWHBKnQLu6Us16Ug1+i3V71f/9BMoliaEBOtV/zWTqwdatuJnvUSdi6fR9l
FciqqsuCW57AE5we/wjDIDv8+v5eWS2hsxNnvV3a9gVguii7qWuwtU9sr2jfIRCyXGyO18bNuorj
jLjGGy3lV1ZLCJeEBOvP8/3Z8wyqCpvnnut5o85/tGYDUleDFpCmvb7vS7P60HZCPfz9m2TOQKG3
5xP0zH9eomPdKjVanU76xfH1gSO23E487fDSLObss26EeKth8FKEiLEDZFF375Tt4qLPbtSq3KKe
1omOgailEc3+Oq/HmQ54U0YF2lZl0g+mfWcV/ladWxPt1WO29vosm0xSTqc3UzsKnc4V3xq3beqb
qmcbnIf5YFnI7Kmy+bCxKefIXez0Jhva7PdcSx1GpRF2V9O0Bfd1FzRw6wZ78Y8MkOu3JBVevEq2
A8c4oB4g30ySnoVW6rdlRAOZOwSH8qHknEoWW6EnJZ3tVLrTdx7B3a9f5MtLIotMb4IND1/9hR5R
voFDrNrOTfoSX8VLPO0wZnMn6tWIRoHajkZFrnMxAq15Kz18EW6YaDJwoX7lGGF69iyED6UZYPSU
uclQdjAlMxUsSZHy7t/YkPvn/JT87tchmlIUMP3GdvjntToEwAhEX7ko1M3zGq1qUXG34PDiAYjL
30g4Xux+LgbvBHQgxxKZ77OL4ZvV7t5cLhDN1v5QDb17pZSNW1+eHrpm5DD89ft75Xp7vgkUl6oR
/YZn57/wG2WIYn+IZiogaW+5u77fhm3eANGzhj+GdguD+9cXfWXRMCcj2SQDAGT3vJxQvTTDNVNu
si2bvM9Wa4kk0wdmsL2IB6WrS4mN1hsXfeU1kuMwB6b9QHP+eSrX2UE+DkXpJUPeG3dTBmjsVLaG
iy+RzNTx13f4SrBhLEa0oXohpWPs/GzRiLE2ZR3aCbDgWkaDzp2rvgZMGJF2lB/MoM+AFohMUJ/3
QkkK9NK4tnCcuC2csvkh+iYM8b9YGzuBqoKXgGcO03ImCszQY2AuxsmZCi0jPNqWi7GEtRQJbYJa
9FPdlZFpILQW8+rKr15XrV9+fXsvO8+MOMxd15fG2Q7zelakOrlLxhbuRUNWmFeA9cUchagW7che
VapoXoLRPVDbycvRVW4f+6uryshYCh8xks72m9Ovv9HL9tL+jaBOM2GgTUAH5OcHjpVejp+I0yUh
SLMZmUJZDUf8BDfjEFqrYMSxbRQl7QAUIZpUXz9hZF5tsc66soDHbqIOo7w+V5EJCr1FYiNrOhao
6ZjHAiJAFRdDWd60vVnje2d76xf63a5EjRC/1Z2mHX5ahV+IXW8sp2CyPH1ebHNYRFvhWnBs8kp+
//U9v1zRPtrgBAoU5+gbPu9WrHUP8WltZQL9DoHQTtQn1WgADhu+Br++1MswARGIAQ61ELP7F6TR
XsHMwMQazfVAjV/yyfHgUXlW7GF6m0cm1eAbu/XVFcZciyJhzxBs8awsVQhmNjsYNRG6nA8c7FXs
1Ko6YNgDqXJqId70gQnGbHMPG4iNU4vJIRYyXfEnAut/fV/+d/bU3fwZ6Yd//w9//t6hkF5kuX72
x39fy6f2o1ZPT/rdo/yf/Vf/31/9989/5Df/88nJo3786Q+HVhd6/TA+qfX2aUBn+49r8h32v/n/
+8N/PP3xKZ9W+fSv3753Y6v3T8uKrv3tPz86//1fv2EU8Jf3u3/+f374/rHh9+4q9Vi0Ty9+4+lx
0P/6zTH/+edhsDfdKEZ3F4n5af+JEP8ETARCZZdu3pV/xW//aDul83/95op/8hMwecjl8EMo8L/9
Y+jIGPk855+g8HcuLpgFThg+7//e+U9P/79v4x/t2Nx0MOQHfvun05gOBfENJZ4dX4mYFuCpn/d5
k9N4FKOak7IS4UXml84FCupvdeRfvcoeS4Cgg8t53noCUR80oOrnxGBoaERmWekTiLr1218e+39u
7q83s4fJ/6YW+80gXwI8i0wY3ucLgW/tssRtj8mo53dj1OfmzhYgtIfKLy7w4x3ujHbY0PixyrfO
4GeD4z+vDXYINNaO54Nc9uxBpj32V3U3Mfdgsvmt7jtkXiPd00SOmCeCJMaqSS5nJU46S0LAJS23
lPWlFU2fJnkz6CLCOgg1/szwRXZolNm178nVcsyMf/2YXr4NCiKqMC4CMpzE4eev6lCrVh6c5sTK
bX07BEWJeL2j++Xw6+v8nJfsjwTKyB50eOPQHF7Ypwz4Ic3etiRQYTRyStAo3Wuhm54ZVDd7CiWb
cdrKBwa9hX5rYP3iJmH3wcrfPdXgi7Igfr7JUevS6u0ySPzB8JItX/1Lu9dvJSY/nxncItkWWckO
B2RPhs+zIAhQZZpZPTxjvxy+TF5Ar8+15We32B5+/TB/PjL+uBJyG7Tpdn1GeKjPXpq7hhJ2CiTj
orcQYm09NFn7CWxUsMtJ13TO17+7TAhVrGWaOmCWqPL21/uX7n2BksIoPNiZ7uoEp9yb5njxOuNv
NQX+uC+uQvsKwhxQvOccEbd1HbrPXMU2ZXpbell1rP3CTMqlsM+F2X+2u7V+Yyz7YmH+cWf/vebz
oFe0zupsXFMEPVqvDcaCVtV/R93Lu9cBArpB5vtvHPkvr0lI4rqkFkADyWJ/fpp+tig9lJPgmkZ6
MdGlu4GavlxUBnSuyC3nSkcTQhXpG5vw5bph1PNHXYBcItpdz+41a2dm+70WtAb6+nZyVf5Yb6mH
7U3jj9HkNdUbbMQXW4IIyD9AZbF6Ip3iUPvrsumYLQ5177pobwTy2qLjK5PRxEUz6XHCOf/1rqA6
fhb0mS5B2OJCdHkYpZC8/Xw9q+vlCiVgSgYvraezcdjK9gJErN7uS61qFDG5yfSYNZtozwST0DoS
6Yp3Zw3H8ORaqrcel3qhvKIjhWTQxSDrILtYlb8aR0jCvR939op4wbLINo8U8jLdwVIuwoft1LXT
GWENQvrqD4t9Gke/s+JJFbMfiWAsVNyotZHXamg253KdMIKnC4uy2X2wLbSJNXIyw2afh3UeWgfU
UVLOrTbbBBCbcNHfnKJf6mgN1rm7mjuv906TOYbWRemlxncLoqGZgLeVD12LGvW5V06bjkIc3LED
nMapjSleOsQnzQ7FgHWqWO2TCicUo9W6UTpJDZKmBrH0rjRDvGigSmfiLDPc8mamVz1FG9Cs6cao
5tw+9sKXD3KtDONYbqUrjwvKz8GV41PxRrUyAxlbysyvqY7BuHmZOXxOYZj7MYPFSuWR38o1+050
dBbnIKnV1jxO06Hn0UIKq+YhUpvv3GlzATMnu3XjEeq23KJOp0IcYHSLLN5I4T6vS9NmZ2FdCRSB
MDXsokz4tbrcGJOf4OoDhnIqBK+jzXbSD6HUs3lmrlb4NQ18PcqoW6feuzTnWfmKoccSWB9njgvr
g9O75YA80NoIIHSOpr40tq7LDkZY6fm0bOEmjvkyTcbVnC8eFZjRTOKT3zWYT3RbZg/0hINsPmBv
5BkHcPf0AJAB96obwSBoO5967TSxZdb8d6o8p0zGOfOXQ1C21n1ZGkHFKKhyL4eB955H9mbI4Sot
i/BTturOQh46HW0aUFP/OUiVIGEnvw1jWmRO9R5ajlyP9LLTcxqpmpWQ5zU6vlp6HxXaZUuU2lXf
XRLXSTYaGWZr0jJtbGJPte6jagcSpj7YLb8racsA4zjtPKVtXqy0S7dpN8etmwLdVLOnBV4u/edJ
28YnIfqlOqLW186U2Kklo7WaLCOasnLrogaf8zLel80PVn5XxF4HxDeyhzT9XI1TLyNEe5SOhLcU
MtmkYFsUaVZcdJs75/EyafmhHa2sPRhjnfaAs2iGsK3C0T7z2y677+h+8iGVkZdRNgg8gIxx7b/B
A7fC93v/t4TU5a1+vATVmkflODVM0zbsMeN5Tq3fQ2NUTezIYGU8PKK9GHMd/d1FGgnUn19zGIFC
YjOMhlo7ZBHsooTe7FTrqQBJ5Bxx/zUwbLcDGcZ0obbxWpJYzYnPpMs5mNSx8lNjzFl2yyFYFsfR
mxDS5nzr369pSMFnFbr5Mmaz+WBMfXm9W/M4Z2OxuDUvfKiKc+rFGWf50BDBHeqQ5gVb1/yi52nN
Dkoa4mM7ZFv4tRJrkB373HGNHIyHpcKvdpY3+Y1NO8oto8lqNz6nMauhmSI0EPr8rJ+cRketOat7
y2nUcGP7oxoui9oaP2IS5ubnZqdEPUejxlcCh56KQ/kYrLXIzm1Rm0tctWNeXjE2r6ujEkh23eB9
4Q+3s98Jp4/RXjOmU7P1dhG5bVGp30tYTssnoy/KFmXTGUGN2Rmc4CnztiI91uSmZSzGNDejkXZ9
HhvzvBkYHxX+dNO5lXW1qsapj4vX6iVWMHXPtsI3vxZA09p4tbyK7+wO1YfAmIVCQ09WtyTR5ud8
c3Rz6AOJiDiNujIx5xqHKHA8X7rGWp52e6Af7a7xeeaqPr+WS1DIm8Zs+m+l0cqvbmfPH0Ql8blx
sj64M0ftfjaVdq3Ix/Tq4IfERUzG/OC2rEPjdxl228Mw2x3jQErE8iCZJPkX6Cz2ZxbBc0oo1VfW
kuk2KL/bWXlq1rJoTras5Xuj9QHmbCVe4hB45+mo1gGWoqjy0I+QrR54hIsIaoyQU3lVhbn6hH43
EWvqiYy0jzbnkJn57EWG6zafZ3MmrNa+3tIz5gH+kASdi/AEAI3xib7KYMUiVMbnDMGCG0xMDTsS
dN2yZFC2eFqq0m2Pou9slNBWMZ2CLB+zaMw6dnuqg/rUVUWqzocRUfi5Cgz61fkyPgwWDrNRw9RR
J7JcsX135PahHuCIxGOe+UGUuV5uRDKzzQ07+rSwIqutBZOotuyemtotH+0K+YSIGy6HpM8l37x2
nXqOYYsp86w2R0hqnVEGH2yr7tWn2dRhFlujPT3ur/Z7TZ5CgqVnFPRtY+8gWUhZFmerizfe7JtL
gHoN/E2aILY+dOWQ3ZhOw+ED3zJ/WF3uPwmCcmgPnMJmHotF9SLJK2XPcZa21c1mbL1KNGTb4DQ1
BkE5DZ2eE9yXa5norTC+wbedZTwbXQixL59z71AxKv6qhZ+G79eF0RukIs6QT0jdOQYUral+184j
k5C8DeShNUs7PfmYvD7ltSdLTGb9IYvt1pXfvRad7SONScRfB57ojzIolZGkKwr4RNbW4Y3aajpg
iJulSJd2fJ4U63UaoGxw1vvh5kXhuuZu1DVefS8WWB7HFoHqCbGbuauwNW+LDXN0Uuao3Cw3P1ru
LJvYsOa0jPywK24WBVwspn1vPQ6ZWavIMgtkydyq8uZIbEbwWNdt+tCZOhBRNXdCwgpa7LtttoyV
N2s5dMr12D0aRuvVCSxFFPwWJfCk0AUKD0j6D8vXQNRpdlRhoW6z0t/yhNpFjggyhN181s4B7mvI
fPsQeV0BsLOi7XY0BoHNMTukv/AQK8AOGPgBXVVSnm8FQfE24HBukwbCzhZNwewNR9VW0IA12Zc+
6A3EZmRBD1ZRESjfPg4OsgvniNL4TTwGlfOlRqTfTqoRcdFoyEQ5HoZ0pde8+4ZzgMvR3FAkF8Np
qbT6tAZ5aZ6nbY1P+kLDAJX0YpPm+znrWyMpZMVbrbTOb33yUtyK00pW8SIUwFxMHuTBViBnjxt8
h29lMEGGxkoTJxzDKz2MD3QIvjQtPOi4Tr6FzMaacSKtUlX2vkSDdT5payzrZNj9aSPafNZ50Ur8
MLlwjp9w2i5f6tzxuihvmnw6zZ6vb9MMWYILB8AlJ9Ds5J8l+ipbFCyOTCND5DYT8LF1zszZy7yT
j420PthlTwJcWENxP2/p9KjEXAaHFqqEn9Bn93+k2N960WAjqBpPhOkfE8q9H716DC/MWXplsgxS
fZ5ss/qsRWZLoknKes63xkLcfnDNuAtBHHD7nidjZ1zV57lvR854xj3fli7vPrbFNN0NCpkB8nEp
T0iQcdNKFq4XV26gqgh/7LBMVjBjqOk52LwuFRJ+7QLYOu5tmWtIfVZ/P1STFIwhzfaiM7zNS/LR
MvemjvQ/G7Shp8hes0AdamvDUU40E9+Iao/c1KW9YcbeIHp5cGhyA+taQ6tLkIiZxyhDYPNS0Gzu
UfGw7HcbrPEuob+l/GhbLHeNJ59SOFKkcSlKX+Ywx4E7yfBiTZm7HqzU8z62Pkr2Z8x32ncugNAH
0EV9ebAXrD0jcwhJ6ERROvgSbv187uu8vU/XlLFXw1D8Pa+zp3tfBnS5hZ+LD54e1q/51qo2aae6
+ain0vwoxNrecQLtuuezTp+mYuk1DOh1vEGtEqRQH1Q7469Zg/dBqocF1eIl+xxuPRjRrK+7MCbF
Xr5PedO+d+xlrzl4sVPkbsUwHIBT5CTA2eKO5Ip5QNTSZnsug0JTALio+0fSM+yeCmsR94Yzuj30
YNWhBr2VPPyp7Npzt/TYOikJ64eNCIls+jh15THELPjj6owcIjXzhWhdHdEfCmuUPyz+d4GswNJ/
A7Q2TZGX2+p6LlNKgsUPmyDqGduVPPdQfrTwoT76Xeow/B03wzsUy4BHYZ4hMhoXizd/yRhebFHY
9u47Yya2J9Mwdx/LMTMIzrIA4+wgC76r0DpZc5HaYs5wx6u7u0mW+bcgbOVyqpvUuW6nrc4vCZHN
l2G1m+5MM/xBrIljjHlPN37VCgAp6JrZPpsHZkQwt7v0c8BCqM4d0TX3oTnNdqTT0qICGEEw0lag
FakCXdxZ7B2DJWE7XWQZZTjG5dYS2BfExfzIl/1WRimEVkkC5jg/mmFquwg7s+xC54FVRLkEaRy3
/Ds72IMM2SIzysgRXPp0PEyMlamNGc47p83q8A7KjL4+0xXmcmjEUstGk48nWuTB0aQM8pfGjDeg
KWdOTdCFShosRTzznfMzlRkTnrBItXyynI7o7M6B+4XEBRE6yy3l9W6Z6kYK3QE7om/dFpEgFbgE
2GVyXA1p2UbFbA3pB1QDzAb393H+Ag6v/VRRLeFbxF94PyrL69/TFwyJMArIIPFBNKRUqL3Jw0iN
WvLehh5xWL2NAH6yrv9aiKUYuLNw5nk0elwPE+ayCmnjoPlkZdL5ZI4mlr+BDuyPOdI5QWSVEzVU
j3FgQHk+hF7krGPxmPuV10dOWG+PzRbugKImIKaPLksduHyo02gErfrDW9z8lsprzI/gtquvvVtM
T1KMS3tc8oKzSaEO554tzGNBkuI8lEbkyYzNZm16P7wSb4jrdrWdlY7htjIHddCVTWDqwRUqxSqa
436nT7lRTjk+2nl9ZrlQMC/Slqx2oIVkxzUFBjM7Zy2fsKCm19i05MBRY2HBFoMuQ9XZR8ZaRWJe
6yubyeHDONb2VTaYvhE3Jg4GUc4o+VFYjXE1qUV/mTKzMCJfEU/gQ5T6ttcMJKNAmnl5nIRVmknl
ujUPcs269uhpmX4jPxhboKrmSjELq3fFSRkEaYSTc4YoIGD5975f+R8NtzXuRr/uH9O03jja7SL7
NDZ7OYOAxjjHhkq9jwtZVB6HTdGn75qW8TI0s5DPITugbbFSlfwuGIQ+SNeUd6kvChr6dZHqU1Yh
QBbpYbPkXkANuMYH3qbPqVLJL5VQFfdRkXacyVk3nypeNJLijeueqgx00MXkhJDLTJ3pS7VlMPPN
pb1kKuHKg1iB7JwIqduMuIgJNyQT0r6dvaq3DoWuJydagU/dYnzekM879raLxzUlmfSGzE7ijw7z
6hWdGXEyACN9aGFJhjFV29qRqROID0aAwyNMycnNzkZ3kNeOYYgvodZijoWEvZ0QmD3M/MaR/pKk
iXKFvHJnnKW+P6Kr5qAuQ/bQujQRlO+oUxqmRfDYMugSybg1WK4tc+fcT6rrZARnIBjj2TJzK5pt
t7xexsDtD3SxYIL3oV7ypG/wvCpWHXqJatcJQYR6mT5rZBFk5OjJekQeIcc5blg3pCEka/OitXZD
6yksOgb1yE8fx4WFFxvFGnqxgHQjL5t5VfwNlxIV9WXzYV4kGFO3aCf73FU+36G1jfyx3you01ZE
vUs1hJ1xUt2yO0yFHgvLmUauMK8Sbda8zT33ZKcbj3Zcw7aB+xAyPqUkHN4B0sub8zkc7C0aUKeq
0JPWMoy0zCEpQE+Yt6NCqjo8OBmqagyZ7SzJeH3TsXR6o95x/7PGE4M2woNJt6o8Nm2O7ftiLDqI
lsZlKM342h9jHx/gM6scPC/y+pLhjZKpCBLRzMsdOxhFSHugaZJ3o1sywq7JGFvs1MJIudKcY+V6
y1OFtNYD1Qa6E52rt++O9twLYXmLxbmXeQ+us/r3qhTqe9Y44a4rnId1ZC6z+0T7uCYfcbJCJbRi
/PXoz2L8ffYX949Mvf8SIjt+HWh0szlqsuCOY6vzI6dinZ5N09R9YMhh+u8C5cg7bTepjgazD29q
v60eaGykVeIbuSaT7odhBCQPxCTq/f3gN5ZAYWzTW8qAtVC0cDEpL75vqaQnU+bMMQdZFl6cLjD2
mHWjWHOcgsz5Zpdm+nEIRsh6jZ+a7rstGLr6WKbW+tW30feJLV3TbjLUZM+nSlV1cYMu1igTteWq
S0Bi++JU6N5gRRNmEz2jtAPkJoVxmdCzbG/EJtgR6NvLH203jNPJ9mzSiCWz6yLGhqjI49LcpubO
qMruDpiKaUXFppdPUmknj0e0b9pEu1Shp8nXfs8mcl3InEsprwBIEc6deQqJChMjBhp/UvK4AbaT
AtH+vBqd2sBEZcxlmmTGkgUU+0XxQWFRGkbgKrcp0lZaPeZ1Cg9qYhOuR6NwuylepBfcm024ZLEh
9jN97LKJC3flShI/YMG3YqLlnGqH1geLKM/uQ4PuTjwCkujAOMFmi4fCd35n2KCspCYa1FGp5K5f
3NXll6LPCzLMAYpLYi1WWUad2KrgRGieHgKEs7MjQpjYmS0mvacoa3YPmnppRyTY017ed33XPTmp
aX0s20CnB2/MZ14m/at4FEN/R8Sc3ovJdzWlfN2KqCRA/7DrofomVrsjEagXIztbG+qeg7NO1kPq
ZkuJarwKsAWbi/GdC/ohi4sq7D1oKHvvxOhcnIU0U8uV7+Wk6blLD5h2VwMQ/1SsiFjEK0oYD7bd
9jdhbTQKINGcflir1l4j9BHLm3AphUPfrhWnzK6mEBXyqXlvVPhWHUsDaf5oddLgzi/nlV082H0Q
I+JN+WnqWgTHDrWu/EDvfiOj8UeEaSir0qvcZOAfu1mmB8xoZPeQ0mftD2kq8h9mmIkaYSQjx/Yq
rOUnh6ErL610ja+pdtM23ngI3VHS+8sO/gzIOLLRtLoh8wu+zyFeqnEOVuTe9Iw1TeRkVXfF1Knm
YAmgdNGwTI0f68Lw76alwkuV9puzHGvbqr4zbaaLVMIoMmKlane76qrK3Vgxov3arituRm5h2v23
CQBletC9T6eZSBlmN93kmvV5Nxvzk+2O+nerd5Yq4qRR4wUeOxQLgzEb4RFBEevasX0M/yprHswD
mixYy/d96FLp0LZ4p4gTBnFxXE++M9r6yuF8vjctYcyxQ7pybs/jpAkeyvle2zsTsu9TGreGF7T3
pVkEaZKaa3BdetK9XWn1fDfphdFQWnzjWz50lEpQsovgDOUPTY/D8uWPIWcuigxHk71fODDsyB1s
cWKqXcsL0XvBZbaOPdoEUpKlanq3T2G4AUoUuDVcGYb04dqOtttFhWGV38A1dAv7qWtp748dE52u
L1w/ssOi8qO5tAmzKyniFM+7o1lE4YYLpArA/5462/MvDK/ufy9dMy+IowwPiJpz4RwaqNvWERdU
t41beuY9KW9qFZcrDTSRTJtffLGCnsVCyTZ3ceMN7GI/HfQ1qmDr1wV1aGo9O2T7kooWW0QbH0Es
g2mtQcdnVZ9yKZwn0W4FrGU5LO/r3rYm4Ew2BkzYJ9hhhCyOdWvnI9lF6mxDlSCsBdvKzlgWsU3g
mA4T80xgoVTa5TljNvd6tvU0UKvaE+2OmdbiwVMBLQKbno04kDtIzJyAWwV8lXzOYnPcQqxbmiyN
BU7EpIXkjN6l9FTh/h/uzmQ5biTN868yL+A52JcrEEBsDO4iJV5glChhc+y7P33/Qpldnanqzpq6
zYxZWR1SFCMU4XD377/uyMpO9eOIE/d2aVrtXr+uba5YHLi7bmzxW7sSnzWEUpUscEOtfbOsEmFg
U9tK3JmCjr0IkQlVVUtJUC5B/42hRbogMY7rgEi8fZbBU8b+lCRsT/VaLhHJDGDjPipeyCyv6Yt9
UgBq3Dg8slwjDY7HSwkwKnYN8JvaVc5cf6k8R4iw9Utq3BOmzQfuI6KJuG5y+3KpAPokO+aCqNjs
5DpRO24eYSaam/2glCvvF6NDuOdVSI9CFzRYC7akBQGhEbbKYkPpgwWC1aZOWKR9kYQeXzB9fTwo
OTgp6qOwrtUE67GAeYX8Lf+H72+Otx9dQY5T3/TuMTGvo/rMcHrRG6SUuwSREbsXurAhrIzZlPsa
DqTfzX5CTnnZOtNxzAxxB3hSAallXoEBTzOTJvTp+fxuqb4adjmcoIy9nsE6JpLP8UItW3s9RFNe
NMHY99szz20lIt0aOZQnxa4Qt66W3OXStG5JOWm+zrABKqTVuSbtpyhbJrtkpaVT0k2fhLosnGZn
D5JJSRJGmcd+Qqcpe9yWPNoy8XvMr1l53cUp3Azc1GR01RhvD9yGUZszJwPjzJ5hiRPXYFff13Ou
Zc8aiPb4LUf768WtuWWs7yrxBAAPr1reUenj9Hsu+6D0DbBndV6yayw+XgmvZNaVDR20G2NZbDJH
nCnutl45M0cDRqDjvK1zVKsxdL4sDmYjpzvcONN0q+vD2j9mJRfeoGHfcgLi2ubPSA+BkRU82MRs
LD19C8yCurWd5JS24hzSwYtUM5kx1/0V8aFGjG/Q1mJ8RLaUvw0NTdoBxYqNEXTdsLCb59xWJ9uv
nqrR9y9oXrb0YqVWe9VMmpmIB2iBLK50IpBDQQ0GVS1rx+xu2moqdysj3IjV3ZcJm5Fh+YEu53k9
mPSHO/FqquqLcN1Bo3mUnmHw/dn50rfzJKEOco3CbKMBmNAKzGJHXll+8WehnWeKINKoLbXih781
5Wc0sY4etEpO33x7avsPphjUWHFGTab1pWG3qrpgMUCQSUwcq0pG0vE5IpS0REqH5arTNowEfjsB
jjVT1DsTDCL9b9QrOz6SgsBdW3YIU0InIl3NvflHV2UZm9vQg7yaZZ0mz3AR2chMtfSkbbvsHyJz
u5Re4cSx9gSra2CBs++JsPMTZYcSVcEhFVNK98Tk516k9aiXooKT8qn2Cu6/wE7TcfXdeghsrZAv
RI0NNQk0fjOcPRh/MyKXl4bnjgNCPW25bq57K/N47ItOw2IpPEmnl9DxGJ6aHjKSIH07zQBvnUzu
esEPxaWcTHFsF9u/97jsVZErBt3BCkj0oH0Al5lJ4jRSrljvvj9O6qVN8Y4eGydrFb3iPcgp93Sj
ZXxPvOou74qpCujWmQlMbHJJyKzfJ0Cus6qAwvqhNg2eWwpD0YY5HCt23QgV6znNPCGQhrOclmUi
zmeuSj9OWg4ziCJrTDlGHIaGdcyGLJT4QRoDklBNR/6vhlD25Or2dWADivDBbbrJvSWzmus2PSt1
4uNqyePR05GJpoE1D6FxPB691hk+Ro6pJ6GWhJlQmNsc6tnaWhR6WzaBQ8voRmLsJgDGOlmrnQ7Y
S+gLkY42jLY+bgF2zhrAoyFb72zXvbechU1Zabj4Y6v2+pQX/kmH5b4oItICt3ClHtcdYTMhUW6d
vzeKSjNCq5tSg/1RbiNzJEkNpBMa+R45lcMvt8pGfWrTMi8OWeOYGd7mzu9BnVmX67ErpfOtcRv/
m96NiwoWRAuLD/ImGufC7DCxhyJe6DBBa271iTCckdLCcpXtD5LL+n05LEV1u0g4gOMMYCqDfIUU
iEbLze6AmIYxAkcRKQAieF1KBLac6peN8bUBJVeDe5QizbUHog1L+0iEyWjtOc01J8579AMRvcag
/iMZgVlo5WRD3uipyVVegW9pexNKMbtb+9wit91yu/azwaFY35vC70Ror2g/QqALUEATS+XvwrB/
S5x8yb/1zdD8GP+qRP6rovn/OQmzfs0e+d//KRT+JwnzzXsz/Fm//PPHf9cvY9L5jTBl3IEkesAL
/Zd+GXXyb/h4qDXAqKQ7eD//oV9G2nxNCCSCzMe1QYkP8sw/9Mu6+ZtPbBHmGBwyXI9t79/RL6Pl
/KvSU1xd9FQSIQP7q/CrzAAm+0nIY6fqOuQxSBs4bb17q7ln7XNlKYBmaxXHfBHTxTRo5diRyNJd
4zHWamUtocQLlnQrftiDlZO2gIMVh6BP7aklVQVSkFT2w6qUTaBHZh0zxsCcYbsfkUFJ/ZOT5wCQ
THsNFFDZGRuT6yprEgUaeQtp575qbb+cyE92dhjAZ+x/CLiaROkwHfYEzkzPz9QHSYNuNNTZv1/a
Br6AyQlob7XW4hv+RGbjaWvlIdWhyTQdQnCHgrY+LAoBS9b444XR03tUKwZBThNKHAzNXV2Y46V+
EPDRHBgTxwjVkXV1rmbJeFQY4/WaVtbDjQ5qcpy61N2bedJBqsIWHZxq9W80c/VeN28hJgLkVjiM
Hom4dwqEIdIc8he6f7s3aymXs/S74TxvnXsuLDW9rl6nN0CuFRin103oBISTjkfuWXML29c4ER+G
Ab5RqeySc/n9apaOQUCL0497a9F8yRA5OLHdbVbUlPN2N3t69Uh9nr8Hzmtjqa4RCYV2DR0ph2y6
zaHbHmvumKjMUpzlQV4V7ExamZqPZWuMu1WtvH83P7c5fZaOzmldm512Figd+hhMqn3yEMCD1Jcm
+Dog5mVKpdhnsKlvdcOJ5mdj8Twg4QQgZ4O3pHyTdbeEWuK3MehyfZNXk17vpN+nCRARio7VTwyu
rjNupLnMH6dNuvTUEzFVBjZ5SmkwovSJEWKv+2GZvDqerGfP9S9GVue7DW1etJabf1/litBlP7N3
Keh34PxkulOnG5/NBvDdk4t/4zB4HJxktV5yCnnuPWdY3wtlDhe/0Ynv5UAFVkE3NMIO3nhDfxxb
zzs7dakuHdkLL0NfFN+6WRrI2Fo92ZlDV92g5RIfrlq7SFA6u+HhqYDMTHN17lNNQEOOdbYruhy1
e1aAkk59nSN9qvJ9OkLDN66iuaUoWu7b62Tx8afVxZk6LwbGhbT96XUxfOEzT/YU9KkOdB6+X/wo
UGZ+YLpujpMLQgqlMZRNsKzT+DqievZfs+HGpPoRmSBG14fCn3VWMxO+3NPS0+C4t9ErVRJyV+XL
25ar9LM2tVfkpNTuMH2KJ78SZjjaZn6fSpBgc2rL10Q3u2dVcgUNaQX0tEOdGiYwmF8/9pkFs+jW
3hPJ5dq7x0oekVVqaFH6DsUy3rRT4jndTcXcuV9IuuUKoDl3bH/2dF7FNB7A15aTchYQGHIJPjXQ
3Ltya53b0UayyL9xIcKb/SOjktTfMi9o9HrZ5ePiXhBVLZdNM8iNHM3ubm4z52HzkHLAcPntu44w
vAoJNWrulsHwWWJDOUQpVRFHXt26HaVlvDPoOi9TsdFAwjz3mJRE6dmdn2Ju9ZCAaI1C4OJn6UGf
S6D2VO/vu8SdI79t19ferewvmj8vfL5eD7anq+rkl/kcL9ac7ma3QjGWat4TBE4XwxTTRJV33svQ
DgBpq73tQBo9lEjjXJ6VUSzft7VIqqcE2erRJPL4mUIHBFVe+qlz3Yhb9llVN5BV6UVpvdvusmUV
oap5lXElWoo4cJjYDIMDWXzuej+O23a7AfQGyhEfmTveJ9WWPXWFTczrYDTZ92XIMrXrpOFUIZSa
ikp30R/dcZAAFqbNU2WdW3DUW2MaLXRZGwGqaO/uyNgbHmpjmJEFu+6+mXM0OEs339vQzJcqTY3D
ytT4uRgTNEoOgazPzLM+9EiV5VHBMECFHUHLerwZahxCz8zIhtx8hJF4NPU3suerMqQmJTvKvK+P
RLF4yLu4xX4H9fuCSNh9pjiRKxSRh/Ox0L0kUuSBF1yCOu1Z+Wt/nF19jIcUcCBLtPwwyVLcoBjc
7i1BoBBVWQx3m5MON1O9rM8aKMu5LtLpfZBtG9ecWLdlmqeRwYy3BcucqpsaJ8+j2c1dANF2gnNC
Kp8ThgeS/dS6tR7URdHfmcbk75H6cSGnSEkhnTPmmwIZJTtbYrYRGTrIOglruHTcw3MTbimEkK4P
Siv0d0Rg/rFuVbM32tn6km3S/2QsznCi8HzGosa6fCaeZrnPumw4MlmO505OAqpYajGmVu22hfPf
67B5K0INDRp4TYb0rDe+vZ9LOR5giraD1aUq6NBjxHQp52gc6QOau757kptmf7OmDIRK93PjmVs1
zHInlIMqYKhvYGasi9ZV6jsAousHxCQ0t1WHyX5yXIF2MJm/NKsp9tNiGG+uHBVl8OBs4DmV9Zkf
wb3p10UuoQTs7a5B1nwoSwx2gWjkcNgay4qTSsnTCEDTwCTutF5OUaHS8gBVld3ro5DfIYxgApLe
ZbRiUnPB8M2uCxciaLyg8KvyUfMa/wxTwDsuJnVcNtXf65munbylB+0UvXxaWgp2aXawTlcTWGhX
IAsBuevNvvTHTQ9G2nz20K4KcW7W2Y9aM3lfh7nfHs2FGolgoxkVlnEW+kOKV9VGfuhlL0XdGSfd
bPp3isDV3m1NF8TFusIr+YYF162NtAmLvicvS3aJcRKZ6G6LzrXPU4G5PK0SEKsVyIZD3OnvQRO6
OXDtJrmza+LMCqzLXxszV0cJyh9sTiW/15ZW7TRawF/TYbEQB1vJbTdRG6ZsP3/McqP84RB+MAX9
mpQb9YJiwix/LHsU6upDrsUuPUPmX8Nnus21ohxgajfgh2DMsxA/VoX7Let0Tpte86v3fmAHdMWm
I+pqqmOPDvluczVxGsfSeVhzYS3wASVRtKnX3nRW4hwyWgbbYCIlTI8az9HO+tT5R8ntLeZhRNaJ
P23vpp4ZzSVF0qI3sq9DuwG66ZiOURpW2rlFBvol43yD4Kkq8yXLhnRfSNlEkN3pRUoXNaC02FWR
oVxWRB2gavMg0SqQ3OEjVi5Dg+x1Fo7T8vzattgZQ4M8u8qK7XlK6u6ERs27MelQekS5e222n7Nd
wld+xiFi3JnDtj5wtNXHjRPnIbOuyfEJtjeKZCpFvWE56afBVuW2Z2Rc9m3vuU/oAouXCvEpZUwN
i3ppxXBa8LvkEQYLTu6ahs1d0mI12+mbVwQZLAE35+ENTopMX0WD0wpIaARGPXOMDI13tHJd4N6c
3LfM0t1nhbD+iRZAeTBR/36z1pxrIgr+I1JLwSMuzXdFAmFMdPqCLmmJVJtkzOTs6aLDShcWa189
WeOwHLREX0+ZmxKVOrrmGo9wWqFLJc9xHcrlsnobM6mhzPmg8/lHVr6WUVlZ4P9rphUfctPnh1Ik
yZcN9nqH1Nkjha7qrKBUZXJD45p3J8RIsUKZWPe502vcSguolCBr2h4QyfCSp9LI2HNUjciPK6K5
TzcL5rlTrl0H6GWARIxuQh3jlgNwBLaSOE91Lcrbmas1MERyRK2x3GaQ1PftPHvXsYLOCqfTLz4a
yYJjaF1xcVjJxvzgGLezmxpxp3EdC6+1F4Ghl1OyaxYU134t6kNau/YNc1+Sg/6afgjIkEbDluef
rx6Q2Jw25x7KNCFiVs4HhYhlDp21KSNqo2o9rExze5nt0j0LQKwssBu5nGq48p1TyDTCy96czSKV
US8NdnvyQ7awJbP8BUCkizNMbFHtjJwnI3dUEWWlrj9U/mLfQdxaIX0sqGrH0n3QethnunZa8ah7
aY2eas7OUnr227giebNUXkSY9YoLWLcfD7qVH6fKKKB7veYuZ4keIVf4DeiiGshWmye9m5ZoyRtg
jVEX64cNwhSxyoclcPEoRsY0+TeeHLS9J8b05PTKt8LGci5V5qAmUfb61YaG3zPIjM9toh2ajGrB
mQC5W6F0aB8PvoOIXrj4firZ7HNRlWgdB+erWTE5sx5QHtg8XM84F5cPpOdjsCS2+2AmpSTViYgc
d8qH/ThNzssK43pjlmu7G72+/uZpa/mYIFq+06aU71uz5I3T+2vk2ErWgcuRH1cUL3wCmBm/z2mT
PnAO+HtzUcNlnevhK44B68RTYf+Qq1EyRrvqoYMN+oYxyn1Z7EJ3d1iVE0luguW++IPoUT8vZQeC
ZasQWxX8llnwEVOYVt/OKjFTJFJ4nsQw1HdeOTPdLKRDFIImHyxPPiU73M4GJKW9Hhh573ybkWZ8
sc20j/jw7WgeDFz4lScumz7Ot0Uq8hcXZ1mAkwJtJaIwJ5gcA0GDNvEAaqq3w5mK+ePArHrf4TAd
SLpajXPnQ2ZDWoh919oeZqMC9ExwgJZRXpfLwWra7MOzWeABXxrkR134ry4rEqGBaMZYghJ/Ik50
OU5+4n9KGsNFk1CM25WQAFjDOOKEgzYj0nRGyk8ZW1d0cWS83VllXn/wswRWSxBpsNAhOSeujnpJ
TxvtxlD2dWK07wv4rlB4+uBQTIhKFnltNb6YFbNVSkpJf17XbJAhJZHnrFGoi+h8MIO2N6mlE126
oA6bPJRHmmgjv3aBFlKaa4jlzoxbndCni1EyWzeacH+ge3QuaVmvp2uG/BlFQ3kid46iCttc7qW0
3PcOemVnWmWctl5/xgOKi6XbOvZNxw1daGU8oWpoTk1rzXdjXnUHjKLdu2FPLuA/spOACQxJTe1H
SjX2G68NBJvVeHBqeq8++U3aXRxluZdJNNzjVk2PB/CMO8OmMjsse9+628wpDbdeuDvVaPon5dX9
noBTJyIKY3hyCqHd+FiaXlGaFR26n9W/4PaoT0SwHHhbEB5c/cmslnHDapHFkdJPFLn9ynPkDOXb
VsI3BESzICmHqHpO/GE4EkhYPnlLZe062xcQ1/ocK60pX0yKVn+0/srzl7rZ7bakbei4yGARJVZv
lGpmLSosNg8xtHQykYG0Q42bh9Um5U3p1cUdbaqsLV/59lmbKxWWqe++r5ry5nBqNx+lOy65s8Fb
2VvIIGI/980XRn/E9PDph1Vbn5dNqCev7qxDMk6I9Oe6u9SlmaECWaa4JzIJtJ1p6Tj7aovSNFER
15A5THUjR+qYTAt/vKVfMQh8Qf5kO4iSDeInNF0FeSe0z4bE+S/q0QZb99ZpB6JTf56G5KmZrveg
Tt8uVd54TMcDwkh0ws2Bh20RIV6VoQydccuWINWF+ooI79OglU0kzFXP4tGZxINOLdalaYb2dTb1
4TuWGusjK69vmpY4CGJKYGOtXrZoa6FR8NhjUWrVGG8tXsWq9k8rQqC9aqqtxptx/Xdb1YzMy9nq
w8qeftg2R1xst16sAB1ewkGMj2QzGuetV3pyt5YrxE82oDmY+2rfCGaCdBXN7dg5cl8U03TBFiVv
Z7+b1p2J1wPBHHMxwERnDUBKi2mEnta194PlYGxibxrYsR39NNtm0wQOiPnTaJbpl6xsyFbuqEjh
iagf5ez6H5BSDramjHg6x4DzRrSV5V/dvDTxMM3S4+93BteCZHbvkP0a+7JiwOQo7SKt1V9TDeta
YtXyq2csB+gxCGgwlzWN121GLdNDOt+0G/vBQSPf71iUKQJCZL2OH3ND9Y4jakjU6avZfUyoVt0d
frOlYjxb0DgBMhQHtQ7pTuh6mseN26NzYpr0DxUD4eeCKKzHHEE0qFtu8lUnotSOhQnS1tMMGSZO
40GJFNwdI3fS9SwAIeGk7dP+s8vngvm0hcbTkikzQQDNykHmmU+ASfXqVCe1VvqPNi/l66Il2G0L
AtaiPC3FGPR5Mnx33KuciXG1u0DGe/cmyUMQZSKfzn5bmsZnoMHtPnO8JO63wiBmgoh8F611hXuj
XzPzliwA+oHyLtfOo6Hc45ZTzhoo9lfuL10y32+Dw0LoZ/3ZZKCNh3p2PqVJQaqgK9yzrZfVqeUC
GS8o1JnEOFNu2y6r935uCYRVhNLMca08aQTIsZdXgmYEtCdRORKS0c33dZdgE9MXs3hG2ITh3AFx
m6PJGeo9g6dxYxBkiAPES+FGVbk8lLOxhpOzDB91xQC1FZ5C1yRb/QdmJCeaa915hqjTwq7PprvZ
9jno5yTzDkQ16TcOCFQZbOM8PS/m4OyNuc9uq8WX77Pv5Hw0pY/wdavUQ6tb88OadVj0loY0PM+Y
6riYh3wKu3kdH8ZU4ZjWFbIEQiVcMtvynhQLH3VuIzBbn2xPUYMwgl0O+BfA8tKZLCbb4wSm2rhJ
YzNhbaS6q56ydhjjfs3RJskaPygB+/6dNk7aD/qf01ga2vhRleDPiXlNCNomnnTeDsiM1nq3qBHM
45KNTTxBEsuQrDL15q0ZFr3Rudr4J/GxgO9GgzZl6GzMdmXTX+RjpjbnCzas7nvZJNkXs6kyhDJl
/lGYWUJC6ya/dECXW8AGjyRPJKMf6suGbKdtQQ8JNL+fLD3VWdqVeUKeP70U7mju+Q6oYMoqOOl8
xSrgm4ycBSg29/ARCWBwbWrnKGwRjSJkAvRtt68MfcAxWSur+8QxSjRICKmxk27qTZHjxDOypKhr
59yK8TAM0YYa7ZNjAaCkub7cpbYro9QClSnN/Ee7VrFyxufpBiaZdirGKmePhOuE1+CA5/7NGPP8
w0cDdJzSxLtgG0/BBTRmkXLqKhN5udvvCgbcMJVu8TqgXbMRFeecCCmi25KFUtovXe+gOYLFxgdi
zOuJyEh72a2iq/aVWRFn77lDd9zSjo9C71dY+5nPmCuv1O44KguDOdTyERH72TcvB8wMag/TlEqL
BUq7728mKMEjE5xR4mkwpo3vtqNBs+A3hJYzJaHtIrUNhVZZqDEUVGVUbaN3Fqnklpdo6Ri3EJWf
i8zO33CEqic3JWxt2shg1dCk3GydI47G2GDTnTSTgC+jRtCBx4uLvpGH3G7wT00ZjgwQRHd61gqL
Gk8lq/PQJwBEGAXQQpVqO6G1Gl96ddVr2DjEEozsexLhr+G9VXpfIiO57+y0PiDW8j8KwspuzXxR
Ede55riklhlXvW5GeTJPJ4CD5rahz+ZFx8SGcs4aCSQYsA9BmcuXNjfqT1lia3cr0iA0W8iJY2dC
ChrgcNffPRdWiJSpJJ7XWsOpyJgyGsUQweuk0LK1ntV41xzjLpuLJ4dTYUf83/BUtcV0y0hAeUWK
p2E0LOfWXiqbQagoo0wZ26VmOnmXtpZHkwLOQihWWDGETnWana554EasHRasDTeOlzPBDoQeBCrp
1GOrpTroudE01QH1Srrb7BYzaucY9i0k75LtFGVVy87zh/qd+wI25HERbHzQxN6z1GplHzwH2bTq
hQhQwzX6IYXjxogtbexEJuavl80lNRt+EbJCDKheEeQNm/V5qJcl3/WL1cg9UWRlsc90Ntxjy/7K
Ta/FRxpUK3knIbLKOR71DK1pX5j6O5lE0wt+9n6HuMc8Z1PdfFNzM8U4DolZG6cKoSP2Fdni7565
Xrimh9JxywrXi0dP4NQH8RqZcodqCZEBcw3KEuQcO21dyyefcGNUSPqY8O8k+RoscRDJu706Gh/N
qDQGtc6ie6rYnJ5bTM/e64oivW1MZkXiEwx+oi6tZTzO/dCYobDb8rmxUO+FlvD9byN+MHRkK9LR
cz8PDTYDe95aJhk2MLzKBjIM32+AvlfMaNwj8Kq/zoXZqkgOXb0e4FGTfSNRYpJR0Sf2Z3/M2JTx
zvlPZqGN22G4ggAorIlDQONcdP4wMz2XyFjAf/o60ll+IqoLr/pO1kNWPMJ5NHcj6vPlm+Ws0j5Q
5lpDAsli/a6tTS93VHAMbSSpTCXKP8eTAC/b866zRne/rZpYKqIWgNp3Y+5VZtgRiheRllJL0nwW
91GISdtXHrfaaHRJAdm3lovDuffSXt83kAwwa6Zjh23lWQc+XqhLDSKt9oc2Pa4Zwsi4cybjBpta
9m0Zt2tZ8DIbx9rp+lPfbRVW7x4M3am4I3BNb15r1yvUGXajfexbWXyofmr25C33955K+IhTdeCO
0K9kWjIdBhbquOPijF0MJsFx5sHm5ei71umWDAz52dJUMR4Gz1yq3TQKeB/8rYMVDF7VyoBzJSfu
EysWtkujY4IsnRkQ3WSMhMwEUxuGobhZTGeYg2TiKlRndfHIXE8wstY7x7ovEze2EgPlqGmZ7wAV
5m6S6xYhZptuUwK3z65WTK9q3HqmBwcgvFvFfCLIz/9RT4SQj+maX8YWFX5A9mCxr0D5XlPgCXaE
0pM/Jq2qvoyZ7qZwwxP/VeLqjabSHzq2lc64aI3H/CybQgboamZkiqXkoASqMM7z0piPUMXu05X/
ul+AO0NTSDrN9WZbXwkMs25Xx1M8eGn9APxWnFBsGvskM9AEy8w42J5of9bAf9qAY282d+tPRunC
2rq1FlsOqMdKtWmA2AFjkkAYfUelEEXNJK7gRFspEYs6gpWeNmcmvyLvAGTokoSV53Zv9kXLmG+G
lpuKO59CmkNe1ssL4643EnDbFUfckuiOOnv85DkmYnxRduMRjEhHTTgsTuhl2BzjzvAXUn60lYNV
k1MM07VEqzI3UFLT+YT6i1CJUhurW7l4yaeJaIOQijNm/FGsxXxzPUUtvLSJsRux3B6NdLEuRquL
XV2VJkvCg+7KxtXcdu462d9IWxruEK9yXdTTwTvpCL15wCoSNFE4rHV7N+HdtSNDx0MDXS5n8Xvk
0L+lonluKv73txKa/ffmmp83/PpD19f5Rx7g/x0BgOSM09zn/20KIDTc1/91HOQ7iM5fpDT/+Lu/
62ls+zfTQFDDnUB3XAoK0K0sP/MA+RPdvMYYXQvbXRq+ULr8kQdoOL+RfcoFm3ehuS4pwP/Q01z/
yKQPjCIL3qF2bU76T5nP/0Ee4FU086cIvWsm1rXMnNBPQ3MIGPylJAKjq/I7SGMoUICYibl3abLP
8JhfqylDFdvoiP3/VTD4r+F5P1/1WhSic10xIPZ+eVX+Q+5sXN52Ok5RwF/XRhEoSZrIuXFY+e3W
NxWRZ+a+ICga8ZkbDlWVnzlpPhWoTHd0lqlQq7mk/BRB/Vsr+f9PPdhVRfU/y8GC71iCv/95FV9/
/vf1Kzz3NwpkyKD0HXr5WCUkgP2+gIXnk3Vpu8SbQaP+3qX+xwLWPf6SBSGvGyYht9dV+g9BmP0b
fRA8EOQE+i6007+zfv+aPkbIs88vIF/eQHt2fVR+EYVN+M2In9bA6UR29GgmzOv+lHbq94XBzvPf
x2b+Nc3tj5dB8kbBkWXb9Iv8VXu2KcLKDbUN+0mIM7fhWG5fE/PDXLN7aZX/qrT6mtH2Xw/lH69m
I9Tnpdggfm1ELfknsf2rYe/17m2qe06Yd8tnPDh96EJwhPjokAppWIlxMfRedl/M4k1HX1G7+aVV
2RF5uEVibsz94iuKvedxEC9/Wh9/7CN/jt78794ixTJ85CwNAu5+SYMXDGiudMFHU8Oq9hCYQ5ST
4hSA4gYlHPaB6L8hKPsaNgpT6d+/OGvxnz4f6kTIEkcJSCr1Lxl3GjYGh8lr2MsepMVJ+OLFl79/
iZ85hP/0HVyLn21MlqbuXt/Dn9IQGSQSY70CwIm/5sGm26HZml7QoorcFVI8ZXr33OlcSlLx2Jao
25Ro4SqK9d4q0NIZ65GAqiFobUl4TAfhI5jd//49/mzD+vU98gwhKiJqlo7UXxIbyX2CG3C6YW9i
fQqSDiXRVd1WEIzFxHuiue+zBTXhtci4VbFeUlRNmCnd/WpWB2AkO9QEeHDfvS11/aSYYpsGESXO
CuP3K8L/+Pz8+pgiDr1mwbKeyYKnleGXb4xDMbcy85q1pnnnaRsOuV0i5XD+Rbjkz+Pqz5/Iz9ch
7djUeHI8xKp//dacUYdKr7Nh3/v995QsnQtxWnnUmLLe4X9gUMSBsss3co4UgGNABeHj338pP3vC
fn0L+s8KGtYnwDAb358Xjl3VLu4fga4aH+0Nmu0l6qt2/npN249ple/FKR2X7TVvccPPItG/wBIy
BRARc6PZV5chwof8+8wcDbfjAr/blbkewbSWg27zq2LHFsPb2ieXpPNBJf+DujPZkhtHsugXsQ4n
gOTWJ7rHPEgRkjY8CqXEeZ759X2ZVd0VzvB2b6lWfU7VJpUpOEgQMJg9u89Kb0VGdU+LUbpGOCBR
OV+pIRdZQCYaEnR53xZKi9LaV0kBWPddnO+GaPI+53mDGCTybxBl41IbixtFBR0Eu03sqJb7n8xG
RXRBPwIClBa5gZff2wUOAWYYqeB+omjdVxaKKzW46WMFrpeVH5pRpfGbPicpLX8dYO35Sskg3tGp
mJHJGt7MlNgZJhMVE1XZSvpm9V7fGl3j3AgnuLDwjHkjWr4OHGocYYIjlpwXx68D6L+ddFh7ukhS
gq0eBfG6jWj85dMBuiPWWR8+NYETuiUlkGxTFEELZq5C/Vsa6s82FC9ta/T3fYvIK2dlU2xOLbdO
UQKrPlm4sfNv606suF+xITNl5XWo+MOiApcAa9L/5gOWQgrQ7jlE0HQa0CUQC/w6v+xOfWDCEoZm
mnwDGAQeT3P0uW9MdVKxH9fKZ1ovmlt/qj+VbfLztwciTjQ53AloLXyIjgeSpd1ZlVPg+Qz8MBXi
Vgakz2mXOj/McVzKRsGGIYgQcDrk/3R4Hg/Ta7ZTwceu3EJN4n1W0g3DhToBH9WqnDVYsTZUjJOv
XLzVC0OfepTzFDX2D3qwPwSnKJwIS5khLZnxz7K2bwM5aF+9iar++UkuowomaQJPhVzNaWh8GMmb
atEkqle4eOE8iLYMVkViPvtEMzgWPIRe8df58U48VArk3BtmMR3k6nnm7880CCtYZauVqzb0h9aG
daUNlAJBhaHS0W7NWKOfOr0wyROPk0EtFaowNxre5vGgSl5HyRD2lZvSEr1BpHFj9uQ+dBOE5vnp
ndr96W7nxdEXo+l8jMdDiZ6AtYzLytWt4ieYkO+GhREHXWHrzqn8jeiHQ982v0q1RpKQxj/OD3/i
bXKlMW2VKBmDLnMxutMmEq9DytYkozoaLrOXkKxXjpafUqH2qdAyZ31+xIVJ+d9fCf65ghAIBpAl
ly6+mkaz3UAvF5xbR7xK4LJ6UR8CmmxWckyexhHYhmLI4iDRUGxt0rpfbXJwfSPznZD9dAhmQfKF
HzVvNYsddwZwc1MQuvUxeqX0W9iZz+VR99RdY7U0ytnj98L5UQ0ZSfVpgNaqtg/CQeTXI/y5EBWd
fA2OBJxNw+Nslnq8CCzPoCzZO6WLOu2pcXoXafCNLrO7UfffomT0N+fnO7/W5XRpbaG3hUsNl6TF
+qYG7bOVidJNJofu7/y1jLoL7/nUlLgoc3hx1SKLsDjDfBlBKJ3w0fXRpe8gpGRrHTbprtfGL77q
X7fKhQG1+W/8MKl/j2gtjhO6D7IBNAsj5gW6KE/p7ouqiCjwdd9rUczmilYWuWZui43VUxYnlGtl
/BURzx1C6b0TARv0rPp7l+q3fqmk/PvGACIx/IPjyNRw+5q57FwCF/eQsdYycnht6cZK9AJG5raH
siqi4PH8Sz61ib0fZrGo4rYNJH2hpSvrUt0oTUz9bIDdq/a/52D0z0/6/UiL5ZQnAA+ngQmF0/Qj
NPBw7pT7BA1YQwvT+Umd3C//PoDoSqBv6+8/f3ce9JaqByYVAZfKfkJi/yZuQVVVsXZHv/ytaicH
JU72amjmriX8p/Ojn/puaOOSqiVMgWX2YqL9EIY9jeOlm+qZigzQ7t7qdCi+/GejLDZl3E4Gne7b
0h3J6pMr2NJH/AeXDibiMAl2fkyuFp8nTTo6RkxW4Xoo710lG/ztND5lRJgHmN+u8MJorcpawy8p
MQ5gzD6dn+PC7OWfa4YzD58NPBKJARdXjmgYvUEfUh5loX3Ly+QVTKFPf2m/1vz081DGX80i/NXo
SbZtYi2dYYCb8z/BOfGBkAWgX1BKfoZc+gznIW86LrLCzUXluVOV/Awn7anLBgtVlWKtugDpJ7Xs
x7KvjKs0jXu36fRtEFJ3HbgybshrxI/16AWuVmZXfo14Jq87qL/QGo1CwvwY4viACHpdZXQTVfl0
B7PU3zWd8lxXQX2t+f3LCM5nlQ0C+ZwTu01T55tSi2LXMhC4agAlUL4oh6TMpi9tCF4TZIcHXBVR
Xcobkwr1IqnQZoRoLVxZRUxpx4if+5mqLXPzoQCBEAWA0gIajubiKoX9Pr3N/ALsiAptQJ+ooDb+
pwFT7jVKlauhGm58OzTcOEDFD36EPo6Juk6KnmZjkjXBUmmqt1EQJrtOKZ9liEvhqPjy4E3GfTDQ
qUJbfoYyts++wpvUV2ruXZcpEux6UlJqR/ZNl4tkN6oICmUBQQf/F+z26ka7iitbmVMwv1JhvYV1
fGdk4yFEIrfxa6en7FKhzNc05ZD7/0qk/q/3/RORpo0x4d/OjzR+qov9kk64EtK7UbhVO9x2ef8V
IMWTVkcPVuA902QB9JVnvzq/CE8ck7ZK9KeRaVc5kBffOoA/w0nVsXBhTEdrPNj8VeAHj2pN05cT
PfFf/cGAXLiwCyfYmIP4RahhWwONomXhZq2DsBkbgTUtzVtPi69sFB3wWrILwc2HlA9XBpvKAG25
BrEV/PDjIc2KFnG6J3KCTKjEVLOQYsOsfc4zCz+JLPzelvwh5SRnWzjikfa0n0Xe3PDTsltfL8yV
h9v4QXMixAHhMN6LJsveTEU3dq0m0fnbWFJceErzYz+KJTBw426D5Ry5OooZi7Ug+yYRTq7OZgzq
41Q/IUy5sAF+2HwYgTKKZZkkmrEYWEQruVbl0hdd5uZjepMNyo/ci29SK/x2fn2dGsaGxkOamSZk
w1wMk1hJilwrzEm3gYmE2VNW7LJQjs4Po31Yx0zHIcXLLYYgmvV8/I4p0Hf4GDJOjUzSQeJFkXQd
K8+I6++w9H4wCuXgQa8iFoHcL39qoZjtKx4bzcJB8ruKvAJQ+vkf9bcb2vItktCfnaOF0IhEj3/U
VMNG9hKRua3m3FPehtC7o6qFZLPcWIXYKVG0welu01TigKZlq/k62p6vsQwp5KCyQmoW/0hpEHUg
RJklAg3dceO82ORpdYWE8znLp61ixfsK6bBm3HVCHM5P4eRjfTeDec96F+1AlhF2jR+jmzTGWi/f
GlN3IzW/1c1qa+qV+wejCVVgtEVUYMt5Mb0bzXdaNbQKmbkoDxGr3yuQ9xS4HkP+KwTDen6wUyuT
Tuj/GWyxK6QDyS87ZDA1wOkFzXvQQneVr+dHOfkAheFICirzHrRYl1mAq5M98ABp8FzxFYNJw22F
qLHI1jn6y/OjnZ7Tv0dbbBtdN/hRkTPalFs7yxhdobwE+vOfDGLB69AtSdSyeHCIb8skLcyMLo9x
q2SP8Gw3cVVemMr8t3z4dggH/nuU+cG+WwsJVOiacmjm4h6FCu16AiRmewM8o/9wOoslXnCmdiM6
KbczYCOkPxL9qyj1C4vt5DLA0BW7LWpUtGYfz8biLtzNre9ukdSu0v8yZIm42kKEO6COcC5E1yef
3b9HW95EA98PacphNN+st4PvbOAXY5Cjs8QvWZyeOqgcSbWdcjhBxHIxyFItDBV1Oa23OgDHfpdC
hf2D9fZuiMVKqFvfVjtlYCVY+ibsr+wcGCys6/OjnHxmpLvJKnLiEpYfvyE4O6GXtSyDfrwVgcq9
Z/aj3gf1pdze6YFM+KWwl+0PWVp0qVYmLY72BhLmYMktrTvrBp2emV444j+ORP0Ir1uDGjTrbrmd
ZnAqVURjmZvRUWUY5aFGWpyU7X1UXLqBz0/n+GtlKJItBFrAT9jqjp8eLd2BRn9L5nqKtbNLGtyS
AmlhAMcxQP96o9e0UzcXXtnH3Y5BSarPlpFYCVvz/N9tEfHkJDLNJkKYeNqq1qsDUiQFAH9+YXz8
dOcqHOeRVEkZkqw8HsXR2mCyUt5XT0c8t8CtH6XbWH0NO901JnnhnZ2ck0D6MhuEsRYXDxL2XyT8
ku+pUeKNxt0wUfot0Nrt+UmdHEYyCKVyKvNLLgz6T8X37ZYdwgORqIMwS7O1Qgnr/DAfrjSIYwSR
vkNlQKUksXh2cayDPe6SzDX0BtMFHS8ob8Wtpuvp86KZNi9/uxBhkJIxqT3z+FBxLYuZkY5Ck/5d
WldGHfKLcsMrXZVtdmGHnX/4Yr3j18jxRL2FS8WyKqBOpgLJ205dnw4euYHH3Xyi5SCqf3+JU9JB
MoDUidywuggffDTOYeOgFkhz89kUxUbrxQMX7Qv551PTwXqPK5Jlcjdbbn7aFCdGgi0FHT5xtbYF
rhyhIi4ctCc+JKHZ6FpQCFBt/ttO+d3n2tiQ2oZmSl3dGbdCz29S1bmBiLPVkWZkZvZ2fu1dGm6x
oasj9AFu2alb9uMOSPO9raOx5woARXED3errHwyHrgNZD9IwtAXH20QW0BXdyY7hcFZAeON6YnKD
DCOyEAjBVF/YlU5suBAP2dpBSnGzEIuFMTp10FdIS92eDr1B87+LCQQN+GRL3IXjCHvb2iv+pWvW
iRPlaNTF7tTKAnl/nqWuhrFPAd5U64btWIdzI9aFHepUgs5mgyJPjRsuGbLFWCMWa/Tf+4VLt+AN
Ov6rdlCaK5BT97ZRYJxtW8oKqC83qBJrFMV+pse+3Zx/qR+2STIHOOlQseVeyYNehB5mXxoWTWE5
+VZgwklDbxy97ZwHvx1GMZDkLkKdgikjmjpePUZdFG2fD3A+4vSbjMSOKvGFb/zDipmHQFNGkz0g
Mn1Z46FeX7YRTSdu3OsvdQ98NMiylyQP9igTsB0j/y9949Gqoduef4ofToF55DnTqwqBO+KHXG8c
YRuAvtuN6vAqtqGjF94nUacPY5A9iBwTlyzqbs+P+WGl/j0maZy5oIZqYvHmYrsC69hozDYW1Xr0
pmfA6ltaCeFLe/2FwU49WqR0bJ6z3u9DSAe0yssH2+GwFvJBiehHMIFPxwZAXSu/Vkzr2SjlcxSo
F5Irpx4siRWJhy9aWKKv41UjeskJZ2qF22krpGPbQvdgNuZhuykwQhAjWMIqjl/PP9m/D+2js4+T
1aRy5xBUIhJR54/m3T4ed3VaC/LJbjc52Kko8NE0CpZmLWCUwbUJ/ZHWxSF9C2WzR2CxyeL4mqar
bq3UE4/FcsotsqJ058NhWfuVgVULdAkBTZwsaxX9MM0CNYwCnknp6zWSVrHW6urZisUbFpNfLfiy
OC5on42YLmpSK3eTFSturThzS2XwvTBoZUE35aO2sa+REMDnNWMoXE4cbKsaexHLqvQdvExl04Xl
hVNOn/elD48HMclssW3MVivHj0ckJr05g5djNZJSw7AUk9YgSpBFrWLemYsrbE2g43rq1Tgn5QNF
L78lY7aL62R6VgNz0wAi22KXeRBTHm01C+Btr5TmOgrNr9KO0k3kh1C+JXzV82/2w4nJi6X2O0Mt
TFDQ5uLFNr4Ig7gqyJNKMPdYb02rNpu0TU8L7Y1d8FZbnC8vfDsnyqbzaUlMQI4EAsYyxEmSQejV
JHKXrqQGi4rBWmNNFmwKMtOIAAp1F05pSgpM8XZFEtLOA9aAQAXyt+MZn4Ut3oa+eWk7WNS9Cums
kCaNxQk9wbmjXAhoT5xKc5p8JkWj1sR0bfHJ0Zzp47JA8kN1kCqBuzMyKKsh5mfrUvWH+R/zMxv8
KjEgRdlZpvte77UL59LHDYdDn2w9iVWJmHG5ow5RCYDO7jOXFtBrIE13KqZ7cT1uaTTZ0Dx102Ol
Q+bu0jXvY/XTYF9VycrMElvOkEWyBDRAKLyONGvSFjDTNccFizA30cKf9t/wT31mla6wqbpNmgtz
/nAWL4aen8m7baeknTlIcY8nJT7uY284jDkKuqK78IYvDLMUhdmdDjOtjPkInO4WDzp0P7Wr55cU
Fx8jbh4kIC3QnrxCQ85//m42vprK1oh4kP1gVgePjsHrRDPT7fkv+vT7wmdnFo3r5B/nY/LdMPpk
t9KmQxClXrzTG/M5kOadDIO3znEeWp8GVGSd12VV7vXW/qPBOfB10kNckoz5Ub8bvEi6hhqcz+AF
CPDWeGy96K8xbiBeF9/Lpjz42Cit7epTNuaHCxOf49+jXXheLe/GXkw8UoiFyYPlsNfaHY3fIKpn
LS+11lHi29Z9Ks3oC3DTT5jo3Tia+N2tdB7e1CyUu+QlPuRDQAQNUx87JBXtt2DUV1XqX/flvQ6U
3ILpfX6y81w+zPXdYMbxc54UX6FubWVumlVrgOsriT1QL4C1Yo77nw21WLaeinyWimzm1ioUzB5X
AHY/rXsCa3LhgnN6UkIDQSRJysnFTmOYbVFKjQ+kbWCQFVJms4oR40prGu90Kbo/mdksC+CL1B1r
WUBK0eQKRPJkGZ2q3QFJo+GcJNbOq1IMmwYjubBCT87v3Xj68Uuz+rhr9ZSXFvrFg6X1t3VVHkq7
Wat6s/+Dl8Y+M1eh+NqXEr9oRB+VRF7mavg6rQrbvHPqHHh42hMeXpKTf4hJ55WPsg75Fvkee/ne
amV2GAF05YYjjVFSplu4RXf0sW6xiDtEAOJjxfh8foL0yHz8BLgE2wQShC5YPy8+dwpt7DMxQZfU
lW8h5gJPZpTKHUcYrmzZtgZU8jgWQ78djfHHWGC/2VF83dDXbiCSUJ9jpfxl5zQjhLYOeg76CzAQ
dBhJWTzH5AV31kTXMVlM3H1vo0F/HDMc1XFRGg6dFoD4DIWyCroSpGo3qGuCUgWEZvEZHUN9M+a+
4zYolHZ+BajBSzPoXQbyqLVsYqznWxxGMvTNTrWiATt06y61f+Wd6u+rJBA38DT3XaY8dK2RXseM
tMnl5KydXr3SWgNfzs64xhC92XW10z5MmbLtOyfed5WmuzBnMohs01+Qcs07jBW/+OggNgP62VJU
8ArSpnNtU/lsgM67qTXtG8zO4RmjKwP3UKiQOg3Q+8GvxGoaPWsvC5yCdJGUh76jdRt4G5YyZXTd
TsM+LxJozalCfJ208PAi03bbzPLuTTxlXBqbEgqvyOJNQZgvtWbjQyLAwk/9WtQgOBQPw/NMv7c8
7QD8iyZnOepiV9V4NVAkt74GjLsOhV5TpjYahCHKeDvGar8J4sl7BALQQU6KqiuExzZlZgiEQaXK
lZhFJjTixz+VycDiVh+LO7UiVsKsezW2oLRAqYqtxN3vxhbQGAEoYCYeiK0pG/XQZ/6NphjI9WjT
PoSYE2GJpj0bo//dS+nTjfpnfAT6q1Cz0lWH6eO6seMfGa4oEL6qN+6FE9N2NjAIoMmbU+MaRhJt
ezXf9+i0tyY9Lmza2CSgB7D3jmZQJo60fVfYawfrgrV0RoOccyQ2SHCNvSKze4QhvDvgmoEb0qG7
mtpcfBkL6k44aUXtNf0UA83QBkbhUTNla7KiJJGr4KqvwvqzRl/Ciu6sbuVYqe5qqS831mTm8PPr
YZ8i//DXUVltIz//ktt1svOxxFj3dt8/2k3ncZ0xcBGovdtCjuprr/jiytf9+KHCOkXZ5jRFr2pn
WCnYNsE+UMyNBxn5G5z/yM148LAXUFQbuy6TarnvBk0Bu1mCp8QHAqSf5o30cmONbfkBOIWpfmwp
y7jWRGc0F4h4nXRigI9T4l0wFaCNyPEd6BzeClq93SiHeObo+QutmXsNWst30cr84EXiiYtf/IIc
VcXNlaa1Q9nJ5ntg4OAQ6WidVhnMjZ8iCDCjSsy+K6/oKO9tzHeUaB1H7adw1PYWN2wgKpD5qUQW
sBBTw6GkEjTyatDFVysYtOtSxS4KP01siCxruqfPqVr3vrJrK97JZLRc6cq6rTZayxVjlY/gO7LJ
6dwEripbCkbucG787w1ewVtcwxvGEBFs2cqf7puCjiDXBx/7QClGvYMpjN3DTEBYFdo4212nk75T
pxylCj3+07rQa7pKfL/UXcVq+2hdVIOFC3uUF5AXs+7Wwkf7qp497XZa1GbbVCr1M6wH7WDitII7
ZmqGPwZwo1aADdjUoVLI6TaFIuepj0qnSoPmV3ayMZXZjQerpOvrOzDzPUaz2V+iBWy8BuKE+Ujp
TBV96oIkGt548qDVwq8p3VT9ncjEU2yk67rhyueQNrgGAguIs/CAjCnDWo3Ne9y7H+i+euw1cxd4
xWtRRX9BQsAc01GuRZLc2b66tygPmlMxrqwQ7xrLwkOhrbRXEL/kEVTk7K0NvkMmydWoGrkLn+3a
lsnjNIOjbNDC26nGZZCA+QsS8nojAS3uYlV7tQQnRslJDXTFeLBr4uahazV3CJoHkkx/4dRCXaMe
+03X+wcwqf2aI+dFT/jHTmP9YqB2ndB91JTdNT58nzO6h3vjtWtgD/P6XmuZvgYql8jOVrjVqcUT
XhjPsW3cKmmGYKXJb+zQ2vaKSZ9K+dQ15ptp0VvRy34L1wkdcQi80txpo/Oo4P6mei9Q82ug8uoW
nMbOtttbLOSuLBt2jeb0NPyTPAFeRuZPVsGNl4m116Q/o44H6LwE+BGXhfMZRc2O5OwBV6Zf2DHR
Wlzf+ljvBqKdGXM/1ST7DOsD9LQGtzvW5+weYaekzycyni1NuZbhgJNQ646hoAik3hn+V23AU0Tz
gteukLdGbOlrFia43jh70I1p70j2gsFPsidF40uPp/TFwOQc1tDsuHqPvHctuxmUimYp6ADPxNK/
MzU8fkPtq2LWj2YMFJ19ZtXa9je+qW9xh/2qFW+bQcvecPBb+UF6rVaV7frOk8RWhyq8/T3N49sm
lbdVo8HWB+RCn5ayHxOYj2Cp9gb/AFPc/CHy8YIpTTHQ/l3hkt3hlUwokTlNtDFH2axNe3LNsn4C
H/izH6Fil8itm6uk7n05uIHswvrLGAxd+ChSM6vyRy+3hmBLW5vc+WE8XZFy+3U+QDoRbM7dQY5p
ovLDOHpRLQiwBsrQROZuV7dXPuznNFBoBap2aqlfiKNPXTnn0G9Wr82JZmtxTwc52UfQvJA/A3eW
0tvJ8buevZh1Ma2NrCbtbJibkeRVYV/SFs4XysVFCL2/idSM1ATq9sWF01SDkm5Gbru9kAdbg+oX
t7ezidz5pznPYDnMuxl+kM6llZeFDcOMyXjthyRCnWQ+EopDD/JowjUTSaNFU779+3eG9492eUep
lUGpYCQipvOcT1pV70RW7Noyu9OH5ur8HE89Su5CNpI6wmralY+vJ8MkIKdm3J+VbJwDnkdC13Vu
t/fnh/mQcqTpVGga9XXqPDZZ5eNhfD3X8LBjRm2Pa4PzCpGS3LmB7AKQsGJdqNp+zN7Nw6EA1eZ2
Jx2J5fFwJkGh2njzJW/2NR91ZVN7wVtTpkjvioNiwtMPSoyYEubcWM9JV10owpx8rO9+wOL+3JoF
3h0DeYESA9YwkXuTXp7E7p/OP9b5r/mwQqnUkQGhnYcWsuN5JqWc2Hi5hBHRB1fk8CGjxe2lK+yp
T50ktzTACVg2D3axrXiDZ7V4PZCN1asbC1/sDNRrbn/V+/tRV+91M33xzX4PdXV7fn4nR6Z3e0Yr
kAdlmscTVGVr6TC5+dLH+kqq3VWad5gS2/HbBDMSZ8QqnQlOn/0yuJLWpaa5E2+RQSn8I99x+BWL
u3scJFgIpjnf4ZSSo27GeBdZMlxXrWZe2GtOXGzhQcwZJMgmVEIXu+lY1B3GLWXuBt0krguRTrsU
00DS4X0IwYrGGvCsw9aeGnmhkHFiDb0bGZ718SOGL8pZYjFJq7YPcz3Ls033/Gs8cSzNWQleo4MM
BVzG8RBQE8sEDHXuirG5zuTeNu4M7gvIYy4MdGKbocuEFguNLkM4MIvPLpVOFXiQq10gR1/08qka
479yxd6WeCFYtbywTZ9aHqiFyOvSuU+VbPFZYLY8YG5OppoizrpqoFnjDugPl57eiRc0XwB1Gm5N
kyLg/DPepVerMJlGPWDvpEj+rZrbxYT5eP4FnRyCJDXpY4gZ7J3HQ2B7MakFjFd3CMdbMPvYoTaX
hOiXxlikbnx9yGTgcNLg/Y6FXLZq4ktp8BMvxIHQR0qK8jox0OJ7pROhL8hXIKpy1Bcgan91hbkP
UIhciH1OjzMzWriJ0se5eFwdKuIBT2AEd9b00qXRW2dkYD77f8Gj/tdOkUvjLB6ZZfpdKQpOEdon
lNUUd5vetj+V5Jj/5PX/ez7zZ/VuhSn9aNCMxXzArjyqloFVFqZQfzCGAPkwMy4gKi2eGbD8Sjre
HGhY3rb19H1ZXQpJT64wek0cMoQobZenPuxxCKg50wgb5SpqspuuM/fnZ3FiJyOXOItUAfcwl8Vm
qXYObWoOgUU+Jb9Mr70d0+CtrNMbSFG/vy87JCQkzRS2oX2oHGkVTrK8fhTlBJoApplS99vqCUQa
6DUQjvLybWsGG71/8ZqTx04XI+dEGXPnKJhkdHa3M7HOVCP7nyHRb/Gj/g8ktP8bYur/ES8N7eW7
NfbBbfCprevw+xFeav4P/sWX0qT9D7LokMjmrPccp/83X0pzcCIkKiM6IvJDvkTE8C++lK39w6YM
gJAQKQ7yjVnZ8S/DQVP7B0JhDnkqEiY1F7bI3wCk/X0u/Dv+ZP3DulAFRy1kAXpkl+o0z8jZXSNn
ggKtmrgYZLDL1j7yo/bLYDY092MXUZCxpu8SMqSqNpN88mA2RzRBV874gOUKmXD4ZjRJpSRK4rTb
R2kF9wyzT5jJhVepjyCT8pfAp4uS8loSjSs4DaHY5gFX+kcseDxvp+SpAnVeyzJ79sYQCmDYXR2P
ZZCykmVfbctSb5/E1JEVdHRFfQChX4MHbJTxocB17UovBm1ad7Waq+sxDzGmdfyyV9ee2YovpN+b
mmyt48MkBnCP5cBQJLeiJ9ZYwdCRwQpNQ2WssjYD/gJUOsDTHozPk+Kbes1PgFizQzdIioWsIe66
OwlDlJoFRp44SDUQGMb2woZ7fHj8890A+qETQedFo0I//rbZzjudZ0Y7lpL7UbUa+4pEUTcVznUa
azTevFu1D/986e+hV4s71zwelzvWGk1//I9N5Xg8L/RrllxjkipXoonsMQ5i9SaS3AzeVD3VSYo2
YRlc51k+Jj8mp9Y+dUVPiqSvWQIjtsuXmuvmmPlodVJVRLxBgDbXxdFaH/8iXMCmyPczLVzVEY0A
G1MhX4qJvKKvybRCv7CA3dRbO3FqudFpLcNxJbX8Sz9j0Zc4+3HOGRmHepUh8E3E5PNol6Wk2U5K
4pF7DLwmkZs8xDfjPs7i0FnFQdPD5/QUqga6ranx9eBL46eqJfgCDYouMewp9Ok7ztU1+TpJcO67
ydAF5MVjuy2mv7TG8KwnszH64LknR+j9EB3FbvhVeoP/yPr8az4+Y//2FqVKPm8r5Apol10egJEd
jGEjuHthzZF/mxDLpVsJoDC6sJ6OT9p5IMEgpoaogHOJho3jhyYyw2N1eGRgA2to5LqMtdG6i/K5
7yRLiVPXPZWaS9Xo5UfDqHwyJM7IVaD6WfZjpnZf4ksOr3hlk5xfBXEx7gyZe5sqcqrfiiWYoWB3
xwSQOc44S3sR3WFB6SQ6NtMwiHHaRvJtIKPfN2PW2Vdj2Qj9uml7mrUv7AvHdySG5cbCqU//BtGr
+aGE2nidjcuOL2mE5mK2HrQ6fki9qGxX+ETULxp29TvyowVn1v9AE0/sDx+e7HxRIviDxYb8nMvM
8fucdBzZMYaCnQ7rd8LiFeLMLZnbooXnmps/zo82f1LvP31bmpaY/etoGpmxA4tnazWxjru1FWGC
qMTtvqoKy/Vaw3AVL3EeajqDqIAY01XAA77whcAc+TC4mLtjIKxwoSIaXAzuefjfhiVIsVXtzck1
PDjNOnuqq2yKIYnbZk0ygTKwcG0x0ZoMkCDG/EvrlCRrcLOhYu3NXepYs66pm8jxwQJ+m92OHfYF
oD3bRL+HToy75yqJ9SYCitxO+fTY44GRux4vOH3EwrJqdhIKCgYDrdeX41PRqJJCrycV+Tgh7pp+
gfktBHB8zKlxvutgXkyfy7BTup++Wk7+5576GLaSEf5k8a3Zh7p5F2aqVj5mTiqHNdXAHBRBnxi+
dR2r1kgrBgUC21uPfZKPd7Wfo3QCHVbCY/GnUJ9aKua43rzifNTI7uCYfmpiEBdZTvI5mBIjXAWD
P2nDprACE1CvMQ3QCGw9pJLcUT1amXHhSxO1ZRso9oFCdB9dN75qBHdVh7OMK8c8NaljT74z7QKF
glZHZSHUo7ckCxqPipsJdygmf8DWUXOHs/O7wIpQWx5YudbQb4pBDA7+a10qONUDRcH/jiSUJ7ZJ
qaeD8ZBqQzmavzJM1/oKsHuaKOGGXkxn1LeZYpYAWVvDG01SAWM3Zgc/pFT+04Fe3X7Wqz4ef8VS
FGCihzywijf45YW+DoMMBkJoDHXQbB0NUexPIhur2Vj4w0Y/HQef+SvF8IhJVlkalfoNjXKFRMfg
TwEVME1F8xCbTRTHK7OvW6r1kZ0lr6Y+aag/pJb3V3orU2ff+32qroVfNN0hyDpFuZPq6HP6KJkT
1M/Y7Y7ZA7FL8SuNCtt58iulD+S6LfD9+FIDgEZgKxO1A9wUD6N6S1QY6k9j5jjGdTeMdb4zWn20
WbiS1mub5rdQAh4V/vB5pCi5x+rHi3dFbo78Li1OrHVYpFEvsJ/Lqk+hmmrONgdSAD4Oh65WTm92
pngDESavjLop7jAmzghabWTNTV3qgSbdIguRYW6cPsbeYmX7QttOSlMbayrpQMrBpxizSjdODj1q
U29YJ1aDqS32Dz6wzpIyqWNGn4AQp+3LFGRYuaEriFRYoUatBCxdLJeHXawbCZCAWlXDCe9JAU3n
VcfrQ73KO7+TqAJoQMchEksGkSMQMTF0xVUCoJTc+KaS9pvKGM3oYAwd5p9NgdYJ9S2wC/3BliNP
FrvhcjLfqABr4YGXGxRb09MadZP6FTU3PRYEpGrfD9G3QY9UG1PovGzvMOcqsptptLEkkmnbQ/MI
DaUr17Hel9a+99RuQJtiaYFr95bm31IJ8EOAQEAe29suSgu73vaUG3DxYnGYGAiGc/b8LcG9uf7s
hU1MR9dUgSobOYwBN3TIvj0n+FxTIQ73kpJPj4MDqnl56GIrNvwduMCm0u+rMVG8aqXisZM/5rY9
1FD/YavR7z3Bekm+jn2vN68tpt0oRCZFU19Sq1VbYOxpPmAIaTTereIFzZM59Kb5Y2zApFw6EI+3
a25Q9J6w2XJ/oZGMOHERnlESDWLFhg9fjkq5zrO4PoAwLDekRCheDdYlYtXH8WZmKlUzTgfi72VZ
KULapLVYq+9irw/2NBTV+9xSc3QcbNLThAr+d87CeX7kwlAwqzOUED3vMrvjya5retvZFTHATFbj
sBvIMq/Nxqtv7JbqXJ56CCAkfdHnR17cCf4eWlqc9jS7IN0hYXJ86Lc5cUWiT1zQ0LoHVzFbxbAe
h8S7RshcvqqyGw843ThoByos6/woxeggKqM6himTaRdqXR9iV4JKyCcOKU70Y+Syjn+N5htKaGPc
/iugun8VtZp+EFZoXIivjl8v8ZXF3y3osBMWGkP6Bo9HsQI/MgQGIL/gdCfaKi7/i7Pz6o0bSdfw
LyLAHG7ZSS3JSU6SbwhLlpkzWQy//jylOcBxsxtN6GCMwWJ3Z6orsOoLb2ijaVsCMKMZZGQYCtlB
grHT9ZVepjrUbmiQ2I7GFss8bLHHdjCNVel0wd+ar0xsMrMo0kOjq8m4J0cfxDGN0y7YdA0OGz7/
b7T5g0SdHq//ivOpU0KmuEf4oxJenjUTLeyjMHWWgU8UkJAdKhBleb8pMtdoPtTkhyGMjdow6pXp
n4Z7tKZg40GpoipHJE2WJXf+nwKmboSTrtemeWOI2MZTIRqn7uDqvfaAD3MZHcrW4l7WZ2FvutiK
jZvr8z6NbeUxh8JLnuLAUKYLZxunwyt6aPemFTv7CVH6m8zQa5BSQ/QxKAiUVo7XhbEo7LxJcCLo
Yi4JT5nezUZCmrqX0hr3IZEWMHwr/VzZyfvIw//79crjxFkG3L3UDMp63Gkmq1b2Q4TR39Ydk+wu
LBUap6rRVSs929O05G0wHlhbsoglWH7JLJ/0GIlkvHoObdK4x6RJvU0EasLX0W2CZ1mA8CsTxVi5
Ei6MSsOItAQbAY3C7mLnQrcl+DVMZZ/B+vtS6vpwtO2p3+qjqn/NFDfdaIqwmpU9XLQ1mSyMChrT
GsVd8PqwLE4PjFs4hCE6wrp4i6Y4twDHIbDXJ5TmdE3iWdVQCcKNNpc9tjRZlZebdlKdwffUJgnf
x6+XvwYiEJPXKVTgqL68PEIoNSFkmvTQJxpYN9zpmuyH6AEOWlMdryEOzpb87aIi4YW9jXmBtHz4
91tNmkjr9B5hPddtRLOP07zGf1cDDzCl+dYF6vYHlJObrVwRp3cTk3R43JECRQWOWg+v7+mwpqhL
nN2C9oCHmPo1MfThAazMUG76vld8ajf22oind/LbiACuqT/xAFLAX9YS1BQ4aU/4dwgHbafDDPhU
KIlzKPQOVFsfPOpmUjzk+Mrch4RzX65fScsbkW2k6MXnJNEWkq54Ot2xMlXQAUF3mJBB/51mCLel
cdl+y0xd+EOBL8ugVM52TNJx5ZNaCK/KeaMQwQtLKEW5y1yic4KwUMJIjOIg+nA+xG43+x6elC/N
LCDzxGa+mQdEIj2tineZ6IcbO7XtQ4rAwNaJ6XPpvRBbOkSQf6+vydnVyTEyWBja7JTibGvxSJaV
zePQNdNBqUfZWe+rA0zF3yKH3Hx9pLPVZyQED7EioXgPOn7xfePOlfdlO0+HLG70zVjo6u0ctd0x
TSzlCTcGqJQ2XtuKE3btytCXJklPUpbmGRxNltONL80Qge7Zmw5U1YjxLNHhNJSFvz3W9s/1WS58
ANhpvCpgwdPUR9FWP9NxghI6xok2aAdWoN31mYaPXNeUhyJ302Od2e2m1IG96m4dfhy9STt0bYIV
kNqoX6t5svdzVv/E/qjaIOtcbDzkFz/kIEJfC8Veu3VOd4Romz4XISjkAapfvJuLcmJHT5uB3ARl
N9jZt5kymvMvBbc1LoAwSD85ldM+5OBcSwsvyEFd2ZXl8FytKNIh/CufU/AJctf+CVDSwUX20LHm
/VA64lgoVfHFqsXvFE4BBhFZtoHm790WStztr+/R6W3LGyMHBuyMbCqWX+rbx/rPwFbejqmNSfse
QcbiT4axc76NnEYdgRs7lerXpi1+xLSLvl8f9/S6lePKhIp+1Zsi3LnShJ6WodNM6r6HaXGg6K5v
i3LUD1kEEcJrhzWM0sXxpPwIWuEYUiyJ9bi9jhR7KKVbKOveObM7fFASujjNnDxH2qiuXK+XhpPm
PGjR0frS7cVVohhVgydBre5tE9vOwoLcvOmALfs9yThlNxv4/PsXVKdciwgESv3cY6cnqAQyHWtE
7/vBVMMt9FP9MFE23BmBkFZ+ZrmCCTi9R/7bQD5pdMkxtaE9LFfgn4OTYeXajpXOgpqxRNJO4mHg
v9kKGzPQ61O7NBRKGZDbeasMAGanQ0lho97UA8yFgyLatdOkWH4JoWIH+zNYk2++NBi3I2Auri+k
fhaDddoQTqYba/tkGK371orce0zuKr+gWvfw3nnxAMpPj7iWh3Apz5UPtj0PiaXudeE5Oy/yUl+1
gvp72tZriMfzzxymjlTZBTsmSZj66RJ2noWTJXIT+9RGw9wygZ03YYI79UC2r1pRueN+Sffvnx8Z
tdw5tgh1ydNBezsaVOFi+APUxvH8LjDLb6M5QKEjLsrXHrbzKxROG+hRXhsk+q3l6617fSoiEev7
2FH6+pNWOjXWEQVyMzh0N61Rb/HBC0aoF4UVfEVKt8vilQlfWGWuU0k7Y6Vpxi8mjD2qMs3wARCw
V1rac6hOFxXcwZpCwKYCGohNarImoXxpUDI9LhuDtwsa+OkqOxiv6tbAoLXtxDtZAjiGvHZ3U+xo
u9qYrG3eT827P0nqGHz4FKh4NfGGPB2Uxe1NVxuNfZzYj0LNhr02FSZuK277LmSwvGdogvE2cXzp
lzjLtjHySmNvKKWxVw2CcR0m9pG8iRgxS+eDULzWx29+Ddl9fgnIQV2MMiT0kez9dHox+IEExQqE
XeMp2qL4n2/6ek5v2qy2dtc/ErlS/9eJepsfST8NBQQKeC+WZyY2KOQq9qTtY/CcuMUrxscB+sp9
MCrRQ6bn6cp4F6bGCSXuwwUPbMhSOjy3AcgOCePpZWhsNeQUP5tR/ietxzW66Wk57b+Z8flLVWvI
u6jcLRaxroY07ad5X3lx96j2Rd75EEWS4/UFPB+GygNVOzppb8aDi2G8GeXzpgi1PU465kTXhBLT
Ri914+f1cc7vF+oqIGoIkigi8TacTsf1QN23uK3v1czlTHAR7WfKwH/UCCdn+CfNbrRssU+wBFzJ
S86PiITqgI/XaTpTRFpc3rOrdLgIz9pemIOyL2rjLx5e9r0i9CfqiPb2+jwvjUZlkgYl7F2UXRb3
SUHeoIV0hPaolSJPGzt9uEOtCzGrLHNu63iCEPW+EWV1XUrcUdShQkdAeLqygVIHZR7OHe0xnNaF
p732unM72lXg04Ze0/FbfgCMxrNOYUya39FeX6xmoeUCRWV4yD20tWNNTHhQ8jLI/DxzkzWE+HIx
3wYj0sXtDa8xDujp1CxS1TLqGKzq9eigV566TfO+vp1FCJ2tKu2b60t5WlOQlWUmx70sAWFUmXX5
WPwTlbkwngNQjd1u1DrriLj69KX3sgCGV58nd4zXfgjmBmPU1rYe+U/1O28XOT7MIqRBKFyhSLRY
3DYldBoSpdt1eDxAE7STPaDLGuJaM6+cmrN9BIIBjUliP8BjAMs4neroiQD8g4EjS2tPTyLJquhz
VfdtcmvHVfr5+rpeGgyEPw8eFTC+xMXHb4BYMzS8HHZRVSR3gZsWO6+kQ4rFdvX+eVFulKUIi8Pp
LrcQbllv1jZSeLMWYWWceaFQfSUo0TEqh7r49e6J8VDz8fH2MNoZhaG3A4BgfHshLfU9WZL7I629
ZNtFxZrA7jJQoajCawB4hnNBsr0EAyZO2+Mj5nS7POi6Wxu4PamFuUPygbRoMuCkVnO5ch7fzCX/
fV4ZlMIlcS8VNo7L8m4JsWIOaNG3O62tp8+KxTHxI7vpbuaB/m6Qatqdo/fBHgScGmwo1U27XNGy
0BfdWHzNCrM91omnTf71Zb+wFkDQKZyTB/M0npXfvLQrNIdePnD1Yl+MSJhuarOcdiH4nBs7b+J9
gyX8mmzH2bD864BXEx5jq6tTyDj9ZrrEhMMtimEHWmIC6weo0Gyg+IPZmo9q11B00LqV9/ns05Fj
SpghO0EmsOSPBOGojFEK8dycsvRvbPTeviVeOJaV2r73MMuhcA702HVKOsuIw0j6MrKmeNgNJjIM
WZ4ZEDjRKCgmJ10JS01W6uRcMRS5PR+pFAQEl3S6khjM1HNtw7ptTcX8mDhNtVHVYPh6/ZhcWjuy
NkIomSIC7zsdJTKmTtd7Z9g5Ri1uRz2t9yKCmuy3Sr2WrV06G3C4pC0okGHe4dOxDKvrjboKxx1m
5MYWpfnarwHrfImqOIAlPNj7rO+L91528vqWaDo5PdLERdUiDtJRg28+7vokCrdmV2a3XD/TDm/l
en99LS/MjyYOVwFnn97uMq7Rq6krepdS7qBPxh/kCdFbSFDt2oxV3H0rTRXTJdLS5+ujXtjBNxgk
eDNZXjvrPEZq1BiNNuxiS/w1+lK778GuUFwzpy//n5Gkg6HDE8UcT/fPzBHIg5XAdxajGDLbCjeK
13rbnP75yu21DIW5SZnU/w21uEacIFICs5iGneum1X3ipEWF5EXQYptjdMDBguizIsJkozTlsBLg
LMBzRDhybKDpkneHSsMywmgS+O9VPw+7Dn8yxIPN4eiFIVbCzjgCKs5h5PlF3FoPJSpzs2+7k/dZ
FcH4SW2b9o6HIjlOXlBt0zJv6QRXdMBJZVVlZYku3A+02nnneMDRiFvuO/aEIC2oMu60rvurFdn0
TSBdvXI9nEWXrAXPKdANAJsk5IsQaLbROB48trwVTnpbcfvu3SYw7l0RGTttnLSVHuxZdCnHg09N
pYHkALrZ6REDUlVxqQrGq01933Z0tI3ejPdU/rUt0gLtnvsjRPIAwH9WjcXh+gm/9AUb3LrkypwD
YoPT4XtzTvsgBshW22P2Qas1oR5a2x0/OGUzu2g+Zv2nzuosc0Wa8OIy4xgDdEK2y5aIjVnLhlGo
HDnEkfstGa1713Zo0OM122xF6q41Ay6ccewIYe3KZxpS7ZKmL1oQjbONwkxV11ngRxg6vVLptL7B
hsCTWGSNuZ/A4P4RySC2VROH9VZRzfq1nLS09dWoQllBBJlUNxrj0gcfXW5DF3GD6xtyfrlJcr1k
l4DnoDq7iIrbUuTUooXY6YKktJrTCrXRRiu1jUZ5JViJwc+3QcYR9A4pBEEUcxZPLh+bYVfA23ZG
qiKpWEbzE/wMbpkAmUURKNrKhXppPPiUnDUCVjoVi69Lq7IZ9wlX7ESYigFgFBIt38ss7gu/7RMP
QBb7VK4MemFJnbcknwI0asPG4hXuTFrqvZr0u7aK08NMe+2nGgK2DnSkfzbXt+/8jnJh3PMHKBIH
ztBPvycQdJM7qXDco6hvX3VhIlKdOsPP66O8CTSfhkqnwyzWsTWHZrDjedoJwFDb1umiR61Rk5rU
Rtf/1kbrKB80o9TANCui/wk81NgWAHB3ZdoaBxaapvj1n3S2yMRuBgkPtRTK4ZRETyeekd8ZJXHC
XgvaaJuDeropo0DFqdxY+5bPDhFlfeQvSFQpS2OQsbizwjqcgzRtrH0Zi/4zmDJzF+Zq5atTXdT+
lPbjygN5YUBNhYtOKifNw5bNkmhI+y7CxHbvIs57j5a89cNw4fS4XmR9wNpGGVdeurNHgQiOjhp/
owqnsbKni0nmlnXFlOj7MVDLT3oc2g+qkRp/QxMWCt5wDYysUaV9chv2nprftLEyr/yEs3hEjo7G
P5cm3E7ewtOfQLDnGVDx9X1YRPVTQRPzo0px4FFtu3LapCO25W2v2pA09HrldJ8fJdZS98jKqKby
DS2iLicaejNAoGxPS0Vymiyv3UEN7Y9hPpne7vq5PXsAmSeuGh4m1QxKtfN0npXhZBayRvpejEqx
jQEfP7Cif/MpjLcWtLqbbNDeJ33OO8uY/MWnCcILS+fF2lqVWg08Rfq+rCblLp2UdtjWWetYj2UY
qGsqwBcOEzBQHYlS2Tk9K7yPhqdY5tAZe7LXeGvq03g31y5GV5pRfTWqAaWaMM0+CEn2y1S9fL2+
wGc3IgcFLCoULHoaRG1yt/8pn4UYu89Idmn72U7z26B3guOMKtzKNi7gXXJNKXhKIR5ScNq1SzsM
dATNvCmEuVdGNfhZj8VwbGMzeGzzDA22rg/I8NKozaJdNltjJRVKxC+qzghgvnu+FjxQyUHBLYNi
6Ol8LTAJbUVvbD+mofWjBm12FHiaruTK51eSBBpxO0BdIVhYPtx2M7pdQWa2z5r4r6lDLsLIiZ0F
MZ7fBy7I+HfPivcaKjmFSMLV5WdiIAQlyE6Q2laHlwhd2q2luGt9G3kUTl41No6YAL0KLj+C0cW1
1yq8GHPXYik8WeGmrMsK456ivfH0Ll15rs7WjwoDjFzmAsSRgFBeC/+cyq5oSO3gKe7jAaw2Km5A
g+zCLT5rLaJRCbT/6+t3NjXG41BKdjnPCE2ixXiOHnfO3Gkczyj4roKL2wL7L9qt2TQI5F0f7OxO
YzAk69+EY+C7LVttipObuJwn2n7Si+nr7HXt9zxDItMw5uiW7IxGfDnPK5HPhUFl7djEuAVMLgTY
0xnmvdLAZGCGgDur+0p46p1dOha6/aa9s7122nYWlNh3zZTCm9TLl0o8KptI0eN00LZSVGVGF+Kp
iuO/CdY7d6oJ+G6TQ8bbOqPofmSUvN8XNP83KK6XknGrI3yxGFRoCJepeW8/iXFQb1DG0tHym+fx
gaq66btWGr4zHvhvRCpwnFS+C/pWp9NEwSPMRFVYTzCo52ZXTM18R6HMQf7S0YKPIF8A9+EzTkhd
OQ4ym7BeVtSVFvHA209gquB2aahSSV88ytSxOjVrmTR6a9mhy0R7S8xdbmBsAI1JU83PY6PYTqNV
rERfbyfnn2vhbWhyBYo9nC7AjfJb/udb7Y0JDc8gdJ/iMUiHD0nBiXiIMhPjRje1dOTyijFtPrZa
YGwmu3eNnaimaNgkAyZZpYXh8hG2k3Ij7KCf/zZhoffAqTsbAb62dbTxBQBF1yd+gcL7w9wPnrup
BtW5H/IEYMf1A7u4d5gL0TECbnAWdJ4qVS7zP3Opm7JXnDJjGSucoRKr7xL4d5he+72Xph+1Plhj
Dy+e//9G5JskbpXMl2WzHy44fCbFsp7EoPQbzJW6R8xepn0X5fktbFjtpjXU6UAbjW+1a6L3oRre
hofjQ9pFfsn3soh11FLpzAFNyidPRP1Bd0upTesh1xuN8/762i6oL1iRUPSUNw8e3tzuBFanixtV
JlTssbKf7KHJYr+3+pFuEiZjfkn3p9sKt882ndprHxyvLLybjs9tpw8GylpZXJXh4frvWdyI//0c
mnZIvMnwZ3luIX+YIps0+6km1vgCj7ym1TVleyfCg2N2YvXgZDAurw+6eGj+G1S6c0kqLMSqxceC
7DriCFVnPwUUuQ92qQ7PieMk2qYNSvN9vYH/HQulDEJnONVLp7MpsI22SVL7SSv15McwkZUU+pQc
2xJZzOvTOr9+5N7KjAToqxTdP93a2rMKRWHnnxBo6YDkm1h4h6i/Tml5jK1Q2YRzn+91K4xXzu/l
gU0qY/RfaUosPtjIaIRuCst+wi/F246xKG4cL3d8aCajX/XlTgzNb0Qs85X7dgHploeZgJ1B4WbQ
v6fXdjpjS/SxZUZ19sscLaf6JpAH0tAxDrXvhtqrmV9aiWvtp9wgKKtzs3a2nK1UgylaDfmdCeKf
Az9UWn5ohZHsDKUTxsqTf+GDo16sopSFQ6BDQLp4l+KyK6n5jsYvqmO/giBL95ZAhRpUg74l+kVZ
NFXMjdnOlV+HI4hbDDMPSYX0w/XTcX7oKaLCpiDuoFVvL+v0Xay2fRQJ1PHyNLrVOjF+bmuh/J4G
S8lXJn3+VQPqlYBXTrwEBiwuGVLzCsBPHDylRdbdBZqBxURkJZsAy/Mfswb0ux2bta/6/NkgqKK2
QtpNd4wg4PQwJHPoZDPqpr8a3VAe2iT1nvrAoS4ZRCaORE0//rm+opcGpCYoWyxok52BLNy8hIBk
qskv0VrTTz3Q250Ht+2gIAnx2Hfq8/XhtEs7CImNnjKtCIcqy+kEqyyhA+E44a86BojztcxTIOoa
UAD1LotU7FCqBBOjTP/TEj/fNUYedf7kdBoeKW6wE3abJjBt4z7bW0OXiMeqaOeVJbmw8WRzpHW2
JFgQeZ7+xMkbJ3xMW/cpaEyyZ4vAK0FudxtW6fBi5ti/NlHCA3N9ZS4sjITNkeTRgkLhVz8dVQEe
NxuTzajGHB8R0tXRvRqtR1VJ6LVcH+v8ruNsEdsBiSJToQu7GCujlR8Zc/JLdeJkU1OLPuRNm/lF
7YR3eCL1D5PWwxxI23Hlej+fpez5orZHjUBayS+3v4uCduij7NeMu7Lha0labIa2iFQ/zc1o5ba4
cNgYjdI6cCWp+brEBypF4vRI4KS/Ssmx2BRdTUEA1+W8xmHMKbodTVNr2oZZEGq7DCKB83sU6fip
Mpsx8C09UP+qPSZ5d1Mlakq9mecm39Ku5Zxe35CzZaE1Q8FW6qpRUOAFPN2QmA4VBNMuegYh5uWb
skdIgSh5CnYueI9v1wc7230ZqdB3kHhm+l9LTvac5o01JF70nOvY1Qs7zQ5unlsHheXxRYmzRGPH
90Yr1oCvZ3cNCEDQmhbxKc1UWg6ns4yKMctzpEV+J7wPvws9m++EqMYvVVaPvxM7XSPuXh4PdCNx
OJWpJS2tKxwq1WOq/w7avLjRM0/5KcYi2xV9nyLmqqnZCj3r0oDYnoAEAC3DU7mYoBNkQxwHo/l7
Uiv39yxG+3ORlehatXGxNYS5hgBYtgfgutjk/dI7lfwY2PYiaJk1OuS9pSsvbt70iB8NdUfGo0fx
sQm8uLgzmigTzxnqPpaCIkXVlQ9xa3fd18KY6nAPb6/kai1SgD4ruTPxOLt5ks1JhhrsDR5R8Htn
cU2rAgvqxly8ICUUKYhAYbdJJNVmbexshrFwreDe7Sj4hIqbzZ/Mhuq0z/9Kcod/b+R9rEIdQfIG
Qud21Kx8+NhVqOD6hWOq7U1TOENxHGHDAfMqxkK9JUPWrJuZYmB800yaiqGIKnLlsQtwntnEfWVk
O5f6/otBrIDEUtVJhzyBbchDmuWtHW0UE6HmZGdjBlDXPsTq5LuLisX06EWd8wTIQ6VzasY4yIG7
QGbLFGG/S1AtjDZtPmXPUYdmt18VjvtTqRD8kDJnISUDpDuiz7XeUKroKoN/dGOpJCPBFmMI/DDK
0LbiBydJ+oega4LxRimC/Ctoo2jyldk24+2UIG6+VRBGu5v0Tv+GwFen/ZryGbeTMk3z5JMQyXhn
O+EUQ8W2zWyHmZGdf2/NUVWPSEOU7uDPNIuGLVWb5N6rxsC9NUPX6H0nVBpwZVmDxYceVx70dWuK
6tc2D1SyiVprxq096+VDkg5Ijw1anGb3rmz3sH1e8N1y+rbYtxqmUL5lp+bPyUXaZRuXVdoegilU
7oM8H71NPNBq/mbXyJYPO2B6FThAOwBOE92UaRi5+xGK7OOsJKr5kkZ0Z0F1ozW392rF+GvGwVzm
vl26Xl9u7QEp/DVs69m1SHccIIAM9qQJzttj8k/GrnmhGueVOr1wRXSHKBtwMDK7cC+zalReDIzm
67jeqvGQrqQAZyOjMggu4E3ondbTErVY2kbf5JMw/9iDmjd7vW+VcIsGgPal80T5vREU9bCZAciM
BU6EsMga0vasdEDgQUEd8BfdKNQVFtfIhOSXledF+LebRjv8Yrid+6gM2kwgljefhqhIEloJAXYm
UZ9/53WaVl7qs5AL+QxqB28obVKw5dpnc60VJC7pM+G9Bq01N0O8Cyecf4XifFSKGSMXq/UqbyXo
Wl7YEmgv47w3b2iC7sW7m7l1N1aNaj9PimLv63mqj5Xu4kFqFuODZ9XoHVx/e83FpUi/AG9TBCdl
UV9Drvn0Cewz9G4CZ/Sewyp25jtnQutHkW/0CtpkGVBQBKLLRRvTsWRmuezqqYpSzbyy3jOVotg3
x1Z8s8owf9Wr3tLevYgQv2U8SfQCOvLMHw+PminWh+BZLcv5Jmnn7raNa3VD+DRtaoGbz/U1XLaA
bDk5EjOD7jMfC2HM6SJmbpxlsVd6z15mRV8c4YlPgVtNW6EO3XFSYycEm0TNIAcGegSX9xtWuHKz
8iPkIP8+b28/AmUQ4ihOLrzs0x/RCK0C85x5z3nd680WdSLXj4nwvkedmG6HyTV3kZ2kL8MYBq96
NA+fMqtQc9/KERe6/luW98d/P+VN/ZvaG7Zhpz8lK3p1nDvhPVceVoVHTwi0HUQ/u6HvDULnLtHq
+Rax9eSL1k/hl+ujnx9pqUbyf6MvFsIaQQP0sxY810MRb+3WnbDQidzVbT//VhkH3AE3pKxBLLla
k6GP+Lm0LDjKfl9Nr9H29txZB57GAYsUb35f5+3tlNkyDZeiIyCJFklSKVwb7+zJxRnVMr4hT+Zu
vWkasE3yzF9d3cQrx/rSJwvIl8iYjxa7PrnO/7w/AmAWsMrQe87Cxvqsj034VETueJzNJEtXrqFL
a0nvnVIDPC06Y4sTkzZEhI0eM1YknPFQ9nZ2VxoxNluwttHELjLL+P7uY0JPmqYfvtmYkS+XE4b0
4CpJGTwrgdaDc7OZ4F5NecpX5nbha2AguWmA7eAcLNL3CmPlyazm4LlVqxLJqcD7PRuVsrPjPrjR
Uc3a1GXQfEuSpj1cn+KFHZRZhgVUlhYV1ZvTHUQSdI7NuvGeNfRCvcOszgk+ZKY579RR5PNK1LB8
M/nqweKSwFvUZMk4Fqm0Heudkmmh8gydGJdACrIT2Gbdjl6CSsmIIrrcD3FMe7w+yQtHh0se+g+V
MU7pWd05Mm0qzBbLGzThC6ZK4oZUET2xMVZ2VtrXK9t5aTxo4AC7SOEYc9ErphnYZJo6Kc+K3Si3
yii0rSj1Kdspbpzcm6zC+xToeVRYWDQm6SuQp9LhXmwjbafECwJNeQ7rGWC1a6fBBrHYpNgUUbLW
wr1wezIWmZLE95PELXYxs1DJrbBgei5MaE47BPjqR00bZ3Xldrl0Wog7yPchE3BcFl+8J5raSGcn
eHbysD/O+jDt0iyNbwHMBfdOPWfHZpqDlUfy0qBAHGXyB5TrjMQMnbD00rYPXxQyhY2ZNcBAAzwq
okirb/qqNz9Uepwcrh/Q80HhTMrONA1U5HSXKEAc/VT8EO3wpY8jZApzC62dHoRPh3BeWN8XeuNB
Y9GxRbs+7vlOSq4mERB1Lag6SywXFetmDCOHbyLtjMav2QhCEkpGf6+Pc37LcIGCsmM5sQOmT3t6
y9h9Yucokkcv4+B498aUT/gnOvaDqStrmKlLQyEoC14dEiW9psXTnuOklah9hHndMOT3k6In36Jc
1MSTZfbua8XmK+diAXRCCLMMjEOU3FoADszKM4oPudIqRzDYfAoiuncjlC+vL+KFQwLyjMeBO5S7
bEnYMIPKyfu4j1/QqLK2MSrIj54CuT73kvhuUAzdR6ZwTZxwmWaxiHRQoPLQuqDMt5yjZXlYlxZl
/KKCxMXJLQm2hpkbfjylxkcqzN2uVEb9R0ShbOeliHJdn/Ol3SS0kKUwjg1FuNODE8T15NTI9L1Q
nRNHnslkg/9d9oAtZHy8PtT5pc0tSiUb3BvfAqf1dCirdIWFMU3+0o6ZgYl8HpfpZ4BMiv6dClX3
Jax0210zVr80KLUwPjSSSUKbxUuRV2laCHKQF21owoMalt4X6kLG/TQW0Q1MuXeiRZkhkBv+cIaI
ouARnE6y8Oy5MUlvXozGsbBI1ePBr4a22w7gp/4mlIlXXvzzDZSvIA0padok08fTAQGjJUXYj9mL
OukzwhCh813EiKO0mpj1dx8W2BGIS9KNAL9Itfh0LMIIpA2HKn1BIdSYv01pQ/ofeEGuHDEHKL9d
Py9nM5N5nAaX8q34fbaUbqOH1WDEHS6Zjvqry+DWaQSoPL6KIf4fY5GZgZCQpQ6KYaczw7KgstU5
7l8MFT2iTrWzYMebaGyHFr/z7fWJnd0zJOHUZrnPpGQPeeLpYGi4Tk0d6OOLN7btvRHgSwC13/o0
iuQovGQX60W68u3J33+SmOrIvEg4MQUAFf+cxfzKyg2KLEz0FzVVCV86p6jVnU6tcCXvO98zyvk0
kbis4ZTAbTmdmpcKmDNoF7x09CgGf9SxxozGQHSbDAWdleMo1+l0UjLFRpwEagev0RJuj8+pEmmw
sf9kVg/SPiqs7zAPkg16wChDKnGxMabA24WpXvy5voNn1QY0BG0UGvncMcqALCS3+J+8zBhtpItR
0/tLydT+HTd5dUdmNT3UiRncIuM7/KnUXvmGusF4C0PK/aHn07Cy1ksqLhUqS8rLAoMH6wlSYPHo
x4UyBuVsda9QhBsUmO0E6V8r7sOautjUt7dZrGqPimfM5ncs+CJAcZOh3eSD1aTUjHP9N6rtQXLM
VK1UV97SMwQD0RZ5HRBV7lyeleWPM2LAnl1m6a+4AxsPwgyM3wpIq0cq3k2+yaT630j1COqRbt3V
SSEcBOIU7fOshbjimKMpfjRzOv7EmRw248r2yRjl35MjfxzKJzAzZVgBUvd0+7TGzTqhzfqr2nTe
B5wwwkfNUjIcIVrX+DQks4LyY1d7WA1Trs99uhNRtBVNNdx0ZjRE2wjZcWtlP5dPlfxRJMJEAmQ1
UjXv9Edh8+eEAqX013nKxler1sq/VkZV1WTXHvQ0tddWQZ6P01XgA6VGLa1pyL7NxVs1ulacR9ro
vCYlttx+OBQdksA4l/t11IafyrYq1Hsnws3LzJLe3ZY81Q9BYQq/NLT8TzERz+wjvcvfZ0UhsQ6U
fmWyTgJkAbJYrISblRLxrwV/0t76raSoKvqYNCDh4hTVTZ40r9ePw/I+Zjh66zgBctRISJa1ysDr
27ov9fA15BHwZzWlIaLUyl1ToSA4GIW4NQc3Wln95eX1NijkfSr8Doz6ZbDpTV1UCYRsXwHjppvO
iMwDLS9vE1ql9rn3KjyQrVY7tiHGG9ene37OgDHA7ZCwWaBSS7zMMEe1ZfVK+DppyfBUSdsffGyN
O7Mf0+3oRjfXhztbXWDWpiFBYrx2cPMXERiRkhrHSZKgrz+0qBGLsngZjX5qN57IB5+6ljH6kN7W
8kxrebolVJ3wh501gCUvC8KaNuMi5Mbpa5Px6dSFZOx5TYBNi827t70+ybM1ZTBamyroFbaTEOL0
260aR8cOoU9fgVbEk1/joKnAbqT6gaGtshvsCcWz60NemB91fCk+Bi6IWGJxh2EDgz1ZJfJXC8ud
myZw3bt8LuBXxEBY/z9DAcCVihbywjid3Wy6ZpWqVf4aZXq8yz1NQdBc1wvfSSkQrMzrwlIiokTU
R4aJvqC7OC9UIRHFVZriFfRitInT0bjpaUYdpkkon/NyXiu2XBwPbhrIF2ogZ5qaMB5TLdHi8jVO
8E33naqsu6Oqj9Ydzryl4leVaaxAJ8++fbAu8muQ1w340OXWpRE9eSV18lc7SUYIB3W1a8rE9rGb
B3Cjtnp3jw92usctZFgLmi4cG54XA9KIDFvQyDrdywl2ZgLPqHiN+rEsfDAs5U1bD0lMpzu3Vxr+
F9aWwUhLuMeJ5b3FGS0KI0Yzoi1f5yI1dqVp9zsgheNBBEa4GSbcd64f1Ivj8XJKsgrFz+XC5rre
R1U+lq99k9g3FCTS7Tw3+WceruKm5ZlfaQecLyaGb7gY8IdUTluqjNajdK/KtfR1dgb1oQ77ekuB
efpMIX8NO34echJE4fdF4gyxlFLW4ruAPZtqBEvZa+jWlesXs57t7cy1f3otYsbuNJfbOlGxe/8f
zs6rR24ca8O/SIByuJUqdFd1dBi3fUPYY1s5B1L69d+j3huX2ujCfAvM7mKMGRZF8vDwnDeA+Hx0
JTYa/bS0V1qIbz8wP4IGAbeHrbOwm5STquSsZ3PN4fSW7OjkdRbVdmX99FSDmFtQ/1e0DiMhZAUc
diXLoZ21iavCGqdm0JbqVz/b3/uxHW5ii4urWbxdylPp8P72ebucQMPoxFKWxABP3ypZjeY05pbQ
xl9WbouHVF+0Q54F6a1tTb/++0ggCUk74FMALN5kOCnavPOgddMvIc3mbjGDZC+nOD2UKBQd3x9q
3Rd/ZHnAupBLAB0LhMGAgRSsweiPp8q89IWXaaX5O65q+9gYvbnvDV9GRqmJ2yZGNaj0nXiXyDT7
rPug/t4ffgtH+t/4K7iMiGeRaq9b6o/xJZBNOSSD8Rvqg23vB781/xnsYTxWsYS9PDf6nR6Lr7ow
/RsQ3IBw3GU52F6/POoDxrjv/5xN6F1/DdUSekC89skPtg9UWrdAptFD/21qk7frYwEFw62E9SEX
ln/she2HSdkLI8zy7hoNbI12m5VAnZojTGeccLGtnLrK8iozrqzfuCUUuDbWyz9m5mlXCkLbZ+H/
prhOkHwEFYEtlK8cKGJWlWH9HsD83BqFhk1iH5T4KXZdctBnxwyrDDOneVbLfdZrD5bKx9vUG26L
WjYfwU938ZX0aIsV5ze9lvq573ivkrxvbh1fjQpDJtv67Zr19x77k5sEhPuBO/LriBtUhx6Omyy7
AJesDy1+d7s4HQFiLSQ176//5oj/74dwQ8CPoBLJ+/lyNzZtBfjeLOzfwBzTfR9k7m2ajNNBm+xr
ZsLbiL2OBeiL2VKggCWxLe2OMkihlNtJHGqWj3Zq4OPYJIf4myri/hZ7cUjGPVZ36OdhfqMJCtqg
fn68P+E1Ql5uOm9VF9G5D4GM8NflhI3Yr6UDYgcbuKwPTqMfPDed9Ce0iMb2Y9YhbgxQbcyvrfj6
IbfjsgXpR4BEfKstMous1nJ7gpqqrPSh8fCBux+hwkRmq82/+wK1YUdL4++IIlbwGQpUpRyFGcKI
HwHGXJPenGRPs+3K+f9LOFoNIAAW8cJGqGALcw5yJ3ED/BbiEEyqfh+rMbl1Zs0Px9xTUVIJdVKq
7SMPOfXDZCoPll1vn+elMvcW7ep/3l+et/sRq3t4Wdzqq2TENrUezGByB73GNy+HiX6DL5Z4ZFHS
MLPra2yWN/HnVc8XEg3jUKKzNoewqWqpab03xfSG5jICXY7x2tSU8TXFvTd7joEgBLHn6Jly3Nc/
/yPke7JVc4dSCrRkUS75HptD29wVQ7o0ONlx3Yeg/4b4NJqyqa+Ev1fA8MXGY3ByzrXKSU+FQHs5
OPqdiWwWi40noFrNB/w+EvOcFE38lJaWo8LC9wYdHDvAyB0GVHpwMoRIX2BMLXXUZrFbhS2WqUNo
ot3Oi1UZ5FWYusJEsJ/wvU3rCMekwQ5B9br1vpOBSL87SKVpz27XJNXJyRDCDOsxBRmJP+NMDm+o
qmubUMBjTVVkW7H/Y0pl9ZKUiY310uJ11rhHPtLHEoqC1QK3qbOK9OX9zfaXdUELgKYdrB3Y3Nvg
R/UbQyRlGXHoch/cVrh93lt2W0YJKozfeLSqlx6TkGsshjd3LpkOTJIVBEEpgCfP5YpMTl0Iuy9N
7D2hO/W3sq3nLpJTbxnnopm84gSvS54xo2rKfUvD5tqlv8laEV9FnYym09pFhEe7RQm5UNKgIkkr
CQfQcVih2dNqcArvQI/qoBp/uHZ8jc7+ZtKMiZQUwntkeWuJ+nLSoNqV0U8aY9pO/bOeOtxIVm/H
xMR3wERa6+jARDi4anGvnIC/zJYXAspKXP0rdWQNA3+cPp5yuRPkJq20uUtvvCFu85vYNJf4w4DC
hX1Xk7GXV94Fb3YW/XwKZxTi+cwEsk2SZ8T2mI0UNTPQwrYdDl7uDpHROUYZljJuIg3P5/sOsI24
cs+81gIvjjuvL/CaKwsR1Av05MvZzt5UB6VlQYcZ9GmoToqnb99FDfKixZehLei61/ZoDDe+yu10
iDwfqNGdctNqvPcqSSpw4PW/mIcu9/PHEePgJDQ6E8h8qZVjs/ODwT4mJNZwDpt+WbHdaRlnIbTj
2PuZ5IU77mxSef3Ws3hYJ5FDf1Gcg4HTbOLx6OGGnA/YnuztstTTBzenILQrnL5rdgWAzPjKBbe9
UIBu0Vpl1/FfAJa3uOGcXF/njWZ+kcG4c8zPQYFmzPzx/UCyTW3oXEFrhQgHz4AWnbd9KQ1A2b2l
QmTAyLv4yTC1LrJTq9vxRObqSjR9X5cLxBHDrg8jLbVTV4Eje/9HbGb6+hsQoyCHByKzUjQvV16v
ZAxAt0FVoUycfatPE+4CS0EjSFzT+N7cnK9Dre+FtYBJCrs1bGpGzRQdLpEHUwT5vVRzfF4yzFPf
n9DmEP1vFLL2VWIVxvaW56epoPLdHrGUtk7sQ5KKLMpxbzpoXDzn2C3tM9aJ1yT2//YVX3WiseUC
tboFNrnceqnns5KKlY7GoipOOEOkOFHhn/n+/DaB6XV+3AHcBgBwfABqlwvmi1IPes4lKlGZvgPB
r0WGl/W7tGnTOy02r4nO/+17osOyvrYA8RN9LsezBN6OqznNoYM492gO9coKMcRe5jAPLFGrcHTz
/1hD+N8kOX08uDkXyKZcDlqas5u1c4Ddk0/S0A55R8gHhKPjG3v4z9/TXhH61Czo38CruRwKqzBl
Tl1iHpxCm+uQAtGMmRPgwK+YHNu72PG6K/Wuv3xRRmQ4zNsQYtxqRZZutsgWGPVBxrHaxV22YCpm
ekese7s7c06+zQTqm/dn+ZcNyrZkLML82u3cHPMEHJo7ssqIpxRx5E52dpAel5ubldewmps7e107
5kW/aeVqrczmyw/a6Mo280DoBwsH5UNuNfWOKF/vrKboVtfc5dD7S7MXQl7LmP82SeLoWsgHN0Jn
5nJkCE1zlY4ldiKpKHfY+Axhb9dImwX+NaGEv5zClVS+iiatDJNtfT0Y/cG1ckxSsibGSaRVS5SN
U/loJj39T224JjD6t6mByl+zA7wfGPNyamv3Lh6p6R/ideO4M+1FYYvyBm+Bn/99p6woO7p5XExg
7i5HypDw9fS8YlLJXJk/eeOM7rNB3m6EsxkvL++P9vY7IkLH9cMFRGUN5eLL0agrm1YeEKgbYI4H
zQ5ygBspdopzWpz0AgXw98d7+x15UxHLuNSJLUA2L8cbkO9fKGPbhzHRnRu7wFAgMZf2m+uL5MP7
Q23LNRyEdSxwPuxF8BVb3jE8Lnya09HG3Ak02ENji6T715VegVRJnHpde5xUn8UHZ8A4+sHt6E6X
kRrNcvrU+DiV35jSc/6zWimf+hUTS4UG+estlKtBVL2lpoAkayyE04bcinn8Q7n2Uu6ceYrLPUq2
WCd5U5obt+9/kb8sNq0hYDuo4Kx2Yuuf/5FT00ttDGAsziHOebhyjfjmqUpM/4D/dht5GH5F7w/4
NhS9RlkwFDROoOtsVrtIF0kaUgWHsa/zwzhP6Yvwp+oWPrC+z1qtvy8tIUKArfWVGL+tH7L4pAJA
EumIEQaRLrmca+INVlmNChelpNFhPMfOEE0t1jsZ+TAEVkudywpT6NSp3DtdKf25nZr6WC9KfrK9
VtEgXMwrO/Lt94fkQWtq1TyD7bHFDk54roMoqUmN7Do5O2Y/7vO5q84J7KKHxvGf3//6fxsO+B41
olXuCO7f5SeAlsdVNyLJqyHC+7E1i9yMMn/KGxBo07JvCzsoju8P+fZ4r8BTND/odZBPb3UPWUyf
akVsHaw8qfoQNC/O5j2ousMEC/Ga18O2DMYiAzVdO9Y8+gnLW5wiJGHys5hbte/Tbmf7jQrdfjQ/
qGGp4OtMw85Z4F7Tvit/EEFfKOF4UalQM3dqt74y97fp9fpUofQO0m8VEd0kamXuG2rk0YXacTmg
QxTMeYTranKNJPZ2WRmHXY3AHJ00Cm+Xy0pjdZqKBG3JtJqTTyVCB2e3MMozqF4tdAr/x/tL+pdp
oUvySp5cPbm3Hhd97lZxYuPplCu+cYJk3oOf1PrT+6P8ZeMwG66FVcsOJ9/NXm38IW6WSkdPssjs
T4NKijIMcinPYwUJLXx/sLcJIBAAblZOIg99PublF5zbfKbGL1Dn7JPke6IFznfqrPFyixir1u8b
Z1DaMe3svLkSD/8yS7RACYfc66v1kXk58GB4w5qxrc+iZTw7id0hC0JDEJteTf/8/iT/sk0Y67Vj
vQJ5t01H30CgD/wZt9+clKeEYLnLrAZxN4M2XeLl11Sy/jreKsDOMnL4tzd777vKHyFsHtwctkWR
+cXJI2G59dvc3pnghvf/j/nxdl+lhVZ272YRSWs7txtm+2CVmbsPTLyr6lx4EbWDfoeu03DtRlkX
548aDYEGBOJKzgQtCYLE3rSurXxOaID4SBV1VDoPTTV4H7VUwaeHP9zvdb/3aLh5nU2npIHtu/OK
HqrUjBC7XhkYJTVXQ86b/cRPojdDwGVXrVXJy/20YPrUOficHSqegKjYm/O+UlgkFN58rRXyZnkZ
ilmDQEeSYdUeuRwqyTogOTRoDuieNw9xM6pjsqhkP6wCcxNV0ystrjdhh/FWkhvoJzCq4N4vx3NS
IbQaP4TDYHa4+/YlKvPhMhvDf+QOvEYB3knwF2iZA+zaTCy3S+U1U24eOZrZYVB2dpzRCdoTyb+8
v2PfTAk44Ao8WBFdZNxbC2t0zXo3RnjpaOEm+ZFN45zwBkyuKHW8HYV/NXXTNcDoq5Hq5YdLF8/E
Uq13jgZ6J+UenotJzVqoQvX+lTj6ZvvRfaQVyvFb+9FIHl0OtViFPah68FcthPxf1J3dG1HNzc7I
dXmNyP9m/60oaWBwK/thhXBtplV41GFrq/WPaW4j3gzkFWKyZt0JazgXuiaulJ/ffsWV4kGgXtkk
tP82u2LKR6CqXeMfbXdWe1RHl7No7WtU61dDnz9jyiogsrr7sTOomKFac/kFJ9fDgQsJsp1ElMAN
LaMrqu4Wf3EkT4KsMeMJtrPjyXtOCJ/UxE5RHFEpT6wTloBuEQ7UyAPukN4rQtkh7xAVOSyuMFb9
3B0MDPC+taMD5q2Ju490lPxHYE7WkyNyuyAfLubPOFeNZ5G75kepUMUK47HyjQigtpmGMoudf1GI
asYIs239Xvm6+p5I0y93Lbqs5wHClr3zzDmnPNuZwXKijkX8y+1moD/vzcIKXa/Tn2NpYpYYmBgn
P+j1NEx30JQstQfb5P4MqOeXkZnYySfRFfJ7aS4JRgUeBZK7uLdFGxJ8AM0IZ4gf6p7m82EsPW06
uE6bLjva5GV98OwYmEWc65m3d6UZG08+yNefcqzL6oi+uk9jShhGODlqkT+tGB/jXaw4jXtpW6kc
aVU5CDVFXUE1fFfYmSqb00irlCTOBcSa3xh0xyyL5kvciQrNl3wsH6u+iJN93MWO+GXZyHzsSTk6
O0r11Cpvh0YtfuQnZWv0UWprXcvHs0dqBySiaXtA+C4ogxC8SiK0AyIymbqtq0GpX2XTOi3FNyuY
CETjPH+ZhAfLMYQ+0wXHHkX8ayS/9QBdbEWqG5yxta9K35MK5+VWRE54MaBrxvs0zmoU7hCbLPFs
KEJE1JYDIFQ/jGv0uyqtol0IM2L3fnTcHnBSeVI/DgTBhPrK1mF3Wvp6BlCU7YWr6tPg9d/FNFYH
19fag2fW16Si3hw9RPeJWVxnAMEgIGxbDEhgJcWSeNkptspGHGRgIlCyqM509nXlWPZuScpU3tpm
Yzq3Xt/6w74HX32GwDoGUPNBSxw9O0uXwyRaXezbttP90DUzg3PaV716qfvES0IQDUq/r0c9Fx8B
NONWalUktQ+zivWTHCyrDUsgpC2H2C6fSxLw6csQe0a9N1tpDjvXy6lXOFZOE79D4UjHTlUa4rGc
6rrfoSBZocPjxeRANDGq7muPD4h3SHMtQQsd79tPjSmH/DHHP+7O0Jq2Dtfr9oc+pZO979osqx6C
LjGsoxz0xLgxMzP/bdhZ7lSh3vK4CokXWfAkPbNBtW+Kv7JSpRtBzAJ3Y/TpdI8C07KXEvrbR7DR
uX7mt6r0R+6gm/xPnGnxcjcsM6YNwmq9+gjW0MPrqMoNM79xc6Bb9Bh7+ZSqqvKPsxbUBabuyroP
amNOf1oLrH1esmLc5fRgAnvvIESthdmIDHwSuQ7exaFrZB0kgxwOi/nS0ixUzY1MaQjf+G2xpEck
iGIDn5Q48IYwle7inExepRpsiKCNn6w509VH11qMnwMJnXGmZGbEx0Y1Ad1/3yxKCGItaE+7c/3p
5f2Nz6Ntc/RelaTgZFOv4j3LMbg8en2SSkpNfn2ieWyA2mip4ngHvLs58IlW1/EQQrAMuoPvle6n
Qgn1O4gJC09NhZhfmNd4dIU9qgd1OFDYGW8Wr0p/6H6VPMQ1V/i+hLkyRWiDNvY+5UDEVogSIibZ
Q6ZmE9njxKwe2eMyi6pSN7uwmZGBZL3gHD5NWiybZ4zNtPLg+KWo95A8nTSq2srqgCBIXU/vps4z
8nCY9aUeIx1ZHXWo0STO77UyS9N91Zb+lCIrWSf+F3vu7eWrqy2+82J2Rf3D7xPLi0bbGPtbP41B
tYyZbs1+RDwwi4dgFpP/K4UF1RCI3D6bHwa3qI3TPObjvgRDmh0CFOyQrAS8Z6WRhyNP/43OnhfN
RSPKcEoQfzplS+I0JfHMmUU4i7ZNd+ky1UtoJPQ8DxkFwAfbrIP+AeRZJb66bjm5IVLNaOeko1fP
hyy25/leFFD69ivHbohEamUn0XfayM1ZQlh6lsgwjaGJbol3cEAAAYmhBvPcSVndzEGi8gilk1G/
nSvNF2dUjYNnzSkTPw/9Tkn4BKbZzVqUdN6Qfc5Nz3wB+yvGOZIdp6+OIHUk3a4shlLf6WDz550o
mtzZebXvaBF9jaR2o97klgsrROJ8DGlgUi/IPYKzlyHsx1R/1KtEeP96i6WB1pmtutwPyK1JPcRl
KSueSVmcf1Rb9fkn6s7LTquMzAcR4sf/dkVhfGjGeDJu+fz6vGs9lb0MnJ/4xoIAsWJ+PK/VdsJZ
zKOlZxn0I7eGy9mo2HoRvZU6YSLGdMfVabXHtK+W+XsFDtZ47JEunL83QW+xTIapigeVJ6gg4w+p
PsUjjfnI1Ae5w8iLtuwwFdVNXJt1sptlE7OPRZo4mKX7IjPDQjpV8bnSZvHN1prBekwHA6hamkk9
Obh9U944UpvNTyCA5/Sul35AxaiZ6vSTsPoyM4+ywOT2NujY/WPYpRDf2x2Vn7zcL7as5k+LoZxf
Nn+IK4O9IAAWWqnBhRsGGTqK4EK55m7i1kiEu5/trrejLEO56Lu30L35IoWwNdJyCO/qnCAfYp+S
JfG9Q2Xk1l2neb28mRs0uO+ToPWs8yK00gB8lDUTTekkB4Wy+CrYm/VoFj9pn03BmX+XQ5oK3LjZ
617rHUd3josGFGKiEBSPtXSJ6hWAEFp53zffJgMgzb7vITrqgj7Av1PTpP0uKZchftZGq/vHNloU
cCswn/NxlqZdR0GTpOcRjs1834EJRpmt4HbZF4Oh3VLN0Ej7ponsORzbIECQfNar8aCvBoIqcmWZ
vICDKOr7TJbj57YKTO032ZdVhRZmv80JCrc0QpXpxs9YTzLtSvllm2KgRLa2++l+46+x4ocu42xm
g43W2l4/oTdXFEdjEfA+co/OnELHvDeMaBg7Tft4Lb5vwzvDUhUhpQGPjQbY5ikbz0AMEtU4p5x0
sXr2u6UL5oiSSPevZSaJ++B0E4SQPAVysNcQTFNIwpZEM1tpzvIUqIEj4yNR99uZ5wVSdF1NwxgK
ZxXiW0Bc/pDA5XMZDhLNd8ztDf/ODrzWBJM5jlN+paz82kz/M1NcAXhrA5zq6/pm1jdvI5u3WK5o
r598o48xTLbqsbg1RyPodoj75yTMdZ9+L6ra/2xXTgsaqvQa78m3Z4s3AKJR4k6r4lRfHzWG3YY1
/WfxgedVlizYWJhWSM5eWntNI8h/6fMhO9l1YzgfKxsNPt8ZjCE00gDLd7cZy2teM68wiMvpgZ9e
K/QgX8GZbc0ngwEQmIit6SRxI2kORaXr96PLG7oZuuoxm/U82A8ghdIwiJVAvFDvv3ZzVVu7uUqG
k+bPX226Or/woYGLiYjF9Nkep58+IPlrvs5vEgfqMSDBTHCg3NqUNC83tE2/tfP6WZ6gZs0NTOWm
z+owzhpa0aFiQ/URUjL6g6dLVR9W85ni9v3N/fZIIcRGwkha+loLWP/8j5aSPSZ0QYWrnwaqnZ9p
Xw37Fv83ixucK0fFJbnr+yMa24cKugR47qH1APkHQNy26sBUh8bXKvcEzCPTAV80NXDDicfF2Wus
zH/AE63UI4gI/kkzKYLMYTeb3hIZo5cLM0SSMPCe4XgvZQhTqZgQTHL9DJcoB3ExJcfUjMhgiweX
/9c8dAXdqStz2BagXcpa64v/f8Vu3v+XXw2tPC+HMOif4t6Xtw0J0SMV+OCua+Gxjp1ECx73zGsl
lLejUn591f1Zy7P+9twG1ghff6Tw28ClcI5d1gXyppbe5D/FxVwkn/LAGvw730jNa23m1514cajo
d62S/kyDpyUk1csZQ5zSqAo15bnP9eDOlz4w8QFb0Pg5pSH6pLWtbMKstZB7MvrGMR+TvO2dgx3P
ogpRaNCnGxYvfZizbOqqcG47pziq0ixeVGxiv2hlDZ5/vG+q3z1ztA5NLprgCuPtzc6DBA4WEmAD
O28laF1OIu77ZDT1Sjt57niYA3Df0hnmX9wlzhN3YbyfjWSEcew4v2ZnEVcKe9ab0x7AQQOT4yED
y2Wylccxp7SpFrXk52mxWmOXBLG8K4bWpU5D6lGi7J/nuDpCwm0/ehRKW25+p38yp8VRkWjyEqVX
iLnx3vRIcEU0LaUof/gQLe5nT/j1IV94ckY1ShW9ChOgabA/idHdHNqjbw5PErO4uxlspAqVbQtt
D74dm5Wwwrbip+1oNi9RNbs4YwyGO+zT1kriM72qwDwDmpd+OPd5o0HW5amcwUeSrh9RrAqgbTvQ
7LG/Q0NbP16JF+thutx6LBtgLWq8YCv5n8tVq+QSUBLTs7N0Y7WEFqTlk9Ev8oHaeX2kDpCdA7ri
oW7EPxvlGyfsPIfv7/+I7c5ZuVg84uEPoXMCeGnzG4K6SWPhjtO56ugB3RaCXCTkjBvZiW4eVU3L
ylx9ZxudtA6aU+vp2U5rvTj8559BLxy2tE0g8AEgXH4KtSzS8ItkOOceyGwIvZAFxkY3VOSYSWmE
iZ8OeyfOtftJlUWIhGd9ZRO/llX+XA2+BLor4Nq5uFbI4+ZLdEFCMS5N2rMUS+wfkyEYlrCf/M6/
XYYRmCl49Km944nV/bBbkM770rXrh3xQY4eG39R6p7aIY1yCJvCoh7FLp27XwSnMB7Cz5gxEdtLH
7IDDd39XL3qlsLYA8HiaZO2fK1sIFWpe0Zz6IO4kjyMQ7e4BmUftiCP8WF3pUm1L5EyX/vs6US5X
MJ6bp700TGuJ4YydNd/9V+m+Nu2yJP+StENjX8lu33TD17GoHwAtYH3p+G3GyrLBL1Led9BztH8V
lq92KIoydfYovKfHZqQqGqad5dWHrhrKz1KgBrGk5fiVitwEnv362dtmBys3n74KWx+8CSnKJlOc
KWjKbs66swbwNY2GAdZGVeXtEOkOJczI7NMluHK3vmIMLnfYqgJFVsL+Jnhs023CiaurdhjP6Qoa
OLtO0Vg3COv1043MB3MK7botp/Tc61qsfZyx620eW1tfdvlcDMULwniyfAkodDymSaDF+wqizZmX
nelRGu2M8addmVIdPHcpxDGjbj+Eixt76a7K8wxHLUTBubOsKpXOA9aSuXyGMMOly7t2eNEgxGgZ
bielWUfTRKgOiwJBrGsA6jc1JT49CCuU02EsrADOzWZopNDsKp7qM23N4WFOHD0GbNI3xY1BW9IP
B5Eb8a5zeshJ1Tg0/y4tTsAHI4NVE/k9+/ME+0LfpaA80qjJ3OQfyCf1fKMWQ8t2zWxat5Mjxms2
IW9QW/xwlIV4YaD+uPbjNq+loaLrn8i6O3sem/exr7nU79OEwrBhzHVxbnPDedCXzhFHzUQl9xHS
W95Ho+Xm6qCqPPW+vB80/3KuALJQKAa7Q7uZWvFl1DQ7ffZzIBBETas5K3cCPInw+pNh1I9j6ydP
EvLME+m9eds5TpuFeqOsZsWwqi9xB1ryyg7/y6mCg4pYAkDSFba3WVqVlELKsbDOPTVkSj2LK0PP
qJaj3dLkX3R6z1dGfIOUB2e5AmZpkK64fA705Seox6kwhKYPZwuCL6yXxqtUZA1lqu9YzLKpws6W
Zv/BALc/IPVIhXWnUS4CaJMXlnNlRd5+AKbPj3BZFJ7U218jPVvEeuN2Z6f33PS2WOh87fTYntwf
MNnTZgc309Zu398G61f9I6yQIYAyAi68niiIMFuLB3zaFcHSpTvgzujnGfO4fNLmdnDIKNLuGtnn
L6PRhfHom/PEJmfZpJp4EVe2okUJI8BYqv1SILkazWYwnqyyyH6/P7VNs5OpGTAhgJbTyOXQvR6A
Px5x+exOTpMv9n4Zlo6yIW0RepGadaXQ/XZObB2QL7xBYNiAqL7cRE3gKE+Aq9+nCGDI+8nAmeCL
HOlk38y2L8SVusv2Ib+2d3h0wBtdX/FwVNd8+o9pzTp2bcLJXNh68Ezg+GMukPM6HAVUXVp6rTxK
LZ7i29IgB+sidGbHaReMovihrTiXPU2eJA+FZGdN+9KG69ruuipe6JzaDZasCF+0TRb6k1abxvH9
NdnGQX49XfxXzQB71al7lab689dPlK89e3Gf+8BF+4FAkFFHtIMSCmxyv9Ru+U0bId4sIvPdG2iR
xYeyaeRLY5tZfyVrW1fmj72//pZVKg88Acg+GuKbvHGcdaeqKzv5UMVeb4SxHbtRUijjm+wS72Oi
lEfBMSiuQEA2x5xRVzIH/+HE0RjZtkWqbCBHkNP07MtK/BRjUn4Smr8sP7QKY59dMdlyvsIA+8tX
Z0wfvU4DeQouoU2gq0ogNVTn9eeZtQluGwUI+9zYdeWXYSUK06fwX+buUfRxWWMopdyi+apxyS+7
OZBxh9vEoE/X1F02z4f1S6w6ZGuwg5DhbtmgzWKLQk29etbzZT94xexGbI5baWa2Eylsf05YsxCJ
KIBX1k0C+qm7llyuS/zHFiD6IdLDvYxE0CrMvJWpyz3ELfNZGM9Va8RpaDZT6h67Rlu0F/w+9Kdl
qGS1T7upm6I+mfvkswAFUp4quAh6frKSvDZCUOVOuYuh9erX2tev/enLH0igoLJL85gnOj/08rR3
dYebmD64YA1aY8lO0C0C6LNli2FhKBO91O7sbkbOmTJ7kFShMS6eEWUdtZpn3ZfBdOhAANBzAkFl
c8VVVlF9NCsr7s8CT5fbpebW/d0BBYHX3GpU/kHtQa09lFksRdiNeHxQ7quEKVRk2N3wsVRYfNHF
n5vU3xVNg1Twzow148YoZ0celDEH5aMIqiY/aEGMoPbY+NP87LedSzFEQ25i303kQvusiB3tVIvU
6SK4ffKTM0GC3BcTBjBmlJRzNjzQoDft5yY343kOCy2TGPT0anZ21dxS+3IT0Yw3psKxUYNLrH3g
VxUv1Jxo60sWFOMWHH7IkPV8Lk9jqx6A6dvlk6griKfX0on1FG3WCuUVnsEoD1KN375UGq0GEWcP
xrNs5XRXob1JvWGekaHOcPuLkKle3fcQcZaYbI5iZyqJ8gASxHTU8Ij+9H6o3dRV2NqQ4mi6kNkh
N25sGV1DLW1kLOz2w7CIR4k7201A5TmSRU+hoxL5b9+uxI0xifpKtPnrwNQlqYlxxIknl1tWk3Zj
5lXTfVCBndzQKitDrwJOx98unzJ/1l56Hgtl2GE7fvP+nLcZ3TppgiuPJKBoaCtsoflJU7AXcO/5
0EgvCXZ9O2UB9WOwsRHUmjxyB1FYn9LJ8KJFb9IPEq/SL0WQXfMifPsNgBXyY0xgjBTXtjh9jUZp
h8jC+GH02OkYvZqhUZTzXTnN3VG32/R7pmNgVAyu9s/7n2BzqfEFqIK8IteonYNs3jw0isaksVrC
d/cNobJD4UzJfJdmXWbvcIGdYYGirhjWTR1cDaavs7o8AMwV9SNomKjJANO7XHk9BY3XBX3xQa6N
GorVVlusr5dZNwrKMivWsUZHrwwxytPR9A7savmolMNza5gDK0t2qaYyeSe1iaYCjyEpnnGhitVv
BYBpzn7NsBTl/Qw0hU5mVsrkOMRmgNdxIEVxp5oxaUM/yc05dBulErqJnUGTOq+6cy1jjL2KnlO4
HybaNKWfmXNU6rqC6kiDH3xLaiC3YHpi6u7FAvn/QLW2ng6UVLQsC0Wbj/0nErP6ybXm5ZsgAopn
p25b96gAe1R7cNZLAA1Cz/pj76V2Gy2Di+9k4o669+8yQF3ADtVoxAm554LgMHSSf9ZKMvdJ+HF5
V2U0Xo9zGTh9VJuaOfKp+GDDqRvaHh9RiqXjzpugeUdlb7ogA2hbtR+Br2f9UyX8oTxL5WRWZIIs
pptaO5MwKpQzypRusCpVfvA65X+AGeLVoZeI7ksOqIFHaJ8t6qvj/h9l57EcN66F4SdiFXPYkp0k
tbIly96wbI+HBJgDmJ7+ftTdjLpd6vJiZmFXmWwQODjhD4XzfS3lfcBmqnsAclO6eyWGQjLmbFPE
CMZhbAGv6uPBL0ptfB3tuT1kYpLgqFyr1Y7jSIoX+vU4p1tXMvblmioHYBxRYHS2/KcdmapuhgyH
v3KfzI3dfPfHxHMfVqLS8gDMWTOugAI6XRrNgZdsOzIiKyKLs5bmgGWJfiuJwLLZLePS2psWfRQ/
WryZIz1VtdV/a11jrI7wP3P6G0AAf0M28x/KsRhfzWqe/NAEwFBukFyqg41ZAHrQh9zMN0ueBAfw
SBRJkV4whYyCNAWzAF/Mv04bEc97Z/Sr71VQMQ8e/UV+pazMA4QqVhiPm1tlE0HlB+iwB6uny7cK
6nuwr5e6nnEhacDUtZXfBdBVnDSO2nkcpdo6dhvkV7M15Rh/GeXws8mLJNugm1DVM0Fz8F86Ck/r
qJJCefDKUq0JK0xrvOLQ5NJEFNy1hxvDKzz7uYceBlZgpmcnNnYRuPM9GyEvfnQmac5dPJnVeKU5
wYL+tabJeu8prS8AG45ZcUOXoXe+QD1JhuPS6E4XDkgJ/lqWGQOxaawxjh9NBKkyZrWiSdHwwOhq
i51MvS+80Ta+aKBplmTnouN/BeCp7M3dmtSQURWe/jJptc9c0XDrGPZM7FQ76YPoKO6Kqhjx+3BS
urcRFhzd42BXMn8wFzU7aL8ghnUB9X4eJKG0MDMnCad/RzfvY6AC3QsKxBX9E6AXcwMAzt/KOtWP
s16l2GWp7LpmZvG3FzKHbq3r4a6u3dNTw2Ka06A3YG3hXsegpShy8cWXfvUr8Dqa1BXn2bihkx3f
lz1amBdwiOcXkuNAYqXiYL5It+ekQV34emctqeU8spkXwwgVsk8W/mwcUCifwkVHIZ6L4Q7UICyu
TScycUls9A+XM8JeBlhI7CVWIuj6jv+p/dyuWACdCvFUTjqpETo/2X3HXOrKLpr42Rp0++BYszi4
/eI9oknVbbVeaBcq0JPyi/uRQ4mdzQpX524+tbWZZDvlgVEVT7mDOGASZb2Ykz3nC9GjBBirfuUY
rfuXWnnvT0XRbDUooYv9f6zcf356XtC7tfOlfvJ0PX2sDC/93cflcgBVn9/rHXOWv09GMVtH6Xsl
wVLcnsotIs238ijK6qnzkrLEonDKpi1wLztsMZH0Npiv+/7d3IyvZaLJPXNl5C1TsrnbFgbPw+dJ
yfnuc3UGM/R+2Hw0Zdbz+J+fX6NIj2quUT+NbZV/7/q6ORYzcq+oOdc3GQOcKSoSosI4aerCqfvD
UScngfRPWwH72rN8yOOWzqemerJUJ+8GZekb/KHUj4nmcjjnDrWt7OXT57/3fJM5JEAsPV0uw0JW
5+PvzY1Ga6u5lk+DAodZC8ktqI14J4eTqHeMikAYfv7E999xkntZSHkaEGEJL2cHfHRbsoWush8z
sQBvLbXKopuBacOAwEyWGXCfnXyHsRKjuL6xS6RU4jgN+q9EA60+1n6z3sc9At/Xys4teUePgks5
js3lmTcHNk9wKZY01KrZCv6ZseMAopvNE5JLRlzMVhcq0ZLL/W3gQlsAYARB2ub7gSX9uJSQS1Bf
9Qf5XHgyR4Wuc5qDBuRxb9SDfvACUaELS4sI2GDpNRdW9aRDwWZde3pELTIK5nunioSZ7EermOr8
2XbScddpOluGTAlmbd5EZTtkh1LLrHsLROK1JqTx/PlHPe3Rr8+ncqOK4PisLJt1n/3n3HhwwUEr
t/oTp2VcbVbzoCKFHpzfUzCIR/pWdtgsiOrsZeOWX1Sd5nmICI33AsCgYHJYOH9bXhC7PO4+uhEr
dco+3dmM2xsth0MsM5E/WRAWDrhHLzGwbts5yGyIj8OCfM7nC3F2npAb5uiiHQa13KT/+XEdFoDk
MZ1w+6mJtdi/mQerOMZNAZi8aoLsMAJU/fX5E0+6uqz8qqbM8jJ6hAx0OuFMNXICNSXzk5q04kvX
aNWTJwyJzSjZ9eePOotQJJQIFVCqr2MY5icff1yClSp6Y0HyXKd1+7UazW+j8N2bkvK+CFWssq2L
yfrfFuk8FGoqRSokcnRzTr5jy3wPlFsTYy9sJTfUbH6kG01Fmhc7d27jeTdNSdqHGNw8XGiAni8t
T4amz2CXhhi7++PvXcypmrJcpc8VvZkDJCuwsMaqwRW3sNMu3IMMdPjnPgRGdNvYrqCrGB+ve/fj
4yo2MzWU8J5IP5r2EeAEmm9Vh6v2CL+ysLvfugdV/8sCpxYfgcQoaDuSgqM9WqkJpPN6yaZh1/cG
vA2z1v7xmyYTu06I4mH0gyLeWeBA2hAnXAHAly5Teo2xQmfloaF7vR92mBh3TOrTuMHdwxkEgkzQ
Mq7G0ajUA9m4oX4Zwg/yu8zxG50qK8Ob4r5fJ99hr0FvPSg81wUjGa95rQtRvDT4weeg4AQj1iUe
kmWbKL35ZRAQsk3lyjaJZtlZQ+gSpe+6VkFsIbHWAROlZfvb7+y5CGfV1f2t03faNwnGWd0BgOxe
07bS3tBL737li2HJLZyr5cF1itiOkiF1+qNuKefJnorlF4Bhis+iLY0wG2gtR5B8qhxXTTNWYT4n
6e1omQIlBD2f5TVeBNWTQuGrvyrLbnE2uMKpqA4EiLaE4VMZ4oCHj5od+GOx1VFfSw7ePOsRxnFT
89pMhhbsVdLV/47SzzgVOQTVfe7rY/pcUrlrv1sTxewHANxyQ1qJFbETyEq/iWmzHBNp5Rr2zFr/
L/8BXSfJHH8F7jBauMqjyhrStBletHFuzK9VW5fXbce9cA09y/K3YoyV3Mypob5Z3OnVFu4WSgA0
8LoBuDPY7rAGcU3izJ9jna1aB5iwmVWVezfjIcv0VGfO9eBTLU07X0dk74hXsSlenE4WzSam2pvw
BUqs/DAhX0bPIF1tNxy7cg5tVRYG+HpoC6GqlESeThSFum1meicRnprG8Oo5TRZfoxU1mMN2MWOB
cQH1VlB/R3h7GEKnScpXBXUt28zJoPbD7KfW81StcArLzFugJaSiaUh+Olthiujx6qEXLxO+0JX/
RvM+cH81LQjZDbIi/UuT2IGMejRy5Q3eZ2W1mXtjto+FD/PvChy++KESC4/eKhEapfyAWnSFoOUo
fyVcU18TYHvfi7ws2lDT63IHCCtw7qRI/Nu+heixbeIx9t5of1fovPXu7OGTXcNQ89j/6BBDqhKw
x5TzD8G/7x6VM053SgMcugFlzNBAEdxUWLg9UzGBJ8ZbLmEZPWT94sZz6AnXffJjmv5gzQo6Tu0Q
6AeKQaIIPYFsbFQo+7SZt10mGoHZuTXhbI2Zs/dSDZMdoEDpYZoQ8qooum3cghFS5KRaae2mYcyr
MO4ARh1qwWbj3GTFtPW8jjcCG2I5tzJt+7e2HNWvFfT2T26wuaORTzsduyHovpcoYIljGQ+ywlat
rFF8mF03tIWcvKusK5ziSp9ibSAbK8Wbo8qu+Cdu/d6mJaBMNzKVNH818FjjQ1aroAxRma3yzVjP
IDqMlLkgVuwwmWhujIX9CBq/dqPMasf+V9zNQ3Y99E2yPEvl5MahbGYkq5hnadm+yabCCc2+hknB
foT/4HNbHFC3mhgvVm2GPEY6ZAgYCVFHOgj5YQN0ypqIDV6SbvTBj+0rLVUyufY8DEtYQVPOoS8L
M6aDlwtj08etfectkzfLjawcIXakqy6NQjuv3+AIY9ulnBg2aQgfwFpQ1LKteatJM92VJBDOS2/F
St0OMe20qDD8sgVT6aoqtBPTfR3jBhJYbLftrWJVlbNpZpD/N1adGsvOHGhShLZmyGI3OU69lZ3J
GCFDlrGPwLhL9ylwgUfkECJS242mJkNwykDDEkdPqH5b/gGz2buwX39nsxh/L7IuXyzD6NRhCPhA
d3E/exMUCn3pkMnBQA5GqdP9qAfLBAFiCW8gl2pzM5qt2kqv515HipdWYT55GwhglbnXIJD5j2k9
tf9WYyC10Msr7bcGRX+AxIAL9raxYu+S6s0pQpmUyPc8tJtIAFfuumN9vEi9uu4BzAzNs5+k6XTV
jaV/lTYIC2wy5Ej6PHTqzv03yQJxT7NL06AgchqNUm8ZPyngf1vo/JkT5YKdtHUau/hteC3eG+kY
133k4BWs76Vox6M3i+KSc/h5lrWKuZM+kuwAdThF6CWuB0rISNvnAoWxmvtKBdspN/xQc/VB29pu
OmwETr75hQTkvIQgYQVNTlOeIePZUChodY2F6+tnC1YhV3vQVsW+Vz4g+mXqUyJu348mosrz+Dbi
xjqirJ0l04W3OE+gSZ3NFUMHx48Jwcm3a2jE5mNlVM8LfJCfqKumoJ/SEXpaWmkRtCr96m+TWqjU
VPurWj/w4lMwi22NNquJORJogOTYpY6sN7rtlw+TM3dPA6BEaM2VGv/6d/JY4DMurTZov/pJwbS0
SNl2yWg94edL6rak6Y4rxb/L8qW4c93q+e9/JbUQLWHUp86LbuCtWN6bnfUEDrL7Ps3SCXHwUNEE
eGiOlFN2h6bR87/tpjDDR8Y1oJG2qpydCtJVNbAlOaT5s6MoR8IkaJALqYrhvhPYtobaXGthz3QN
3mDnX9LpOd/PoNhAjoHRotVwBj8RhY7XdDH4T2qsYVGBYgWibQYiai0n7TYKIddDt9BcjGqYSF/H
EV3lCx/5D68AChItCIrCVUdjzfj/UxUDGWgn3CDK537KtHAeMwQWR6O0vDBpgpoR+VKGiT56b2Wg
BQPSAc5wQUfh/DgRClcfUsQb4G2cVk90cvUha7zumTLH2jNUHHskmgz72k5k+dSZbfny+UY7e2Cw
Yk7xisCXIqCtdNK+bfROasC5zWdD2eK2GWEojsJ2rpnsNNewQy7ZIZz3amkcgodwaOqszctT3IFX
IeoK/zJ+dirUsZkguT0XVQBwJFSallS7sRLuCyYA3hfbVUDdTWus7jUAhZckU86bIOur8LsJIpxr
KAofP7fnwHNs5BA/26Ua0cWxyzvfb2rUCEpoOEZeip1plNpmTPT4W27GeSSM1vqezsp4qn38Oy5s
vz+8EFZZ3CVchiuUxzupKGeLMZBPfPtioJBw1BmFfFM5aoORcOBKoY7ViU0Dkon2mLnM10liUJBk
AafBMWv9Zz/UlwTKzk4EgkjOqkz7/q3O/GeyOAia1khzJjB6O4Wdp/k/+i4fv9vp4hwJFm+z01kH
6Pr6VSYq55Lf1en2RIYQwCyj93WrwJ87+UQBbkFOrvL2UWtEnV5DaWnzB68u/e4AzwvFWq9G2v/C
ITy90XkopwLKHtRH5iqn6rhlUopC5r7/kCGt8U/fUzXvO/7U3Js6d8DWnYpW7ayxaNoLYf+0nU38
Q9AKzBiYXjr0pwFIVy2QNY1GPjCW4GfcF+5tXS2GvZVmMAZbZ5HatxyJBzvq3G5OL1ytp2guVA6h
WSHzBecSACDgjo8HAsRe28KwTh6rspl+TKYGFbdcijqyujz7Bgur3wd2oj0GFSq3k52pl1oNS+iT
gF/qXZ3FCd5lVbxEYhPc9Nrq/vguWoN6PFiH/NEoxHy9yuRtqaLkIUZO6sYyktYNVRAkMUIkXbGP
/SV7Hdoltg6fx8c/vMeqMh2grcS1BI/u5E6QwrDUSLP4cR70Emv0ubiz2wmbXwVE6Rf64cYPz566
Z6v0td80KBP4xs6FIH2+LVz6WiCJiZk0507xbEEGy1/mg/OIMVJcRW6pZAUvwtZfWr23Z4wpVaki
G5qSG+J3i3v854twfiC4DCF3IqOwunueetgodE3l1OjTI/IbxWNmTMVu8VQQmXFZ7XNr1K5Yokt5
9bqw/22vkUr7BoKUWAdgXaGf9udjzbFWmwr12PWLCkI3LnFrH3NHu6Kzc8kq/izO8BjWluRHR98E
UZWPu02AGmibwjAefT1XOCXQwn23BPpXTHq8S3Csiz5f0tPAuv4uG0gHiDGL8cOpQWJXTN0ooeY+
2ssSHKZhKW/ddBLzHbCL4Yp9nL0yyXa29HA9TtiSp/6Fj/qnn0xUJ9EBrQ7Z5uSA2dVs4ADa6I8L
glfxjp7XMN8lCr3zuBSGcZUzwssvjMfPNjK/GgA/q4dboknJd7LM4EuKLpv1RydRAmWWfukOtFaU
Hen+4GHQHWfFGx3BuIjsKk7/+es1X+8SQjrNFhLrk1/s9g1npmytR+60Cr9TK22/1quOb9YjMnTg
9pL7MqVLBWXAi2JIbhcC7NmWxm50HdyhvckpBmv98eczbKj1WTPNx4X5T7+xRa3ZV5mBXlsbxIm4
sMVOXRLWbI6ajMBl8rNXOt3Hx3VpiegUBM3HUqL3t2mawYFn0Ff2eASK0Fd71WWofRRx2luwIV1g
mZWTTdpPwCSWRcd6GLBhLMGZJSIQCNIGQ55b4WCngJeixq674qbvZr320Ad10h2zMulElXSokmpP
+WFtdukWRjdqNuHigmjNI0pV0LhDl9ISF3U9oL0x+cLZTM6a9PeB3d+LYZL9hdGAYfFbP0QT1oKc
GmXdNaGhvDlZi0H0FdMk9zGfJ1pOQ/UoEaDCtCJGkatSMel8KnLvRom62nZTP+7t2i1/KD+d3xCP
GfZgR/VLL7V+gJOXWnHKZBgoWK96Zh9fKrXNwUlRrXk0Sprde6ElbXDEdqBQRpT7pbZnwWu6jChP
BNu6NwttnxDFxJM06vKS2sNZkIe0g/4deGAKAqxiTkIg2Le0XaZqecTjM83RR0njjZineYg8o3a2
0JxH/NFia/P5ofzTY2E6r9YA5Dz+ac4BScpD76UyHj2EVpwrzW3xbM2rlK5109SDduyARe26pu8v
DKr+cBi5z4gC641Gxbn+/X+LvRYOJ7g+/REwWvav2/rLJm01cwA8FOjNhV95yuNczyLoRR5IfUtm
f3qbcdmVwbIM+mMMZ+RbAkZIRYq6rKTRl6cbkAKLvAG+P25SVXvmtklGBhZGKdsrA4zx0W+9eXhA
H8d9G8zMMsNGW1wvnJJW37RuL+ftWDONeFYAtNMIdRrhbdAyag4CNjPezVldBht7FDnkkXZYse94
EYoQjc6guER/OoUMAFNmSwNPXdXRQOGfOgaYMkua0ar7m3JEiPI2iTs648sg0deHmCHihzqzaWsy
Hy+KKM4X91cNQ2s8ov6b3gXagowVJuXNa8m7ZWGghnSnHJnr1/oU5NoeyhEY6wog93hTW/nwXZqt
zLdi1rRdPGdWeaEeOM2L338PCSCOM0QRWF0nWyWTebWYwNFhiuZZ96UPGuNe5m7DnIYZkwyzWC4C
BzF7uG/LTpWPFp03FeJGLtNXGOTlBX7JSfLAnU2ODg3pHRLLrHU9U//ZuqTgQdow6zxmrHKbwQFe
siXSM6OzNq7HJFAPOVbVqyncctyMM5zAUGpLYV24zs9kCniR96oM8gdVC9Hj44t0Thssk+PKo4zt
qVERZmPd+FY5YDAjpkwZkoWz1zI8EB0zahwJB9fbLKXRH2cw5P3N6Le9k4JwRPbH4EapSL9CTQVG
a0SVVej+b1skE/pcYHiOXt3OOcIzSVVGbgze+UJ6cBKJ8O0zfRg7wLspOLg4T1Y1RXJu7JPYPNLc
Ut1XvTLEFVPZ0djQnK6limBGxM5uaeFuvHweBN8llP9zE7w/e7W1AcTGyeEFPi6kPgToSCos5xCi
syeA/cBJY4TBBER4RAyLsfgia+zoeRcEwuDQdVk+iCiPx7brwiYz+ynSDRmj+dq7yRsEb/ir3ZD4
zk6AAuYyd/rsplA6GF0T1T5wqCDEdbpbeaHdgBhrvpm+qp7AbCKVkBVB3x61WOjrvMmcizi024yp
nuiLLkwVXnmREZTWfT/5SD/nSs7JEQWi9tpPEX7bIgeZ9JE1ABllOMUufCs6NZe7IvenW6QtqRr6
bGiSXWIY9fQCyUO89gOI2k2PeN8vzQN5cqw6O4Vw0lX+L18U6JcURTv8U8RML0Jyno5SB4x9sa8C
6q+962n1DRbyKHb2hUm9nsGbPqCoBjPCiyU45RA1PuEfa/r10Jg7ess46TpzcEPTSWv2Y+MZV1kd
VIIfaA/z9sIX5gN+/MC0u1YDNlK/VQTopLQuRtqeplrSI8I39bhhJKIOts6gZ4+K+HLos8n4+vkT
zw8n2DQeSBt5ZWGe7WcmoB53rkyPTSVs9U8wjOZ3VNf9YZ8HJvZcmVwMroomLk0vpJnuRQgooeUI
H1c6DCDdEl2wFGXhhTm7oSfXWSaMeb8klTNtbFmZLrJcgXidtXoUdw6ek95BASqyLkS7d67Ux7WD
jQiIhQSO0HXmA1DgXooQsJYezbbu5dXYy7I20J9A0joMulpepeYYi+ugUVUAQlxWqVlEbetNuxFf
A5jrQxYfyQJ6c1v5fSU7RCZN/asjmuDeod+N3Ldt5gAeMAZLsjskqOcvTY3kzLYN7HwXWET5awRd
s+dsEUa558jokNgdt12yzdRl0xxOmkSzMTJEbEIO6Oz8/YL1/J5OXSARm/38257UUYQLCBi0bKkl
GDkROj+GC2VMc5P0QXDjAT7/XfueA9BUIH1n2PGDrvG1woFBCU2atAwufY6TVPr94VDOYMEwhOHL
nDw88OZkQZfZvxkp1LiIeznCKuhcWf70UkwtXyipcg9FssD4QcvIES8dMgLuT8cfBQYSqDANkauZ
xg/kX/q+DUvDm+8toPqDcW3IbJYvtAKBq+DZmA8Ke06n1l45pAtaTU5cJHdxgyvjBiFKvxs3C5yv
HYyILHhNjDS492NsINnVBLmWpgH6RuR0QXWH6GyFW/XUNj8nYwI+caHael/zj7t0HQ5x3OD7Mck4
XZbFkZzGWnduJlUXFfIGKCMGd4bTqC2QlqbbWVT2e6eQZbZPHa14szViJbNj32mWGvkpIP2/mzZ1
xbXOFE2EZa/R7gvaBlKApAlW7jwUE8yNUdOKkVHRSl09Ta3f9Nq2Yv5JBlLCQYOqV+Rcto4v7WYP
ByApNjDyAve7U1DYPxvN5Fe3fiaSbuN1suMLOv6MWOckhX3VWrBFnxl2ltZDhuTzcOwh3QLzSKel
jkZDzM7WBolBMVDUpgEgxV/KfYv73fiMaCbLanuD99gWaEfcBV4mn0rQk8ATJndua5QS6ib+WmGt
mXBh0WGYt0g52vLNjS3ELjpOjvYCipQWX19OEjnnBu5EbIPOQS4smFEtLLW6/VeIzEfYsKZkev38
aL1Xxaff0WNAAXUXzwgAzh/Plsh1B/EUtbpUrnNVN2v9H6SrSf5r6cwy/2X4ssRT0oiXLarQs9jO
6UpzHTwOwEZ5Rpq0YRvPnXlLop0Z9+07Mlu2vfWSoMK/KtEVqOZ9r4QzeM9JmnHVOvrYWNzqSzq8
1Vh3p7+adGi3JUylONgGTWcHUdBLbn8/WabngFaVgCsBlKBOST0vFCt/iC68E5boLqh6HxmDjysA
j8jP/SKYb1wwkR2UokA9WJptqVvOnKnf2O0AmSAYlOhuZa8vYrzwAueZmOXBpWSgTkPIOWNRMPyZ
GHkPxo1yabjfZr2e3La26pERyGOdloLENPQGTeWl3X3+9ddM/uPHJwGDQ0EqyBgUfPvHn57mFW15
VckjcpVjBsFfKx8nM8e0Tndq70IkPWXcE0lpcCNaAKHNZr+dtsN6R2+tHnr9jZEUQ0sp5GN0f4jz
DB1k4ndZvakGG4RotMY6ixCS0hwCoaYZu0LvTb/b5GruxptmltPex+PLDvUlkcNjWZe5ide0ORY5
Ir9ln1xYpvMPxK5YBeYZimPvcCoVoBuZL1MxaDewIn1jj6KhDhdzwQbqqYLlwGXgDK+GIl5eePAf
vg/8FpYK+T7+f0o+YEpUTVovxdFPpZqAVtI7eNFVgkY32KHJGS6NhM/PAlN4BInIomBdEtY/bghQ
RqpJpZDHXgaVvSNlG+3NQAodP5BN++Le12OjBsTZpT8V/kHd4+cbcj1rJxtyVTEz2SiIAtHG+/h8
KixPor0Q3DSqlNdTvBb9hFX9UTFAuTXzeBku5BbvrYiPj8SvYlVSQBKJs30qGMicOK8LPfGodg0P
gamJ0cMjVL22u9H0qm3e8qQXXZRNLajUFGk6IDalk/oPRjIX39zESGLkqgeEtZ9hpaLwaupz4V4a
lv4hvXUQUQczxAAblYzTbq6ujV4duG1ybIKY3DGctSFbfg1jr+60GSWUsC0EPJhsHd9neVrfr6ZP
qwxzHxv3aVn3ZbKDS6T1R7eHJhC6ZpFqd0GZu0AOZuh0B22ynJ9abGit2Ci+QblLvGJILnQXzs8S
PsVEFZPNC5TmVMi9VE29dMy3j9VkGNcykSCFBl2k2kGkOWBqfOS5FbewNcv6ErP8XYni5Fs73HNU
vSveAObax+2VVmnrG5rwbkYppzfHB+6HEbZbgjr26jEheiy97mP808exu4Hr6yNBp6PLHCImFHfR
AE5lfp4Rtm65vVVZ/FhsEIEvkunq8oqTggLoqImg+tY0s3Vw3GxIYoRX07WU7xPktbaBT8smmpai
BGDseU237cZAm46NARHkV9totWjv0zHtunabaoMsk3Cus4p50zi4pXecLGbAXwYcD65Qi6vtXVeg
oBcStFfoNIZhXYgyafmDY6qoZKAouviAT9r30dKTKd/VfmcRvT4/tmcdGs7N2utfCQ2Aw08DpCe9
GnhfQ5/DXfQxynwTA47W1IqvSYIYZwRQCl2onVEDZboWlVf+kJVha+rq89f4w94CPbSO0Rj0MPE4
GThkCE6v/YDk6BMti40WdFQGfrro4Ko7e9wvnetvstZBBvqvHwwNjv0M1AOA2Gm5i1ImpUiC5QX4
ApWRwmPf0A5pxStoLbjCopBHiDGX6qJTH3hu1FV3hakaUcHG024Np//pjHlpQRY7xMvNiuz2vKiV
g9vuZjRP87DK/eG3PtUyDgeE44Pr2PaX27Yvy34bd6OtgWm3EVUehfRvpJz97UCW560tPSPeLQHC
7HD7gwLZbx1tzq9xliEG1nXF3N2SuBr+IaYVMd+kwSzdm2F2hv5HPmM7cKd56F89LY2d/Rimho6J
1oxIwjgxitrjlhkDEvubzs7ictigTnVJ9vb9kvp4yldlXhJa7jD4zObJNlgHB55V6gGA6kpCgmaS
326sPivnJ0zvy1dOLCkCwhzBF+qC6hti54M/bSABLx3waIYU5b4spfYPMFoUaz/fKn94O8KPRVMT
vemVSnHaRBzAHKSxDxM4VwtcPUQtxvTKNgQ1RrBkvrdPjKq7HVPlxi9mPRUk2BiGiAZVIsiGXwI4
wNYGkSth/xjmuhX2X29mer+kOlC14Ipxjj5uqt6jszvBXz0OziivdV9Ct2hb+ivJld2zUfbYNGNL
awOzLtsLOeL5/b+Wky5wPHOVvThFhIxzv2QDOvZ4UXT+v7jQAOP0cHgHeKDAKLm1sC+kWOfdbhch
KIYVjKZX44RTGo3pydqUsVkcnQme/Y3KY+Eegnj0960oH2GWLP9m6KeFiAfPX9x2BNbcjEH1qCMc
WF8IYKfY4Pclp49HkgzX8rzDDGDVr828649yGbRZRKCg9WFDq82fUI9xJsN+cNA2u1do42oROvVO
/qiWZsBVh0kjrIxwhICbYt2gA2J8bqpxsF20D+Jee+lyzY4fiUJaetUhGVYfVg3o9GEBmOZeSpnd
sy9JEAYvjo7wypAig/24i3IuzcJqRHdMSj+T36VlpeUT4GAfrXnms9c24OQKyXLiJZKqSBVCasjF
+NomY7YTroZtB1eXgeCIRju8RMiZ5k9ETPW+xXD0y2cQ9+WTzsgONYp8ib/H2eAlYQOLPt9UdeG/
CI/KJmyMmXDP9DP29kaZw15AtKMRdr5BVd8er50qEzAC03ha5Qok6UG/6bF+Kg6xigsfdQTTSb67
+CkNG1vLdGfLYLdCCidOKW0Xs8Ovx3FKVdwlTm4FzJsD+3s8SkO77ifT7Z60fHLXvMyF6gAnyAfU
apji0DutYAaaAdG4UuzLJjRGu+/DWmf6vDUWRipXLoKm8SGdDFQDndwkrUPX1MOTvWe49sPNGLq/
Gw3XSR3i3Q5fIXczH7xcN/q59tVFGx6hgNRq0Ur+PIqd3bSoPa0lHFkzoArndCTjoDzu4CeTHDW3
NNTP1BngvcWwPK8xS9JQSUvJOlYYxqXoeVag8GBCO0MDj9YyQeLjturTmlmIDxR6XlbYdeVo6aFz
R7P5Fy8G0V2Lxqi9Q4s2dxXNhJKfzli635a8ydo+1KcsmL8lDhUU00HJZJHwIqpSXWUujgbXiW1g
Shv2yF3/TLlCLpkgniIeOd4AjhmrvUPZmRaeQBTMKVuswizlMdBofuwNOXsba3ZgaVhtfGRagzA7
3sLYY8f5mO8LGihpZEvDCumFeXhioKV+oflwHv94J7I3yNUEHETNTsI9Yhh63+ZFcWTP9zOeL7Yt
wRxXrXfsEkhHEd4s3NP4h1i7Lmnan6UXB98gh+HBqVnVqF4/31pnNS+0VIQNV2/KtQI9HVQnvUcW
A3D0aLt1RRtAFniVpJ3nX+kumfPnD3vnn37IFXgaZQ+q2UChmFic3MY5yUKeqQrPgcyvU0SCG+yK
MPzQM7CAGCtGNC0F/M3Kztt0iGY1sgQbH4010BRFojXDgwEPo7wh0U4QRMUbIECv2aZVMYZ+lSxF
euEInJ0AnyEzc0jokhAySbk/ngDERpnSqdE5ehPKbiqrvGc/7+c2NOFZPkNdh/RWgC2+L4fUuzAB
tdd//MNy+av6wjqfILFCcuRkuTA2R7wbGvGRDfM/ys6juW0kDcO/CFXI4QowS5ZESg6aC8qSbeTU
yPj1+0B7MUEVWd6amjnMrJvd6PCFN9h5spdqpfzW6HKBmU5vBziUNJYW0ubPS7gn6tqI6tjw3WEU
uNlYsOpgcfI5YDXSbZPdEBuQt7Cxx+JLmfaJOM6SP+MWQmOKtAZGWKonUEU+9lU3UGJGMlwLPVty
2ilBaieJxmdZlnT7PVFE8ltP8giTJzXqEk/JtDH0VLroLxFcrcEd0Zaz1jh9Qz/EZahx7nJ5KFSc
vbragUEE4DwCzKOrlRGvuGEkZTXKch68qm0h7vs4BKHgpuAStdYLcHo4DpoC1/fGblxeq9wM3AoK
ghoW3Qa05c6/rdaDukzlKT/gW58+NyzYU6k2E8Y7kyVvQUW3J7iqOGsZs7USSdfdaLTZBoZfsZNL
DKu4rpvtqAvl0MvGcB+3Ss/dYeNidP2XXvxQXeZ/c9ZBkEYUu7iGQ8ShY8jj4gBr3tjZaRr9Kqhu
70b4SutSlYvHNPlHRS5uvxm5YtBSRGiV8RdjUjMoer+W+kNaoVgQDWXn+bKae7D7+51CNOJGmtXd
2PHL24irAQwdeEyCMsrD1qIgVcYl3Gu7ane5PmUvhoWKoBvSLWjcWqaEf2MDzN/37+P1MRpXkfoh
pgMy/vz7W40j0cKT212JISOFrzyS3RbFqnI1KkPI/nTQrPrXT8kM55IIgAY2HW4h52MGatdXFZ4x
O7D3xnc0mcS0Ku0gyR90gGmYXUkifckaQqwbA3+2tDyE5GdATGZE2PnAKC84eNwr7a5oarGyeqOY
NtC9o9oFQmHdsre4WFqqr/RSZ3+GuTm8lIAQJhiknGR3n+lDuBoSM147GcJKeH6/iZL4/voB+ag1
nH1KxoNswYDgoGYT1PPZtZnTwxedzJ1ANDvFbakagxbU8gy2f4JHpvee1U7m9GhGY3kQiVSa9ymW
JeVTlQkS7WpSgv/wSlEjpLkkCVW1RgMtEsMAlFaqGRuvtpLKPysutGGtjgg9rcy+iF/yGI7amvfO
cXaRnatHBMQQukxy5ALuc+GY/c6J0iz86owT8lmbvPFhaq/ZcLr/HgWZofwM6QP3bPO+aKbeq+S2
Sd8FdSeo7lVgQD/OYqMK0awsqN3leeQ3XtVm7buKnFx0J6Pdlm4wfrGC7wl5bruvgWOtKpzSgj0G
dF3lafpocJ1zyar3PQHwOreBbXmi0gBIqr3VFRVoB00h88lDuOP5GOTAlK2uEy9W7CTF7+sf65O9
QT3QoWbkEFjKS/dYSdHJgVAC2I9FoEwvahgrQMgy+Xc/iKl9SMdEvXHQL/Y+fexZMoLCDaGMsZS+
d6KOMM9Io30ilPQB8KgiNsAU5f+kqImK9fXpLSMGbFX+37fQ0Okmalic8KwoGgoHI/AezDk1ignU
CxHGH1a2j5kpKMxyndcIW7mOlN1itHwyUdBFs5onsiMk14toxYh628+gP3PIBx/YhSofAqXUvuiT
2r1fn+YyNmGaMy3TBnFNeIJi5PmJS7GUI0kT5o53pHcrtYgxIsHPLL7x7T4ZxwbQTK9ujhytpSCo
4tQIOxeRvQvQStC/d3LXG4dM6HJ764a8eGURMkFoA4YeVgVcJYsbMopUbC0w69mBHvcfab72Jzmw
EdHI8nLCrDalWeb0XXqjCbPYLx/gTbYmJSAkjsngF8Mq5Oqt6AbtWMZOsE4T/DxNrcK+VGhauYMz
n+YueYz1R8pDfXf9Iy4D8o/BKYXOqFFISdiwnn9FHSHApK599ag4SGlBA3cSv/Jqe+rEfkT5VXuu
u7jfDlapYbwlGfkXB0puiqmwId8F4WSP68BoeoPiOcaJX+K66x+TJLfV1fUfurgzPn6nQ9+ILBRM
IMWq89+pBFj4YPKuHMVoyd/U3I9jL6mH1uOyTvOVsEX0fH3Ey89CWZvez/xIzxJVixGpv8lAHYR6
xKBsCh7bfKy/hqqUjqvB6pQGtpisvCIeHAZ7zar1b9dHn9+rv94z5gtPlIYgf58r68sy2dh0WkkP
QD22s/Z5PSjGu+UbnSflyM1JGHiuIKs6mzqlS19L5nRjX1wuN4Vcispk0LN+lbOIjJilDlp80o5B
iQlNV5QYYhqZ+tVBBljxSltvphu35uLm+pgwf0O1iLQd4ZvFRkQRsnUwmdePPuY8g5dYevdVKmKK
DnpUqU/XV3dx0v8/GG1XKFcsMmnd+W7CuE9W6zI3js1IbfhhsBrpD+IQaBubmjx8wVUuJAZr/p2h
gSq2rfCXBf/NXs6RJY2ljL12pE+RvEkSMAiPIo510BGovNWt+GyOIGhnbSbFmfWnzueooj3RN+De
jvSKiG7jQZKOZufLj0hqgs8L4XatirodbjQcLylt7NmZsz+D/E1C68Xzp4aRKdTC149lMDnYJOiA
rEXbWqVnRNqwyvOs/lWjKgPlXMKLdjKCNWwv9fX6F/78Z+DNNet9cZ8ri08sFSgfDZKlHztNUlA+
05KNicYz6mJBLt0pTWgezHgs38cwsh+AKfnQTKNb9INltWfeaIAveB0VjqlJL/n8I+CJ3hQVLykf
oW6rvTIi77NFMyMAdxNE6Gd2QLKepmQwc1guCcosTt9P84USpjtYydV447H55GAjDcd7TVcYGdEl
CV8Xep4mItGPVZYABRNRuEFyW13HlpPcN34pbtzbl8caATiiIKTLGZUezPkChDH8HTx3/aepgmng
1iIrv8spqPacEoW4cYdcXppEIpwvHeF54pLlS+r4SSiVapkclaHM28dGxJO2Heq+W2mmFGJ9aUed
tcrDqno1MQz64cgdslY3UpHLc0dDiGyEy5sK3wUFvaHAKBXGWByLts7e+D2tF/e9JrykyOxp6/uB
epf4+Ppc3/AXH5Z7mt0+C2dSMYJzfr7QCo9SF/RoOoCcGPINvVgXJjWqoE1Zb0qa3TemeTke0hEg
ZmdAOYDWZW21QMJ/BBTqH4tkCP19o7X5i14CL0MTKaibdaIP0791q4CvMyQLOtdAuEGXgXWO6D9C
TLZzrI2mbPeFY0TbKrXwCi6NfOi38mTqyY1lXdaQPwadOdPksuysC2pNaNIsSYssOKWKGuDtg4mZ
+IEckz29DPWgxytRE6Ie1MpJv1BAgEg8OpjMzgrd2bCvmkpU6643Q+nGwbrY6wgX4QBBEjVTWQmN
z7+3E45GCZvMOWZW035NBDZZKDvZiAuR0uuPXZWQrdLVTI95l+Uk31Z0g2D2yQ6AwA5US4Y+TFti
8Qs6JasKbRyDU4fv1kENIvXVL5DVtBsRJF6ipMGtVun8J54FRcwZ7YxZhRcgLJqh53MefKwAUPlw
jiipT9JdoaXZPi1tm9M8YPOd2FOpr8IIWo9HmYAG0/UjdnGX6WgEoOdArjNbUC3vzlTpANIjq3UK
QfnEmz6x0m1dJkG4NWgc3Thfl3PF93ae5wzcMeiwn8+105oo9/sqOcWS1OxLQNcvk1Fp/0HR++Eg
ELdBUxOEOopDSPJcn+fl2zl/U2RDicPADOnLsbUC8V0LidBTjALONwR/9S1uX/K+6SXxaoZGgXAd
cIXGl8Dl9Hn0Z0Ci6sZh/+TgzUrAVMtghM/qmYuAMDcx8kGC3TpqNa6igoZw0zxHQyAZj/QDEAZA
Lp3oJYJAPxvFDpK/06U8GVyl6uMce6ZQvRe9Ok03tv1HDn2+C5HzAFQAAeKjOL940/OmUPPOThyi
OJ72NWbbRrVCes/q3FTII7bmuA77uEYHcntnm3VUeXjn1OsQOFmws3FpQdgr7v3YQ6YjRmquGLLv
uJrZ2gEOj6RTHB/Rw43pCGxayxn+UIPunhr05KcTvoBl79GWqsp1CF3h7caXn+ury7mhEONgp0pp
EiOO810Xx8mkWE3HCTNtSWCxp1meiTIvlSSrgSAfBQj/KzqaDcjL3KWjCmPDEsm9JXe3vCgu3lHd
nMuHQAVNHa2GZc275dmxTGjSRwBcBu3hVAu+BaYirHUt90HnZrYNWCswRfx8fRE+GZhHjQoV3Ddy
kWXBwUQVv/C5go6OIRQcWqBt/KALkHRbBMIxWkum7iUMQulWkf/yeiEik2k10evFu35ZpOIiwDc3
HYJT0xhKhhq+UnlApCsFP9YhvlFov4xMZ78NVFspc5DkycsMzy6BJnUoiZ/aNA1+g8mpk23TxVrz
2Eu9Y6xHhIFmCxgTCGMG/rR4RkZNKleaklTaqpYr6ca5+uzWIV2Zn7MPCMMycZCCoNGrzgxPUZ9b
X0te84e2kCFiKRoCpwieVy7Nw2GfZboPQUbqBvB2YbO9/vU/NMUWR+BDD2Pm1FIgW4KAAeSi1NQE
zrGX2rzc65E02S6GDCqWQBAVp3UWFR06elEikE7sLONHYNRIHZZ6Gre7oZBy/6uvjY3vSnqKHzHw
6hD8dGU9qphmPcGKCjM3pYxVef445M8jbgqGhx+70TygxzVGbqtnwZcpCNPfVkvgQbE71+6Fg6rr
Jki0OHq25agNPTAbNiKNBsJZdBASBKURPvbNg6KIdG20wB83YSlFo+dX4Cy2RtFI2za10Us3fPT2
YerKvrNC8qaI3mMlrCidt3jsJPGoxV7dse+xFqlrbCgNpQ7dGUkJXsfpY9klvs2fAIZ3430DTa5f
tYUUVgdZmWTtp2ak+nioG10d1wOeXNhmhHYBMjCqpkfsPrX/SidX4OokcfT1+sf7yOqWHw/la14O
xNtgGCyi4K4tUkOtTP/Y6Pn4a8z7atqGtmSaANLaSPcKPBtgi4wQBN2strP2TeUpCzBId7J0k9SN
6FzRVc2DjjRr4HZ20b6jQFlFXuIXdXkjoPjouSx+7gwBUMj5yRf4yefXbZQPcDgCRzqGU551K1ia
sIuKwB9lxjbC8K5Tu7R6DJpatrcSkCqBKU9PJlNnfqe7JZqoJFWi17rKlYZW1tds7ZbWUh0H7tRr
ytvky+wDLZXLn0ofJ89WJsf6Gn1PeVgpDZpja8jH2aNR4uS+loC4MHCdQWJDLlSt2OVdovMPRFn2
acV6uWXYjdW6Abxw6/zPEc1yMWD8kiMCsZzf/vPFkCnI4G3k+Ec62Zr8k4cOoxEXQmMY0KIaS/1H
TnMMk+B+zOUHiL/OwYlkqThAgJJ7w/M7bFILqj63ctjLQBfEBv5YoPO4mskEzn+Y2Vh6YY5afkpo
oItHTYTTawxNJXoAZ2zs4PHUN97hyxGpxlJ2I7CnAQsb4XzEcNAawBhOdoJGpcpY+NB3HTOrE25Q
j7SYiluI2s8GRAOI647uJLXo+d//hWwFKUWx36/LU2b29o4XEDuWsaXNXAJ0UrZy7Zf17vpZvXxm
KaUDouUd/6zynAZS5kxKW55QEa8NV8cQvU61SfHaLI89rc2QWhQ0t24Me5k3Ed/MbSeqfqiXL8OK
DIaHbURWfuqdyrceIsSXCy92huoXpkSQkGnBTw7CyXPnd8IX2QQLpraida/P/pMF58STvdGCQRnP
WeypzuoiVRDBnBABw5imBujGfRi+mjos66Iqyhvh9CfjQXKlVYOqJ723Ze7SDEEvoeMkTgUWQdus
8P9zcmBdsJHqLT6F4en69D55zJkarVi2DTqDF4aZOZJD/Thq1cnHjUDZxGMIh8ZGi9wnSNbGjSDe
CNfEOIp611FP5lHqijQ6QYxqkhup8mdzh9DD9fgBdVpancqIoOAT0YlT4Pv9NlCn8l5LFG2CwFk8
4poLEvj67D+62+dX2UztI4bkFKOrtdTjoGOlI13QgsCMdMwx/VA23iiQDc5uKi1q6bFohY0nQ8DQ
Mj5CQAwhkD7KiATmLvFu3wDEqmxUsuVc0lB0VyyY6OhVYkSoJ6TYlaZjrBvkcu7J7QQ8ouUaCaF4
tdqr1hVJtwmFDJGwt1GcBnpZ1MaTM1i3XM4/OcPsXyp8QLOgsy3xw44eS9pgNumpEm36IoepuYG+
DBUg1vpDWU7Jnndvf31xP0kMaYfMnBJCRRN22+LRzCBT58KfrJOOqOeJzwmaQR20/6peqFtTquPv
dJSbTei0rHQQmOWhUhRJ9XyATBm+hcr4z2eLLpGKOQ9v1qycOa/SX5fn6DSRVSMAeQoiJcF8ecSX
OMN4awBXaqv3ZYKM3Y3I4XJLz+VkuDU0MMBTXzBrorJP4i6xTimUFQl5ddRbWYTxaxQj1AGbUww3
QqvL7IQRNZwR54LfrI57PskewxRwb4yY+NP0GkaN7qXTFJmuqPJuff0TQ6bgTzs7QMg2o8k4v39c
W8zzfDTfSCqCvNDhlram9meoN4h7QL4HUPxGGaYe6k0AnbVDsLKJVLz6+gRF6iBsA/0rJzt1fiAm
J9Wyy4mqxjtERyU8FPw6TndGYabyb85bbaJ4E3f2qkjA0v1sVB/XT8OfAKbFOPqKHfT24DDImBCC
FW2ItxBTH/bygNzCS9Bogf4wizAnbmnAWWMhlLjVflKgggdxGNRyJM7vKN+lKwBW0njAm0P9ogZZ
bbQeek0y2vu60apklKOjfpXI0XgIynB4IcftJiwQddw3jUzzN3ji4AQNn7NNXCn2re9Wp3UPc0Cf
7ATYlI3RD2GzqmIqv6ue85ii+wMw0g0keQhHr8exUP4K27OR3YSQ0/fKXkxHW6oca50aTvcW6lhb
rmyjkB+zppeflcFQRtM1cr3z93FclP69GQY2cNlIMY6Z7dc5WoCp8t3Ik3oEBq74T3ExwF7MIMiL
VaE16m/iUUP7lnMMi7siMHBqhUNXvU34hfwULeWzbSsr9R3nWUJBBtGIyU2SYoxeREHDVcNV/Qee
kNUx0oNq9Ogj+acsoSCFtGqSeFlHmW5VVGl9h6BqEXtRNVgnE/n+b37Qdy+JlfjvXeIoqUv1Pc/2
nRoEP0onc35TmlT8NQrWVfAMkX7SvCwhD3BT1Bs0D7+eJn3Itc7vH2K5L97QvCGLGpWY8m+lOSHa
/ynOIyh5qHhwjdQLy1Xk1HKDzHxev02wROy7UAnjCrc6Gwsi3MOccEOSGOhf7MlvnCM4BOwAJDkz
72x17L9S7iziDUTs/I4wzXY8YWLXwasQosMyRmN1NKe8adZwk4LGjWOzxNKe2Nw6WRiOWa6MrM1/
hmUVP9tS7ZMHJhWuprGz2/UEdP4AvjlTXb2X2/55tOHJraYJw/q18JPqd+mjhkm4J/eTV/hWm35t
6R6qmCUUCODrXa1YL7h0+2+9Tnr7DBt36O5sOZEqzypbP9yGGZ61FGTGTqz8qhgnr4TjqTdQCoyG
bU637adoaId4Nc3DbB1jETkfrwAz4ChqlGHV0m7HWG8IFXIxp0QDO5oBil4sV2iNm2qn/OhyHA9e
lbLS1ccAzer2WWP5f1DBKbo3PbTw0nTxIFCLfRik/b3cKaL4L+hB6R5pxU7IVPUC00Q8xmvrva2D
uP9Th5FuPtQoYE6bDG2D0S1NuzkUcuQM7kzZ0PhEaJUaSe08lrovjLskEPIAa6WDZjcKbLe9fuzJ
mlY+jiEPiB0a2YH/MF03mGwMpoe2IuXJlFhplnwmVtjZPhnnt8xIQkwD5bLZp1PVE2s2zTi5KehH
2TWCbLJW46RX1gkVvaDg+ya1vZIyue68RlT9o5imSdmT/khbs4sNZwvnFExaE5j4t0TtGHWb3Glw
R1SrdER+GDWLYG9OoNBeOr10xAPz9YuvMcRMsslUoIynVKr5BCciUNZ61mS/GwkDmRtP5UXAwKsN
jGMGNdB2pwl+fq9rlEtKnKhHgDWqcfSRHk3gh/howXXQGQ76BDFr66d+cgvQcPF80agC7otiGOE2
eN/53//1RgNCC+yOBO9kprn0KymCl4aSRbRSMQGrb4R/F4+zgbw5aSLdvzl/WzomyjoOTJBTbMQp
umJTlFP2FpLaVK4/GsZJbcR4I8C9jLZpSBi03JkZdHlAFOezm6gsIRimYiiDxvMaaVD5IRqK/Be8
EOVBEfVwkM1a2yqT0Y0e+lN+5Q6d/uP6q73MrGhyA1mhdsmtTml8iaaO6HJm8IWyZ3XUCtXVSrpg
SltEb1KRxhshx6RSE851A1YpPfqNImv/uSUFjwE3IWrXMMucCy5dVgD+xEcsfYaNW/kbOVaH31La
0qVIBA/vARdS9UY+eVlINVAWJCBlxiS05Dvna48LHcpa3BKnWosKNzUwe4mtKvhS1RWxgVMq5UOP
q7i9Guu0fisLP3cpd4+gynSKvf8aF3K+ZrF1ch2CUSh25z8GoTQqhmo+nOwescwxVhoPRYMG6Qaj
sY5OI93il39yrugBkt+BFQJVsMT5gpi2prTVxpNRpvCfq9DYZVrSfxubwr9Fyl9eHvMGo8FPOWTW
kYSVfz45M7YlP7CD4rk1hBqsHK1xUI+ssON0rLi5D1shnmhAZr+v72ubP/bvWJRhdVSCaefDgKIr
sgjvw75EDU6o5bMNScx/9POc/cRBrL9PWhhsy6ArglWWk2990bAR+n599OUCz6PPVhQcbOBv9HyX
kzb8rkR88ZkiEBrxWV5YR2THur1Zd5jUXB9seXPh2EeJC+goETkC8doiyLemJNZMqE/Pat/IAzZO
UPHBLeIxSh9NfdODMgxvDHnRTqOVT1qOXSD0V2TylzVQUJY9OgFO9ZJJGpLP7izIpeGAlFuoECVV
FuxAR/bKt0IeiNWJ5ydnBWBGeysCldansANl9NDJslDMCWW5c4MhtuMNWFv13tB8kwdWC6TaCzPk
4ciwO2eD7hVC/IWG6fMvWQqG7yPI8tcU5Tnz+fqCXm5ZJofMDYnTjDte8hna2I96cpnmpQmG7DRj
Fe8F+cFL0gyjJw21eTdESfjn+qAXoE4GpIM0M9Wp9iBGMe/ovx67rA3scrLz4gXfcWSRMoGuldda
UXAXGK1l7ENcvFeYU2bQskdhWAdbKTF9qiWhbdHb7kqov+1Ybklnh50zEuXs1FFqhtP13zk/9ucH
a1ZG5aIiukUUcVmsjwwAMUlVq8+jyEt0kqmVNFsNjtiNS/HyCDGOw7KSg1NqXArhKk0RUG/W1Oeu
quNxk0/WLwPEWeQpnUyT498nxWXIfEhhObzL85olpV6jqfYs5RKeVUmQh3sLt6zxxrvz2aT+HmeR
IQNhj9NexlqDXKCyoaqAQ3DRRRn9FV0fgGTXp/XZcChbyxqQQpg5y+Ycpk1WOdiT9hzR/SZkK6M7
w4jSdzlM8lu10ct9QeEbZPl87zLkEn4QxXljhZFKpuEn/Wsvlb7pdlQ1v/7rlKjqzySc+XzCRVg8
J1UlI+xKD/klGCoFN9i2mXg26bV5USzUt+uDXTwiswDLrPJDY1cmRFncrCaCpIqN/+KLViStWIVZ
7ryR+KFHbrf6eA9KLHoxorj8M0HG6m8cgItbaB4cACIMYrq+vNfn9wFgAW1KqEe8kDXhGOjAotag
99mOG/tB6m+bMsn3im9O+3+fNLICRMCA4Way6/m48GEgJMIvfQkb4dPKwfFnnVtt8DJhoPxSoONL
baKVzcjVjcr858cMAANlFBBjiNyBuV2MbuFxJ2llBZsqpliq9QnctSGXfup1Ve7bsL5Vk7s4IvN4
hNZsWsC96BudzxZspx9mwApfEFa2pUPYK1m5GVo/BT2DGIazur64F6cEKbEZejUrVuGrsZT3Uk0E
OAm9cAAVQZNROcn0X85U3rLgutCWphk/o+3mwBKKpLYMKXU9THlns/HFjiiP/IcluIbKbmUHuNyJ
rv1iplTSdmprOv5ao3FFjbU3q6ra5oYzHlIrMlI3Nft62vmR0SDCapSIn+C4W/chWe8opkNlVql4
se2w3BWyLBTMxaQ285JuwmMVXRuyerfJyeibLax89AMwpzMxvBfxzzCqUWa4vrIXHxINVV4Mi4h+
BkkseyWCSM5q0Bt4mUzJAo0xWD8UfCe3ldneEuC4HAoyP+VUTIug9SPifb5n+kkNIOKF4gVd7eYl
DBNH9fqoPuHsZ7Sb69O6jLQ+5OkhJeF7Qm70oSHxV1gA3jYidVTFSztT0bb+UKc7q9cdzUPdpBF/
HLmJ6xnfMhnbUGvLZxD/E3XzaaDYofh1hr5DPk1hvpJrSzqOclapnlXVA6CBLtAxHdSD6T0ObDoR
2EiqfwyitR29g7HcSA2SQMhEh3X1WMGvyW7gWS7u19nsAgGcmTBBmLxUUeGIiyQys/ZFseoOJT+s
UlCzL9unQRXF91G1yrWOJ/Y2pup8Y7tcBM3z14NEzEmkQn4RoStOVgU+ZowvZUgtDxHBksY5RrN6
64lIruptFgbTLfuFiyt9Po00DyEOcUABSp1vnLayeSQhK78oldIOW0S2cjApZYzXAuFa/5BjLbNJ
6+SfnxLGpX2IpALRAGScxYYVwgiiSBPdi6rhKO7yVeVDqE17G37Oa0d+jCmyqd6qqFwckzk6hP1F
u1a2iOAWwU4XDiJuEDR6yVtqmhh6AeNwnU5Ks43fW2m5vn5SLnJ6epYW4BGE8Xg8uNYXswRrBKot
H8OvI1j1u6iiFa2EfXxPpe9LJIqtqUfK46xu+kChzti1TPmhEn39bzuLpwtxK14v+lzAnamYnX9k
5FFCwyhpgVsZYcXGGklSN46KCEJaYzDrmQjcFv8WV36MqdNVwqGJMAUowPmYCBFm6Bz7Eg5YdtxA
hQHZCi5LhA9j1v53fZ0Xn5WxaP/jVWICJP/IPM/HsiqjSvG4dRBdluv3fsj8dYsAOuY41ig//etY
uFiykDMVgRGXqW0WpJIdWH14sH0Dqd9uMNAQR1dZrJrSBs91fbTFncDMIIES+sC05pwAVDyf2Syc
aKKM7u/L1NF3qTPWT3I8Viu8huyVqmb1v9lNzOPxaAFKpu7wkfudj6cikacnTmDuDSd1vnVygURN
1OBXZbS8lP88N8aiq09GBUjFWMxNUaF0T+1k7PPK+BbZlfLEk10fYJz2njD6bnt9uHmT/5Ul/n9q
rCRPFjEVAc/51JImaFEyw7wjAQ2yQqRIdyVDLtZamyiuL0vjLsqaCeyUk259R8s214df3gUf43Ot
s7DwZaisLcLIzESlTWpSe48Db/ga2lV6F+SD/EopIXu1O6mho+ioiacZuX2f6fK49QGWHrJJl2/8
lMUb9/9fQveVOpQ5K2cuUktDo6k8UMPe5+gyr4x2Gt8R07A2AiHER0p9CegspIR3CXquv6+vwuVJ
hYCLRDpPjgMEaqmiNtGWqAnkzL0EIfwA5g9v8TCLnq2iusUrnr/n8nvznrKhZWQSMPk4/94ZLB4S
I4Yqc73c9G1UrHjsMLzFw2NrjuD8r09t8ZJ+rCr8ONYVzCBpwjz1v6IiBNeEkYwK21kZdY0SZlzf
2ZiVekoti5UY6Qp7rKq4MezlNOn64sdH5WHGlS35OkBx0DvxB31vRWH4g2ZV5ppTO2wGrZY9lDKV
G+nC5TSRYyCmhUBBVEuF+XyazkSrSwp6bd+lOq7WfaSuHD1sTr6f+4ZbkQc+Sa1Ke+n66l5uHIYl
macnwEzBzJ8PG+S+PN+3OhdhF22VoDL2dk0kiN+hebw+1GczBOVjU1Li3QIacT4Uqa1fd02m78dK
yH9qOpbf/ZiSEBb35jS4FOemL/iOFsO/rizlEBJsZCgJw2abo/NxUVesfJT/nb0JjupLpSIZ5OWS
Y9w32ajcS0BgPWGb0Y13+mL/zKOSlM1QNshuy9laoIbqrO1saFC69RRYDQJJKvSon7qOeJSbJbp9
Y8SLT4kGhMxmZVzuHy7+83kOGBL79qAa+9gaVTxS8izcRaPsu2FayrfCEAp0/HHn9wC6iH99zkXM
Ry9Hxe+lRjLT1PpTZkAI2ZfCRAQG4lHvuINwEscFCi6MB2C9pfxmZWEN40qzmr2cd4OPyntkIErQ
qT0CH6AsTOGpE1VTxPJJnd06j7NxnRmNOFm5Wvy0S0N/DeIZz6zJo/zC0z3UnorwsAT7OejptwZG
0T7JWuZn66nzs+q7ihraeN9nkrCfugJN27UVOqWx08cqF6tR9331B6D+qPN0m715mNTCSjda18rF
qhPl1H0D+qdqzzxwClYrGQ4QrgyCKHPzJPW/FgDCMAbN8fpZF4oSfMsLRQpWaha1D6WW5+RlTPih
i0ylfAL8be2leBjoAEdmaq2jTq+eU0Kvn5aaWc+N7k/Y4mmOtOtFoP1RsT95k42uljyYfHkBYF2K
YrdMUZ10G2zc9/xMHSRV2SbVGgnZqD0EbR0+9VOmmg+2maHKIKDAP1qRHJygsCSvOaEiUiksn2vp
wjnEvtGEnoanQOEhTWhnXxUlB3zdJ73+A6lQQdFSUaZqHYx+o23tNqe7ng3Su6j0VF33UmUoq0lD
YsDl/9feIQJuI9aZCccF55aWd5E1On7qhonWfbE6B9BEjEag+cX26Yd7lEklDKHMUDW/hHHPsk4o
/D+3lQj8bdYl4ReBD7NwZbvs35PAwHUWyEuLQkogvceWgl8L2K/0NUhjVJdAEIhKPkppiaCykWZp
+kRSqEtviVZNhzoLbOetd5Is3gyhWmWrrpMAl/ZVOTgHqazle2qDoBTqcawAojXDgCiOAc3jMbcw
lHEztUz1jWIWvLBCVoqtEQI6e4SCDxKwqzpQ6GCegmTbo1c8eJEdRPJ7qXRx+UW2kPFfV3R1zD+1
EwWhZ+CI1T4WWaNN60DLjD/InqJxx70h7q0aFVp6LE2tGI++MYCTs82pSDYWqmAr1Fn89pucimFU
PL3R9PvGon3culTWqx5zlnGQfmeVMx11DJamn3QUijFfZ36bvaESETev6uhLP8u+4fRUcGiALZf+
WKTY7TQTGjaY7VJDDgrRFg1dmFAOnqtQs/JVIo1demeNeYGTfGLKY8KtHSWy14BWqV1qzYn0zGkE
ypmqRXfoIbYg0x7WwnpPGlWyqO13ltjgDNWMjssDHn5PYonCeAJIb25lNca7jLd3tUubHp0xXL7A
60Fee27MbtJ2A7KnT4AzFetg1lJZeUU0pr9FFVU6/ZKyktYYsVYdv61Om+/IG/bNAdvkbGclTYgw
2GgU9l1QFH21yycF9jsPYl+6JTrX413aVnr9i3pYVP/qJL0sn8KkpBXj4XfQlTu7MQrD07NW7HN8
HKifjV0/ugg3ox8tOb2MUFojGeU9dQE9fUz6IYVPrWnjL5RrnWGV/o+y89qtW8m26BcRYA6vJHeW
LMm2JNsvhINczKkYivz6HvTT8VZDgvt2Axf3HjS3GKpWrTXnmBnLNijKJdOQ8IOI3nFnTXnPSNj2
Y6h5xnPfz/V95miuvxe9r5pwMRsnIymuyPkw5Dp+ql1yWMFgNkEfpq0cxa3cQpiAAQ1gFA2k7yYD
dRodCGF075ZhLHJld2qy4JSDGXisAU+74ewJ/oHAmmU4eq5Ah9bwquxhd5fn3iZ3D3ODa14qbYs+
qOqhRBjE8KnYlcmo8ngZOv0pqFatj2dileCOZWqkiehl1cm3esIjBzLT6LGsKxBmciJN+9ARD2Df
dJ1wv9WV8u/AwzAdlfY4orsp7SnfeRP34Uc/50owvxjFFKmpUTBfwVQCbndVYoU93Syxb51+FCRN
9tkcCURNxOFx+H/RGIH/nksR/FBIEz+7vdU50Xa6bVA4BerXNOasPhbMy0s+iPTj6jaA46dgZuEo
0zR40rTJKk9mqufdAabTesp5TZm1JU3yrETZoYH2x+ybKjz91uswoMTa2o63qVn4IkrXZZx2/qip
UxDI5kupIT4O58VsPXTV2oA3LrB+95opwXS6sut2SdXSghqVl/0iYaSmk9p4TbAlbJYsQqDotRQU
gb3uVwRawYE0ZNgmQz9pRoSVhIe0yqG4S1MSNAHSmMuDSaJKik7MGcu7IC3UExrI8iHPkmzda4Hb
NXd23mn2g2VrDA1DiuZEnhRI9d/DsmVe9VbRFQ+lWp3LMswEz2raUn9rk0F91dPOKfZYqwNzD5i2
v0m3YR6BvIP9QS6Fa4Tz6OKEm7YG1KEzVvfGqxH1hh4yl88lPeAXoHxGd1KrNwPR6iRPxQZ8z7Hb
8MtohPdQRRbpUuW+a4Q2hcnQ1oi3EujdR2vi5oYFSOhboFq2zYZjV7eTM7uPc9Lq2Es7JzgzGBdO
7Eo7r0590s3yZHH6G3akK476rm8CjVimfESaWOayu7GyqcT072apjLOG9MTIkUwpQzcbnPnWIV7l
buZQ38W5Xkudlmq1CeYsN7spAxGovd/UrnVj40X8lfcJKsYUkjdBAnM15CGoCvnRr2wPBayflflO
adP4MvpV+3WwYH/t6NwOR061OuOeiqZlmKRO8VBlSTsiMNfLKTS0YsTbEPCwDtgdxo+o4AiWogQ0
7pam9aiziCf+GhSmt97Vpe2jQM1J3QsNzi11qCQlDDtO3UB+JbJHC+3CGDyWocD46dlZPUPdn4fb
QfP775rQ5+LG0mf5YlR0k8K1IQvgk16V+JSmvvafLUd2MjLmanrJNUMVp5EYxPpoGm0iLvwTVhC1
mky9UJrpeOczNc8vfirnX94k8EmmbucMT0YzFO1OyF6n9VpWlnHEu7olNa0LyMvMNgbzkK3+8NFJ
xzzjD+RcGEsr8X1CDpM+ORXIdj8sY4tmPO0LIw8H6mDrBZrEkB381UyKuGvdaRc0EplPg47yZWI/
GfaNr2CLz0Kh8HSK2YW1KTzxJbAl6j/GG2Ye8z5PQeQI1/ZDE/tfelJNteQHTfcXL+xHvcsuo7HU
Ng1UK6mPZTGnOyTrTnIoPWk9ZWm3NruBxCBi1caFuiwI1uUTzGfVHTJFGbkjW9Wl5USdBk5OU453
rIKg+Khl2mztBUpIP2pXz7/PhYFmokYWf9sGViPO0uiQT1uLYRfHsRD+SxrU+OSg6U/uvlJ13kRV
miYd+6tv9nHRjjz1oEnr4YxvCueag7Mjfe6QCPV4JUccQzXixthdKPBQ56PrOJbgIqjaW9eobhNg
0MmhaxNCArMmyfJTARaDD3HG/xHSc4TbXC8ZgjGTZLbmo2s7xnxOeekRMNdd8tlbU60PTU0YI/Tp
oPlF3lGBecShFHQ8dpvzbMKBHueSD6AoEjh5JW4PsjRptWKt1cdyJwOBt0KiGl4ROq+UdGUHYj20
yYkmS9QbeeljN1OTvr3UeUVnX4hdbfupjg+98Yx7/EuFxI9WYU3VgwEs1uKkxaVQq/Jjtcrizm3M
pr9UlTnEEpxWRY5NM/D9ynZVw2dnGAMZM/biF3irUz3WFZmbn/XWSOYIw9nAB2BiTdzPvdaQpWzJ
1Dhxuh+NIlRNO6g7E1dPcTKdpQpC2UA+YAFP270Ypn4WIRp75B8b9JEq2zMhyIOXSeRz4/eqp9Ph
TyI2pjJv9iWRysFOdqP2UNBct775Kf/NYYtJKYkwbrpa3ILO0+6H1jYoDVi52tjvWy7bjWbV3MLB
lZQpVal97Jp1/uz3QYlEoBuHAoIsQEatH1i/fYpT4E7aUDc3zJbM4mTbE0p4I2h4co0xL+MH+I5e
ECECaOdbW1aUMzQac+2eyprSyxFd7X0iX0b7ipXaSr6tc9d/GEDGDwdNgk17x5b4/7oKzJboQ9E+
5gR81cBwCnox4yDsE7rh8zohxDIRykbJqNl7vVp+b0bZw9uNjD9NkeujL1D+gPY4KFR8F3+ftGcw
KB0xe9aJCYWX31h4Ma24ooD3sBIt6O3N1AcKZ6R9Z56TlGUobOfJPBaO1pt7kqxA8rrUJI9oQkS6
EyzhXkg/N/vFlIGn4BoivdF7BHMx2A73sx2Mdn0DC9/4SYOt3ptLuqS3nlPw8AYmn1o8TiOAKqlx
2PzYenlmXkw1VwrAAlj03WKXEzdDFnlU6k19588Ti2KokQ6nvhUtNoewWX37N8OWxD4ZVeo/6iD2
lpumU86zO4DqCGu2kN840TgEBm6iZfvBXrWS05eP1EQxqeii2pTEuyzQ5HEDNCUOqgFukn8gmbEd
zplH0t0JnJM+7GkPrZfFnc16b5ADaOzSxS0el8Af08dWS5Yq5kgIINEe8VOzOwzJO9OGV61awDh4
glA9MNqgVXL11tBTkzPIvPSsBbX9cZbWelNUmclofC0VbWrh/UQh2R9SNX5+++V53aXBMYP+iI4U
Oh0kJ3+/O4KTPalmTX4OBvfse1XyAr1/k7zN2Xv25VctKBC2eJ42jRlSBPtaV0V2kdLxf7gnlTH2
Wwa+PYCyS9T2FYaBpHznnv6fTjzXo3vJUAyFL1rQv/80RvUts4DEObltkB3NbM3vtXUmWbvs3eXJ
7Mlf8pTXXcxsJFV0SjxqwHFq7bOOh//l7dv86gGjpyHEgocMGB+t19VUgLLQDIYaLR1ZkNOxb0cT
9wIRaShIESVWrPrf5Gj+yNMk8d7pN/6/S8PD4PlChHDQmv99G4xWNIwLdfdkia2u4/iyp1To9wFz
EkrVpB6/eNymi1do0/7tv/r/PQLGAJCSid5BKPonIec/zXLLRvdReYt7YiQCLa/uLC9kaUg2AoE2
RvRFSDKeaa8YoTGQqxvCaASHO7BrfoB3XKp3Vuf/8woCg+R/NlYjw8Srt92yvHYSsGNOyzrJQzvX
QRdrStPPoyrbjE5art4zp/2f27/xJ4FfobOmsX01lJUBrP6imZ0TKHAzBsQgDrMDJBgvSXo2jUUd
ZE98lLXa1ce37/7/2YrQxSHn5Nu2bNbrvx+8hPFVFIpJRTAM/r5MRP6dzutEzHqgnUYySbeAjLX6
99eNyTuj9+3T46Pb7sd/H7lZJWLrnxFiAknhe1kGVrqfTMxqs+nNTUw7RUQ2di4oxMsavKeQ+X+3
e5s88S8DcO/15RdNrYMHePQUFJj+athrF18t8303D14dybRPfoqskceaKr56ZyN+3YIGE4WwA1EM
mj20QH//6TV2v5IGh3sqRjoNYd6xKEUc1MlVDeRc52GO3jtSJicmN5vcW3jS5T/PT/iSMRcwsMYs
Hlyvec04WYFMfecEotBErduJE3Khm8Kr13cUNK+/7Q32RNQB5FYgtOY1MVF6M6TIlXVlpKc77a0a
fjE7pE/jrErtsruZqhK7Tk8Ym7cPuiLvHgJ67eke1bh/M0/G9N5o7lVYICGQAQGWOGs3XQ2L/t8P
wAV9a5A56Z/StnMOZk8RH9pU/Qe3DNaLQtGUk66s1nuv7IbyMuqEFFzsGnvFpQJrEcOxpmNRGFm/
0yqJfP4fP0jG+7yULP+sh+jlr0aVgS/Zgv0xP5ftRD/WzbFdcxaIDeGZL6vd7CYwZf07F331QXBR
xoZ4fdBnoF29Wv5XaUvmD0VxdipDS8PeFeaH3iu6SypEuZ5kmRkjPZQlT49Cxyn4r8sBl2f8A2/M
IMKUXIy/H4mjdyZ7rk1S1YzndaiRjoeSwRvtpdLojjmeSgQjmBZw2rnTp7dv+Ou/Hd/3n2IcSgja
3avCmCc/myuT6FMiesJnzBZOkgkHLRJSzGdMkM2pd4e5izp91H+/fe1XeapserDnYKtReSN8ul4N
LI5FS1st2Ulf6uWRLO++PujGoDh55YyrkTMG7Y2qO9QlMq2G5Gk2CTeJ23GqLBoJ5DbH9tBMtYhW
YhnL74avWvNCbpTQD0XVW0d3LNSXt3/0q/1x2y021RRzu80SdPUBtfWs0fuzW0omHLw0Kb4sxK7s
Taf/NanAfi/x8XXxyeUc7g+nF/5zrZsyJsV4tnPbUymA3Ns0Vn8P8C32Q23IPHz7T3u1G25/GpOk
jTKxMT+v/jS9IW1ONUh5hY1gshjRbGGTtFySHw2VZbupl+JDnVTzO2Pm1+skdxQdEYNXZKKs+Fe7
wkZaYGWcjFMfVJM601U1d4NVT7cZpdfXLuXY2gPcxyAdlFUS5o0mX/pmouGMtkH8q/AHtx/6MFgm
dP2BVV7dhXbRaLQMnXUyQNQ8436d72xLWMGpCuyp/jf3pg6CDmEzLxPWRrSq1385wRyzUzdIcWhu
oXQkhLs3jhkvnn/STCQLRHX0mMsXLKflO1jhVy+yzyoLrhn7Jt4kfsHfy86G0c1qDrmn1VWlGZp8
O7dWzWyqMac7t/Vu3365Xr3I2+WQLBgEEXOEu65zBSnAip7adOoxfcftsOT3GBjzg5rL9+qrV+8x
l2KcjmgVpQQSrqt60rHxuGdrPZ3MTM8PlW0muxzYWFQJWp2k8pgfKkMM//wkN4Uj8/ztfmJS3X7U
f4o6pCDegCB5OgVjPftxWrvlFE0lZqiQwaVdHsXadS95V6ny9PadfbWEo1Zn9QRtuClIqW3+vnJL
t8YDnriekJAlz/YqzAfataazs5JJl+cl88hmI5ILYAcsKNgOb1/+9d3+o+PieAwmF7zg1fY1VlWv
cTqxT6QeBhjsdS8NS7tszsNcmLtCVi+dAV3u7Yu+fptQOW5EGKpnhzLuasXIVKHlC3vpqcna4lwa
zmRFBN15faTRX0qOb1/t1adCtDkGHdjbm+HslSVzDlIGAobXX9qunSuIDS0TLCFS5oduPb/Q2eUO
//MlMf5uCj2Us6hmr16nrCbiyS/n4YJEz2DSOZfM3sqcAgFduxLnVnTDO3/lds/+6pEFdIsg7OBN
2Czl16UhsSR1wos0XnRyzY1DOoDBPbUDA8OXt/+2VwmiNIsQTLHg4SbhgtdVXs/o381zXP8QeZr2
lGnSraOM1m32S0jlfvIdqZYgWtWcAfDAVvNV5/2tbpmn5PdMaefsZ1N7sxsSL+69p8d+/bC9be3n
dMaZlFB76+/PCfYDnDYx6pe2ojkZmhigQxMdwYNPItqxkss7TZhXny8ae1ROGzPfQJxzza0iExFA
rgoY3pZKeWfprfYHQtx+K8NIDyJxjfEh7yz9mE9zfnj7Qbz6igJva3tsKtA/Mv/t//+fNQsBtjNU
5J1dyLOc3DGsLAuBsqMSt7ohzix9p85+/YJtfypyWhpcCLuuT9vrYBFRl9TNxfKb3n7SvEYv91WJ
feWdN/n1LeVkbZGTxKwN4/o1LgCTFHNZV2svJRVNtuxAv00bZ3osnitn8dVJQ3jVw3nWqumnm9jN
17fv6/X1iZHYgAWY4BCUoVveXrH/3NcpE3rPVpheYOtWX63CtIlydEDCmxuxI+mb/Du+5/Vga1Mp
4revfb0c/7n21l1g/9vMhVcnqEJ1GuEjXLthdw2zHogkIxAmil67fhnmqn5Saa+e377o9TezXZQ3
mEMlcmKOEVc7Lh977i9ln12yhM8+zNA0fbTnjhSoQZHmmTNfF+8skNeEBvbZDRJAOismBjbea9wq
kkeThJU1v5Cbmu7A/CQn4M7DveVlQ+wqtzzCw2+jkZRmI+oHBGsejqp37vb/edJbLwEZPFmYvNlX
i0WOrqWTTKsu+Nat54A53Z0GfPjiTzYCNSfJ1TnwtDl2ILC88zX92Vj/u15vN4CDCGJQih1MK1f7
vkTBYwAqyy8p00SyDZgAYzAXDLPCmmSfx75Ez8XsrSd5d23X9YRfUUuiQmgMzod5IiyrN5f9uKCu
Qq9vxWCY3GOLYPvCKCH/Psn0XQT3n1bq1Y/G9c9HwatJtXJ91h5rDpxuX6/nfg7yD64CjRtrM9LV
EIoeNKRsqIE2k3WYR8haSnWf50L8lqO1BRzkBRjbng3lc2128gVZ1/xoqUyURy03XS00XTaLmwDV
YvYVP0up9knQZMlNZQli7SeGzTfobSrxlHZ2+qIyvQh2Xu3OT4Cwp2mfLGZ/XBjnovpuhfY7bRNl
QJ2wGBExqcnb7o4BxXiDF7Ff65DuXZ3HUo6j/Lwwoy/2qutacJ9wG3TzgLXANngSulN9r5rO2LGq
aum3bu0W+aExg7HjrUQKE5FEa92PCrLJYzM4QobaYoxi2FWWdPSjbdXNSwrk+M5I1/FbrQy3JsXM
nB4F4yeIR2umfg+z0WooOvuiOxWuxUkxYMmbQtsesovWJY69G0tv3jeJQ6dpJYFpb1qpn5yDoCcm
VZUGQQ8Ia6byc4PoJb/rjUGfjxZYiA84dDZZgjcCopiddQC92zDpiUBjedou67uiuu3LIjnZ8AZV
GORuNz4sbqeMyGiYaFMNIocDLialiDuPPHcg2PQD4kyv5sd5SKr6DvOPaKKmXgVZ7f7kXhbsq0nk
jCNN4SBbh1PRymYIlwZO0kCo6xTCRPK/YX0lVdY0O1XEORPPMRak034FvmnrYT4PDPYcL1U/RsDn
Y5ghHXvxZ8gUH6bCItZ+KE3zYzAuPcdaEjuX25Z1Ai/21FVeVKwKnUq1DNbFJcIV2q7u93KXMSP4
hjNTPszpWmzpxd4iD6vIvDRihp8COBqtYO/NAPcORmLziiC9X4Az+bLYM/6HegaO1jQjoph9fd9Z
a18d56rTxY7KhpQ4o+6GX9Miup+63jr5bmImX97bXtIWN6uf2MZBm5zOuA2SzqIvM7r+0zo6a3sK
JqQujufM40O2lpZxQxex/OmpdNRDYBNMTg751EreNQ6En3xBAOXL2CnRXtohGNAEjlb1DXmHL36j
ekiLB2euPPXbYdJX7Gq8ggksMuKLj5boWkKjx6JGoEB36jBz8uCUqqzlfrTyKtvZVieG0xIoAZtK
rKhEK76BNgZ9K2WcJIoYN9mwSp6UPdFmR3WgGx/5cDXrU6JK5BvelALEL63Z/sk4di5jMW2KpyKr
bTNcx3IYHhFCmc9+yrJ3L+d82Mmm1I3PWTqiNUsMGMXxggrZ/ZIvycxRmgAmNyBVYbV/GS43iaBi
W+8jr1irh42791iVIi3iMdWdR1pxqngEFayXj7XtKRmWdD7lqREZqM1JaGWvQZhuZgPHDFq4KS7m
Nai/s1zL78wJ12+1keu/dMIEMjK/kd58G2QBalfvpX+AARwYcWEl3XRIjDkZkSaQCBsrBwU2poWJ
f9AOBtGfDUkvJgSopH8E1L21B9Xg3Mx6hW2NrC4w+eS/JPWl65W1RvYkiPZdpWVEuafj6sXdOd4p
2dHa7vR+rb5qTFIQgpJkyPfhTN0Q8T307Q0z1GTc6R2JWJGuXHpv5pCmZ/L02E0sNobv+HtbEaLC
d4cQslhwMUZb9bu1mT1nn9St0yA7ngu1a/I1+SKzZe4jGpuyYWwVNF8mLKtdBJi2/7IELR9twnn2
2cpE8DUfwUjdeiaR1noKv++s9UlyCBpb06NJyLE60jECeBSWNHHP7WpmxQGFKdVN1RIGo6KcZAEk
n9DUPxppvdjnhtTT9GQC3T11zjo2Dy0j7NYMYdalRoyUMrsN7GJcziMb+1mj227EADBrd7dp4p+C
Ej1mTKkGRCyRxqyxIjfW17SCjHNoA9TQB05suRf7iFP0KFVbPIhrSFg64YKmA4B0MNXNp6Bie3u2
s9Ks79tRevJMqBoyobw12wrP7tJrxyZtxUsiHQNbMOv2ZO+GyrBVDLAU+fGCFJKwTObw/pdAmMEz
6bTZGulLVXkEpgPLiJHhugTICwT0J+Ts/nzMUptUKGTaA/qpfKT3c7cMQ9J8kLk7zRdaXysa6gpl
BnKsJqvl8HXW0zY7zWAMbko/KIqbaurVuQI/qn+cAmWfOS9B8yM2TBvjxR1ag2p66k6WAdw95nxv
Vqd2moY8mokoDWKHc8snRd7Zow3a0T72zeKlzwkl6Xy/icm+soA0PwYr1W5XzK/lOV1wUX9x6HLM
uxRaoA6nX6uM2AdOV3xGvWV059EHjNeRHJft9NwRxneODhpAULNrbjZXzAmHO4mbVek2UPNc2ZoO
GiB8pxL3Y7a2BzW2a8uXrOxiuFlB3Xkf1qGe+5fRTb2XtGyaZk8XzB6OOuy4X8Bk0QMD5nBRGSR2
zijYYADcxJuOAlETJ4vD6lR9/4NO6dzGrl/aL0HDT4mCBe7eHo24YcfKFY7xs01do74JVhDJ6O4R
ZZfPcP3a/ESOpJH+TsbEtCFJJvWzKrG9HUUGhCDyy2o6AsG0/ZOlZc5TadCbHHfVotMToAOcXjxn
Uc6ur3vNOi6a19mY3W2zvBBuP3/PvGwa4tzRdO2SdmAFLvbolSIiKMv2bpLJ1w8ZftVy39RAex91
pQeHhbEO0C2dOKI9pI+m/iFYJ0RUNx1RX54HkyFSaErcQ8l+auy3x+lCC0qCLJQDQPzGRiaH14Ku
1wdWKJHFuhDNLp1IRzhtEUcFOOZUwi1oDU1v8ZT71ZNm5agyW220k31VW2z4XQfiDFWNOcdmVpvp
wVtBFO6pEScEiSAO83AywB3e1gta6UibRT/uDFGKMXaHwXlWwbyIqOVHNnBEOy/fzU1Q/ugQu2Dj
DiaEi0NWenvfTifKGL9JqNCCDtWupQWPplg8+cPLm0wrqKn18bfXeEjFmiHHnjjpGf3DKTX9/La3
V8McQrda89uibkvntHh+FpdJlTk7bVUWbEurdpfQmD3pRHXbWsmOEnhB/eYVro3yVPOybwRzl9S6
6azuClqo5CAgixzjrPYn/wP9GJneVV4NonGBk3ioCGunpGOiFRy0QXo10slGLEjnOoImcei0QQFe
KETJ6d3j5yna2z6jY/KRDlL+BDptrY8q6IGXUmGYXTyDlvuiNRMad4CNZWVGEyPz9gjvlXivPisd
bYcfDfV+5yBTm2pHTdEM8kCFPjKxtg7LLtXmn2bWiDn02sayd7zciNR8s1poTNLLjlhwKvdbUdhF
vyNAYS5YqWjtxcr0wF10GRn0YtCkiLrZkreZ5Ur3g9fiQQtCHblwe2mIzIbHr6ELjlLqMoLMtdxA
bV3aoKf12Q/qW5TmbU/jNdG6PGoojqubGdh8zjtbaogskFpvFTdN/gdiKUaH4tHuNG/T/IJOyd2q
WhBR9/Kz6muniI0GnM0u81zyOyxFApq75tryc14h8MXYUuZTpxc9ajsgHsGtSMoVy7rFTmDet8Es
H1ZdjMUN9oqgx1ogg17UOIlActyslZF+czUn7U/JGCysW3RGzI+aPxRAW62t9sSJKsVOgoNJYXD5
peaFQQNSklnQmlp7dtQRwmzOTCQeZFmLuBZzCWoeiNVtShDbD4T4LeP1IfDSg1aU0zGzAtXCyi6K
IhyQ4eg38zprVoTWP+tjg+ZUta8y6rWIBLLkM5cmOnXolrU5Z13vzgdeos7BvpQrPUpkYBV3SylX
7eBIo6Jj2KZdZAJRCz5MY0a5ZKdpbTxV66YZLZc6Lc5p0gMBUMUo5Q6BbXt0RZnpO7BYHPAMVMEk
ShSIL2OnaXQmzYyCtCQLnS7oGlayLqijScu9ilJkKOYfvkZBEpaD76idCIJSjzGXOW3oYFxbTtQj
5nBcN0P12gVuDyZQ8xIUsMwSSVnaaHfbkZE00AzjgVMYhX9bB8Jed9xl/MkpaX5TOLSr+7lyTarP
zYciLnKpZIfbyMXbNA4K209ZqYzFqhG7ufTX9DOE12QfUOWLOh7noH/yEnPKz53dZJ+NbPGWXbng
jR3CIcfwHprtmDc7ldXAT6d+7MujnDr+71tf2L/QaNIqip0eWT/i2tGBSq4K1O9V5jpfk3VB55mY
q+bv0IZSOZMk0ipAycM6QM1m3zCitGCNaMKMIJHiRmWuJ28112xufVNV5lFIAuL4kvF0El0ODncO
51TpPLdqKaJp6pMvro/8J3Txn8UQchzuJOqSLmpnVXtnASTO24FBnr4toz3wN1imkjsqkIS7j+Da
fSLBu0Uf685TcWZL93dQztc6BiQWvPSsIEWCCsId+p9D0eRfO1C36qkqGyx5eoLHsJ4z6yc+kG65
9SRq1sNs1OIblIxpOevEFi2E1zTF8CCTfjhXdm80cTpX1nwsBtPcGy38DdTCaZedq8YTJKcsxVrn
h2kNUicWRAuykVnZiBaCbqDmfyYJZerPM+ev790qjN9tBk8nLH3CHg/WyLNVbGTVLlCOvsb1aBFq
ELZW1nVp2K4SGxD1OTJIU+LzCwVy7wfDVIW+RxBarueaDvOw99amVTGHGmeO0II0j0vVIRpFW+EG
eCi7gpVUd1b72SN+Xe2WKTHanYHw3Ig7KzOjkYF89QyYfg32FTG67icT7bJ87LShc+NsJdQnFquT
2vvFy3wvtDNn9SOI5sb6LZGuUh/YhOchZuWunNNEc5qTr6OjMOsgfysWzNwz0eOsZXG2B34+XhFW
MRGJnF7xgUhiV8JNRtsdruhMUjskALOqQXMKY6ZIdNdhx0FHb0IKQXu+HYtePuATkfnBdWvTOWw+
g/PsIrgKjbLCtuPkq9EdVgMEJqoPoktuCz6e733GQhFbQZL7+7yb8gUTQZcV2S6x0kp9CNxu8J7Y
aA3vEVw85X6IoKj/biSOzO87zMLGjS/puUYkUXfrLcYnA/33slT6zvK64AcrK/tY3ai0JXSbajLU
uwWpdi9xxezKUeuyvcqF/iyRbOpRP6YIqBNy4FG7LrN4cUU+6JzjXG0QoW1kiVa/02V83dO1HBtK
J3MCn//F37qQ/+kn98Za8I7p/cUAHDXd5a4hWCz9Ek0/fsr20Hv0Iz5WvLn/GClCkxWVAyhfB1k0
+qVrT71r5dLPi6a8WI1e7wHTsxBpGh7Q0Mvy4SCBhU9nSEGu9V57dxs//90oZIIL9QBJAEO+wLjq
bg4wmkthcmVUIZRwnLRLjb5XazITF0LHkeVVP4QqMHCYUBxCtzfdaKTJ8suYRPXO8PqVQoHhn8UQ
ENkcykjGuFeTEukpZ7YdrbhUPvILtvt1PdMyLBu6IG372KE/Hi5L0TO0wvnxLfdSWgLIV7DRGbgw
3u62v2o6s3jwbypzai7HuE7f0NRSpoE5iJtscsons1zzkzQALbCKlZh/iha45OBhrIAZv3v70q8a
/RYaKVSaTCbh7vnX5NaOD3S0UaGcPbJXv5hjn+w128L5YVvTBfPle1H1r/5UXnwQe+hRyMTAqnU1
zSBDS6y1tRTnOe2aKJ1n584BjX+78ht5BbZe1Dw88zGm7z3xV98cV954LFtuHx7fayaLcjkY93ZQ
nqVC0b4rFr/PHyxnXBQOTGQMLRh6Fm5sPm3kp6omUG2hwtl7NdSURe/xB7nLuAS7vpjq4DnXlL4e
ClYne29ZfckBMsFc9K9TEabFPBmPwoBZDJqSP1OT/ywVtaoqtCZF/iiFXHc2FtYqtFPJ2o4di02+
xdt7QyumRUbTFopAAiKwWNldGbzzqlzdwD+/hKH5ZhlB5MKv+XvR2o7ExCGo/NGCR1jEKdi+w5yt
6cFo1/5LMC3WDjzpe+LWP+vCf9YNLosGAwIaeWV8It61GkIO/Tplyisfizpr72BTFPjv9co69XOz
5mGyOfLDNJ26NrTZKA+9j9TFJxaO9m2LxxNGFeExb381r0LU+FF0ycGJs4jCe7keyuVJYMy6YKFo
qzodQqzCY+xJa8R8J+HAhGk3ehSDuHpE3NZL39Etzk3cu2WjffZVl//qWNx/Vrh86tBKEU5GZpmO
BzmX8zuyoOvhPDfQ21jj3EDaZqb7R7T3nzeIusORa5cun/gyuppKEJoWqWV4L0MSwuQcMt4EW4f2
0yBZjUOgFpFuWP62J636wrORy2Vpm+ZpzA3zX3Nhtt9GVCjKUNZj37C3CfNfvw09njUG6hN1rryg
zQ7+x9l5LLeRJGH4iTqivbnCkgAlSiIJSLp0yE219/7p9yudhAYCHdyN2cOMJqZQprOyMn/zRa+t
UF2VWZE+WqzoEiZuFvD+rgY4MC5eQpDN/y5HzEyv7jKlHV6S0IeaFbeB/+TxqEFbgNJZuCoGI1kS
iLw9pmtKaBgItLkNcBt3qd45w/ASUvj84tju+DWGunXWxjja8NGb/90/nrMg+3eOoAjZbzrmNpf9
5RylvVXDPg4v5mRBvs/qHORtMr7phaOUiIIr5Hm+V3/iBVgsQKRvDQ28QbYEERFDr/pyaHtA8IK8
cHxBz71+aF3FknpU1q+8UOtd3Frmo9oJ9y3NzObt/qTlpC7jhJT5NPEfphEjQT2zkVMNeHvNyNzl
8Wc0BcoKnyEKqorQjQVs2I2x6MfDMUNB3gRXKUPlP8dWFKU3puY4vcStVn/VBrc5SgWsFmEItHoX
+sI3Tg+DAaml14Ag0lzijvZdF4M0Hl+w6MIToCH31XD4bFtQxWqLPEdcIqB2fzFvjgmXwAMi5fB/
+ef/TLBvOsUbeHC+EDx+IaXVcyfWpqfs8rgykUVq6qJZyIlvramF7BdYdgMVJHu2phrlIgNVYaaJ
0OZLoefPWR0bp2Qcf96f2/U9xlfxz0DyCP8zN2iXEgg8jS+EZ0nbj3AZrpDrqdrUefPxOXqAS2n9
uj/o1YICDyHdByoJSUPC6i4HtcpkcpPQGV6tKuS17QU9FRQ/9qxyF+ZAcxALgqm5sIt/6WX/fhPI
Z4Gmk6FfkxioOZqhLotJSxyneAMGbBSrZkLhfDt4CdlDWETpp7xEAv5R6JH+UAb0O3buVGrqY6br
rbcXgVGXh0k7O3ZRnUUwOZ/MMqt3EM6np7LX12VjrROng9OLqk7QrtPBHtX9WBqxwvPdQtubYrGH
wgwOScGLMP3hofFFWa3toM7slSgiRFiA3BifDBHQ58DVszp1IRIYOLSP/dfICwz/N5ULMf3IoqH4
nXej+zToHUx3fC+DGnq07sYLizZ/GvAe43UCfQj8FhEUxNjlVplF5/gjCO23ivcBjB0RweDSm3Hw
91oFkwssgUXXJKJY8ZMOHrXuxOod5HUsalPVmOEL+b6zQ1ij3mJLpXQT0PiV62dRBLXj+s2blvWe
CaIix3DWzxTcUni2xJu0rvqFj/Eq65Jjgv+RzyQAQOBRLhdBUG0v+zzv3vpMa/tVyOu6XUfoYmTU
iKbe3Dpa3P32cGN216Vbqx+E1/cDOhmdicOvNuUVACVMUtOFtZhHCfm7LMDsfESEetCGl79rKKBU
GH5fvDlNl34QU+s/gCYSk7zQqCO8e+EhpnrcojjIweibXWYUBmxcPSnBmFZg/PT91v1lCqMXG/oi
PfoBjtunC6dvHpyYH9g9if/hIYiKgX45v9poQCU4ZfumpPR/Ky8rT2Dw1F1dJ/2vioiYHxPEZPoF
kqCMeReBAlSdfAUzuv3XBehy2BTlQppspvJqIG5a7/XGdp6N1q2/aU6EalpK0CdcZU5+jKYoX9rU
v6/ty+E52EAlKduBtXbmQMLKR+GAkrnziqQSPQ9rcJPh2xSJ0dpYle00b7WB7Zeb9hZHLvffXM1Q
rIdxDBA+0s0m/pEKI/T2vUmU3dPDrV/cMUKqJdZrrd5OZoc5bDP2Zrahw6JH+F9Umc3LvnWrB9Mv
B6Xn7QBfbdjjPB2CtMbLFVUcLdb6djMUFDXQOlC9N3eUAPTJzyq4PEKLtorZBfE+zjkJIPvbst32
wtdxtk9CpfkwDIHXP9NK8P7wjHOLP300jubLiBNH8dlC7YBxu2qEFbxSkXqvPti+6rm/33mIOb+A
s2yAryD6SCAutzZUW6d0J+G9Ij+BGIWD5swrJnjpsdDDwt7ifpEvSbteHWL8eMEbc5x4tvKqmF3l
oARyFCuogA5ZWAJxiALzuRmzhEansIWU86Ed8kUTWu7v7k/25sh8qxQ1qG3pc+IvSiATReoue+PW
6/lSKEWqjd4+O5mmIvg84mGQ+MvQRRkI/j2/FkQPwOnok4DxRkZ/FigcnMcMl9tP9kFQIa5qzTqj
fOF4hxK7CWdHLa7vsCSd8GGMFPWI94iSr1u0T4IDLlF2ePDcnIKp2oXNj5SW9FJyNV8Xqlx/OdgE
F8Pg187uND+I1NzAme6tje3KXIGiKX6gBlnlW380hx+DNfovJeR/ZXN/P+bh+u+4MO0lnYHX+5yT
ElQdiJUhEyfF8gtAODkiDVXnfg67IN/eH2qOH8VNjDlKJDqXFqzzuUHz2GuACzRFeauGoj42dVP8
6Hys9JRQ19aFVobGNnVTz1rXWMtHj7wN7MfGcmpvIV+fx1L5OyTp2dDhAXFnz05/bNK2xy3Zfxu7
wTUeJswSvyZ1mtFA7ZG6MSUCaJ2JdtKf0pCr8p2XFneVzvz/GgXBVv0rGvlPejtpblw4sD5Pg6+q
ESQKlH663O/PEf1qWLm03xZW/nrCckQCN9cxlZp5DVHoxB4FtasTik/twYytYtOnff8xTSC8ryqD
21kV9phDhbTr/f1dlwf34stjtsAuNR2qIzTkeVU5BDfTN5iunkqRqHu17tWnPGl9UABNZAHO6rtt
ExnWMxaI1ZaCeLaw2dcH/C85yCTF5jEI8v4yusbB6LuAPuOT6Mb+qGi5s7dAq2/j1lSWrslb68zZ
lo8jskAkHi7Hqh16JL4WJqdhKrJdF1jpt9ox+5UCpWwP2276Rr0Vi/omiZfeoNfxQ6rZ2/AjpVwH
BJ3LoduyV+g9e/HJnWwg/pUXvahBW25LIDGHqfbKs6/QhLm/t/M3EyeZmi2QGgdHHcmVvBx0GFJ6
NTUVcWSzoNACW0IBONQQWFiHYRQPK3BV2hKn4cZM5cOezjgiDmSZsyqnoiEsVYV5egLoZx+admpe
OVkT2SzmCTx5DPtrMyni/ccIBR2PhaVag+HtLD5HjedPrTFlJ+AVB7p7wlj3VFe2eu8jcXV/WW98
MpRn0KqmtCbVCuZHduJjRS43PeW+331P/cHbaiYCNtglF4+Id+vHgrrUNwyytA+wtpd29fbwII3+
UrSpI1/uKosv0Mix2dV2SIfj0FZutoI/QhU3bXPnSzlCkg80nxZhwIN1U2K5YS/EyFubTFkDNWsV
jh14+8vf0IQD1Wo/zk4+BMIT/0a9iR30UptBRc7Ui0axGpS8fmdtTJ5nlIpIcm383jlil6MWaehV
fRFmp2m0xYPtDaq9ReO63udFbYv1kDflWs08aDolD6z7m37rW+LpJIn4QHDIBGdjW0oU87FmJ2cE
pLXuwdgCL6mHPz56U8k2nxDjXTjTVw9p6pA0exw+XYoQkkZyOWbQgSt3QiM6F4o+tpSWK+ihYd8E
28ZCBQeoYgJ6UGjKx6EjU9iTQFsHp4JKBrRIjZKFN851giB/D5Rono0ooUBBvvw9uhXgvtsE4Xn0
hQG+Me87f48sMJURzyyAYQa8g4atFxehs1WHJio2FTa67TqkGuYubMjVZ0AURUxdJiq67KfMFmdU
Q9/tdEOQJ0bNrxEYw1PQY/O6b6MBgZSmVrFFycA+WevW1qPoMXMAhNw/FDd/A9VglUcPXh7zDTJG
rNHp1IfnqramTc/ZeVCKMPkRx92PXp2ct9BIkT3N/GBaizIOFuL71VfIEtDR4trmm6DtObvP8r7o
cwt5w3OmCmfL91JGNIT9atM1jfdNo0//hG5auJCSXpU2YHLRS5I5A7qw9CJnASjHc3Sqo0o5IbwX
b3Ks6NV1WPCMS3QvfEvNwUHbuBwlCqZ5MsEZPDRjjF2oUPvnnoO5UEu+tQn0xGWpnl/EjXN5Kgce
JNBnHHE2BvRBVkEGk2IY80lFXiRSV0Y6Ok/Cj6uHfHTzDd/ttHAKrtIK1kP2JmSbiPfh/PGtWZJ7
a0/oANuheAW6452kJNdT4pjJm62YNhI+YZn8Gqa4P90/gFdRiaFxo7X5LHkC0eW8nDuQXbyfLU6A
NtT5AxJINTtRUkwqw/FgdYW7vz/ejRPHc5SeFTVRl263/D3/5MbGFGodsI7wTIbVv7Rq0vAU09W1
HVrqZrJ881MgOA33B70xSc62Ce6Q1yG1Dbn+/wwauzEy1r0enT2Ufp+hexNWSs1Gz7zGo1pZomTd
miOuR+gAsLZcM/LP/xlu5GlgQyWL6VALF0FRZVrrVB0ggwaIa9oCGLChJ95CcLX4r17k4dAjuctl
ex0ftKtbXSl6qOiDG58zA0s3NQvQU2snFcJMTL3l/oLemqHnyEQU2IJGhng5Q7OtCalQBU6dg6f6
QLH6pdBG9L+nyAFoZ8U8atXg8/1Bb3wluo6YBr0BJAhogl8OOgW2YqhdqpyUVvGKlfCi+Gz0mbMR
idVtyNaNbp0B+Dw6ke0sfKE3blJyUaqwNggRitPzhh6qDqoeWbZ/EjkefSsdnk0F2anSA7SdNR/Y
qY1hYoLeOvK4ftasC3xDKcNCul7FTdLv76/F1WZTIqcnz/uWTZAZ+uVaBCSOYwHY/4QCuPpojxZQ
z7DuVHeTNAAPFrb76vuRo3GueIDIcz03j6h0XcR1qwYnVwm9rd+l6r7040ObIRGDAvfovdyf3dJ4
s5vZ18uhGeBKnloRh38mx6+DlVN2fYqIr/0zTESj/x8zRCiNlySgGDKT2dlS06hArMcMTmFZ/BBK
CyGpceLXGowaE8zCr++foOztWYDAKO/PO200haOIcmN0Ups6/AIEND2kjqh2ik/XfE1C6EaP90e8
PjA8HzUKY9JHFJvZWZwPbdFThiuik622+Ex4nQYQUaX00RWpurSaV+EBijgPR5YTAq+mzmuALlqO
GjXX6ORGxDoFfL9/yDqnKTZDlY7TxnV841ELQFjv7s/y+uAwsGy+U5MgVMwVUbRRj63atsJTMAAl
W4+FlygbxQxjbQsQv36DWwap7/6YV2FJTpZ2Is7qfCBgdC8/RXgLyIb6bXxqmiZ/80MYMeCFPe+j
owzuqz8l42/fqFJcCpIgXvKdus6oqXLRsaXQCumI3GG2r3kThqYSG/GJ5Mb/nlYu+tlpYIi9kvrW
T0QAQxQ1ykGHwx3wdq/HetjCHCjfHY/4GTZK3TKxBy8xSyR9jChT6FjRicbU1G2ryIrFVo37kSad
4rzeX/GrfE3OmXxVZpCIi82PFwzrsfYKJYbioiI47GVD/bMaqdu63Je70KNksAKnV3zPMgHQHapG
fLr/C26cM97OfxN2KWI6LzCmYTC58UTNCfmBVv9cTEWwjwWtoTV2CGKnTkmivTdJleVMriAa43xX
V203jabGoBhWfJrKtqo3pfCoX9tukb8osNIe4NF6v2DYNO0+ag3RcBv4wQKO6cZnTTObWiJQIaRj
52lqgpWEYuGHcAKb6SqrQnOSD12ldL9UysrelmZE754hluYLX7Ws3V9kNkzdJSZz94IepIty+YXB
8SSBq/zklJpRVG+jrNPHB0CT6cKu3pgfLVdeJpQjEF2Ynyu7BVafpiI7eWFtfLUaF/ofxPR1DWHo
leUQzwO044Wb5/oxBLKOc8zzDw8dSk+zy67UBlx7/Cg94co7iB+xbxbJHr3QlgKUYogXUsnK3Khc
6+1PtTURXdAQdaug43btI7LqzbRVyj5aehTduDBQyYEqQT+Ut9E820ITXBNIgaUnzSiDYFtAKVrR
FnG7I5rf1bCQod8YDRVgBKxZfpgR86ZrbgJ1aAt2FBpbW34GbY6UJTVPJ/5tQeMLF2L2reF4/JPJ
AAGHAjmL2fTEqlytQNTBa+ugkBu8sdbUu+r/FMzJvt0PFjeOL+vH2QXHg9LD3JJKq1ssYzCegH1h
GdM+8LEPOvhRFr/dH+fmpAzpnoYUBFna7CCh15BHhIb8NBZx8U3z4DahRU+XPNe6hQh8485DQYH6
DebOqJ3NDweyogj3oDlxst2pxTVKK7sjvDDtIZlwdMpqW3tF1jraJZPRLmjJ3Qi93DNo5vJwpb8z
72dlINONwBizk1qmOBiYdsX5j31nX8NifWmbaMkx+0ZUINrJU0L2S3N+lmoPI+BQI3Hyk6MK/Qv2
lcmm5hWG+FgSfwj8ohRb+lFAOe/v5q15ItwH1oTnPRFJ7vY/j0itKZtwNMrihIxCucYWIdwWRpxv
jLEGmY+k9P6d47GfANB12guAs/mby/GSEcpSOSbayaQ1fMQRoAbcYtJ5h9wLG7WGHrrUL7w6sIwi
v3VKUBRt6BteDqmYLmV2bCdOAvnUXZCM9XMcNNgPpEMNmPr+/K4zJRqCNG1ARSJIjy7g7BZJjCYH
5q3pp0gb6xcnK/tPbg95bZemQJDQCSys8qHTNCiyiZLgglU6j6AFlrSwro6T7EsSCqiAkT+Qul1O
2qDtiEaCZpxwNFMf4JwOZ7yOYBq4XYbroLXHoSxa8nG8QiCTK1HlgWtBO1QqhM0mnyV9PorY1E+Y
RyXnKOhQCUQY9lM71jp0qmEof6qDgQ2d2kznrKiizSAc/MnwRcRau0SgYKyC4c/9Lbk64vwoijK0
aHEkpFIy+1F5HNeq2lrGScmS8GdXh4mPlUXv6ZCOfZE+VGEF+OP+mNdnjjERukNECnQZckaXy9/w
WI/ywTZOReY6PyI8+T6WSCxAGgv07f2hruK+nJ7kDQDXl2pK8qf88wXDTpzkBWqeuqE3mzUaK1my
qXplSXLs1omStVtCIsmhOa+mCrdVzXIUFm5oSfFEW9/8LjosQmqh1b8tvD6SVWsYS1fArc1DXxQs
FIAGzINnC2kr45DH/KJT06qxvWqtDsJhWCPGQn/d+Tq0Hno+9xf01t5J+TiyM2L/FQy3akraGKIy
TtAQzCdFOGa5T/oBUYy8c5fEJ693j44JEyNLIDgx2uXu5ZjpKmkcGacqNHTlo4M8hrFtqlq1f92f
1dVdyqsJcAY7SKsGJc/ZVwAdFcDMZOFSbKioEpuNfI97sa9+CYhlu8xF1nzTG7A80K11koVDen14
GJ24iFK/zITmxsFUDYssaG3rVIQaovBKgcZXX5YPCAdVGwHvUll59lju7s/5+vBcjqpfLm4Sl2GS
6AqjqmP3EiDz8phDgoKXoVv/RZCjFy63W2tMFku4JU33EOa7HK9C2qDHstA+IdSebBNXD7aUEsNV
aYv6A2ok5TryUWnG96X9P2bKXCkOINPKZSeP2T9BIOoEJjrtZJ8QrcJ2MzHVcB1kU11tcw9Ft2AU
WOC8f3FlZ4taHentVYm9Gxy8FavEPpVJbD5APfO3Zot/5QZIoQ0+NrbLn/dHvHWIaDKqZIR09/hu
LiepjEAUY3y5Tk1hu+euGvR0N4R47qwjocOY1tKcpm5TIy+8xAO6PTTDgprUOP/yz/9Z34EZlRbS
VifQ+AEOSX6FYWFF97CqtPoRWyZWHoz+ks2sjG4XT1IIDpRbZLEJYWN8ty+HjcfRzSLcFM/oeKgP
Fvo+AzC3/I9LS61ZJQn0X6DCzgaFEoEMm/3e8wyIkDq05PC5MDrns267RoVtrBTnNhQ6Kkx1c9ZC
rd3yz/x1gZT3m1aNxtFJq2Bh5Kv1lvwHB0wurQ0WfA5dMPLBqlHfK8+RiDJkGTRzW/Zdvjf6MER4
pRCHME2qhUv7xmqDbAIbhP4iUNt5u6EsChfSXV2dgwrOTpWL8gkdwGqP5pO7xcJJ2+JjX2zxAi2/
mH2jLHzD16kj3XPZHZT+yabc9svdLjJheRnyZmcb2Y0WmQfF+2ODyp2eVWOczL1DsoRXqm0pNalL
mGUPCkbn9mOMxehCvL66A/kp7Dg8JgkhsObSpsUQm2xAXJ9hTOF2KiYDh8kx/BFpvbVQcdKvrkA5
Fs0FYGXU9YAtXk5bVBH6ZLVZnZMoKLy1IK19GXun1bY43dVP1dgqYksy6yOwFAUZjk1SbK7E2Yfy
UxBCjTQHJaqxF0wo3RP7oJZglySwq40U55MRWIq/i+uuP2RNXdEDRBU4+4Ama4uGFmx9Zx3k8fSS
1NBE3xmwmBkVFy5bIEbSF/tyZlOC6ESDIcBZRyp1M+XSdM32qk2IYdtj0xYfSeuKBfrr1Z3HmC7E
TaRm+IYIHZdjgogEh+mI5ozDqLP2WmmjPtBKmiYk8FS3eH9pWA4ogfqSsgCkfBajgBZ5lW91zRl9
FvNc1PQeif3KTjiqcqBeCNala8toq0VTlq4D12hRFMEi+d1LzYzpgspegEej+XLaHbId+aAW7RlY
U/DML/3WJqHYd+aQbtW20h/8Rl/Ccl1d94iUW2A6CM/IWVtzmM8gIqhjg9mekxJ17nXOJw2ExEJU
ph1V89A7qbs3dNz8VpScvt6f71+W2+XVIIs9PLX4C8sya77PelFDM++SM8Xp4K2P1fTBHarWWZeZ
yGALl/W4wzoYHawmDfqnQfOq70GDYJVSoff12NZaC22uU/LfPeruzxEeVbsW6ZYHZIvFyig+BflO
VXTvIYLWtw9bkN4LCcR1uGUGvFfAjhPhiXmXWxaPalfhopKcrXiMvjVQs54a5Nv0lYk0xlZJtGSj
tfQVoAQHq3Iy9Mf7S3jjS4H4QkuFigQ48jnpw2v8Ohdqnp4L1wg+lSipfQwUbFMxKES3SBTOQklJ
v3FedHQZHDYMaWF9vmVtEieY1GvZmR569VTrTvyABUaHuuU0dTjEmfmz54ngtdSdtF353agq6wyp
ps8xrNWPCWJLL+NUDS3acCZs48kpT1Tqpw3Qe2+TWHazAa+ofKaFGbervE7aeD1Yk/9QGXr6YkAQ
WzvjhAZpanC9hWlpPsVxwEPq/rLqMsudnUzZ/eP1CxmZFtnsUxwUD6nWQk/PHjBkPGqwlcU2wK7y
bNVYdf8dqJSH1n6MiA5tOkNsMc6Oi0fJ2zd2WLW4zTrtivBnPRXKV28KzGoHL820VkNByUPiZMZw
lfCZHUDroBXl6IH9odCTTFnfn8nc5QR0KDYLXH5ALIDL0Ni8PKElLZ4qxwacrCesqq2pRwgzFgic
rHVqxg+j4+XjBu649ZFWRoRBAb2KRyRr/VeBDfjnujf7H4ZK72yDK3WC0Gk62TtdVZI1yi3/3f+x
s69JiiqbgJMx4oLSBuJl9gIAAQ62tDT9A5iJckffXttQLMhRPTVgaNWls+lQ2dqjRoIAbNeE2/vD
zz6mv8NT6oCFjP0IxOfZUkV+UoP591DpNOJsn2fY38RaSsHDdQNS9eCdGgUUSelp890iGURdjxTx
cmuKyXeqTJmSw4i0kA2Eq9ftLxguu6oUS3bqXynqyJAOk2iR+TzLTf8OLalbXLO0IXlvzYceYz9v
RIKSf6p+RMoiDdcGCIw3BbGxaJ2Z3X9CDcaFBZ5DQ/4Oy6uHtx1ARQ1g+OWwqe/a9F1HWviqOhor
o4/zvTtm0Zcg7zN0nyAy7u3K4bBZje5+jNMOmlxBx+GXXaGwfX+7b/4aPgyQIYCLbXVerrZ0zKQk
RPzQ1EqA/cmQ+tuuTYxXU0H8e4XfoC51tbzpRHs2Iqb3RR2tcZSeomcq3c1CbJ2F1r+LQ3+cAhF1
V1KR2fGzi77t1FRND03a/wntuttOWYXyVu4bFI3oMK0cHT1ONdCRyLq/FDKc/RPu5NDw0SV1kgKc
TGIv9yXB00+tEKo7KAGVXTvQ8nFFdPhpcru83R/qb9lwPhY9AgQyKC2D7J5NEymqrO3aOMdrIEgf
DSOBdZ8ldfgZglyev9ZDlX8be0txX9rObt4MxciRosINZ+8RtWAQFI0mvioN9eCjSX1C34AIzK0V
eOXyT293zltrBLG2UxG9GF/u//hb60QyTB2efIk7Vwawf57QSTk1XRjXxaEftfG1LsUpGqv2g+Hb
/kLcvjkSKTAphctTbp4Co3pcukomioNQVH032cJBFJc33TYtRB/v7k/rxskjBDErAgF8oDloyYOv
OfiGVhwwogdfjMBdPzzi9iE+9kqloaTdGekL6gQmqiVT6vYLB//GXDFloM5Pfdu1r+v8ajRRV4uL
Q1Om0XMbpPaneqr7b5raGw/vnSkDaeS73GjgIuZ4QyWvOrMes+5AZo8GcoO7qJIp1iPpRfJBUezg
A1X9t1YXS5Xn2QMRCCeoUT4yD0IMveI5p63MOtXxEQ5FXtgNn9LWwepNvuAXlvIqrlPuhdhHGY3w
KsUlLg9o44Z2qKtVe5icRNsOjaKjAV9Ne1UZlXVTVfXDIMrz/TW9urUlCZiGmAs7DjO3ecPE5o3t
FLZVHCodnPjabZJym6PO+qoOuD0ibZY7n/KislCS9gXSYXGVNL/v/4Qb0waNBrGLV6O0RZvdKzVS
m4EO5eeRToyDTHZfYGuvT9MxcntMXHIqU6ukzbqF03S9qTZ1JQdyikaadcVTULM4snr0wA45DvfB
SuuU+LPRIDR/f3bXFxVnhwSOsjP1Z8kzutxVJSxASmHufQg8jGveepgKSH2BZclP1eRpw2oMoxCl
bi/UlMfY1bNm16NgJlYuttJ581C0OPp+uf+jrndd2kxJcDroZA/xgcvfVAFl7FD86w5JS0GP0mWJ
vbgZD49EmcxY+d4Q//Ejv9/iZlM8Gg0GJPd/wPXi8wMk0kUyKfGLni9Kiy5vayX9QVOF8dsYFaNd
KYk5vfuLojIMLk9WkiT2WyaN/4Z8u6/GunC6Q4cA5rfESE7UdtwtuMviCTJd/yAFXhczE3lgLy5J
GrDgzMlJgLpQkZhNLiwaJGFtHTc6GsJHl3uuWbMZarvSSqlLCeyyfy2ok7truxZjc8RivtxlGJKN
G7Q5qHQOHNfwoxUqAXhC3i+8PJLBWhtWH5HqxXXtbFIN1uUaXVT0GSF2+3gU4OptkobVeIQ6TgVv
Lo7ATg1pox0bTc18bDgHt0tXweQnz5Bjg+IldkHw0R4YwW47XdO+Cs/O+E+hRFa8ICxcoalKxdN8
Ne1caZ/5oNyHLBxj7buG+4P3Z+q0mkeeYkAjasOut58k70xbVYNd2atOozTP6zKAG4siZ8MhU/Lm
jDRHcfKL1isOpZUbPyCu1HA206wc9RXxQcs2SAfY1roosSukzdsm+2IomuxMDqr8yVCy9h6k3yaS
mSxLvoIYicRilw7/BfngPZkZNmorzl7jorPuTN6+A1DkroWldU/eEOrVCpeS6s2Mxvg17ijqr8zY
97Al6GoQ1j5SlcM+x973VYHUxXphsWCuJkTzMYvBbyo4T/rg6wDQzGj4E0dhUFKRphSCviXGAI8m
XlM/ktrq0fmvHEP5gLx39xKhGlt+o+3bffLDIPM3vCgLfdU5k5ieC8gB5crQK6f/pMMQUVZUfMIX
H3m6eC1sP4m3ZlmU7qNWNnhcllGKE14d9gGGLVaYVv+xSMgPlzS5snUbuRT6MGBwv/tJ0uYL2c38
Vcp1SNSQ4HTyDUiE1qxuMiHTa5NrVgfX6NVT4GJrvwp9lFJXUQqgTEfGflwrUWo2HwCUDLq/RnBH
HrCiVZ8TyxPYl/hNO2BSSlF2lzbM/jEKJkR5VjZPGkSlPaOYlgKxzINnn6X8tfCH6ZABq5xdr7Eb
CioaYX1w0Bfb2FjQdqtUj3KE9NsWQKszfEGqL8ctq0o/1lhnQlHStUMTV+534IDTEiJOhoGr3+Ny
1XMBwYfxZvdehzZO2uh2hTo9bvCRbyJFOSo9MlZCGxcuu3lpX+4ZPDQuOmlDBwxh9kiAUIyCv5PV
Bz5vNor7Z+hRfQRMScO9+5RqSM9XLo9mJ8nTL8FQBjs/ARu1cHZuzBmFCLAZBH7eLPOnq8fDse38
GmvBerT3uEB0H9KqDreJkWsLQ10VBOhlMJJDG4U8HCbFZezXAUaTcvTmIa308nMSZynu6GIkMiR5
UGrrrgiKr/dvtatMBmYK7woWGaw79YH5dVNkTtOXenkwtcD6nEdp/gg6XPmg5+n0R1EE8vlgdJfO
tXxzXZwj25Q+fxI0KyHvc5Ba1GV65jWjecSVh1IvQvD2dxhGHXq4NoQ/fOFrsbNCq67WJLfjzz5C
bmYzTo0SSn8TdeHOvVp3G50yBwg+KEAeBXOe/JQ0NVmVYx1rmjaPEw+WXZOYykbTW2WtD90SCF9+
trPpU/ynEE7NiVrfvNo3dTaYhSowj1VnWVvug/5XlOiVtptwdszpONTRZxEgQvUhS2P0nN655UAd
WXU+EplNQke6PGXmWAeDhrPO0bf4iFt01dAeqPpjZVkIsCOzm34yvVxRd/eHvbHIrpSEREaHRz9M
28thrXIw3K519SPuGN461dywOiUkir+SQGTqKbKRN7w/4lXKKNUuwOlBc5Adyjm6cwww1VU8Xzs6
4aif3MLKdtqk6XtER4xfWFl6mPhg/YO4s6nvTUp9xQIq+8Y+Q8WiBw2Rk/g9pwKJvgZGpRvasYKJ
8DUdWuNFQQx1g0Of8hCng/qY2KL8UKiS3Hx/7ldRCzwZ+4sUKawZam6z71pvm5R/6GnHeGzGeoVN
6vSqVx5i4AJV14V25HWoZjTQTQggMB6401n6SH+yz6Gqa0c+VinPq6DxADVdXwXkuJuMuPYALyz7
U6KN/4LFpt4/DvoQvXu5L3/FbM5mB7AeRQ/tWFa+OFu5TcgsnMnAp8Yfpm9IE5vrIhWigqCWiXzh
vrq14qg/AIJHyQ4w8WwNxhT5/WxgxYfWp6OExD+2MzpAQtoaTriwvdcnC6VMkIOg/eUjeA7KFqmd
qnZp68dA7WPj2KouLiZ5Kh6xPLRDTCbM5pevxFP4IfHzNlvY7+tPmZqdpYPYYbNp0coP7583ihEF
Y44XqX1UJh9nKIFc+rgZ23B8dgon3NDIsBbUAW6OKGEsEA0k12IWPFyrb72c2unRyNJim2CCXq9U
NdM+F15lbztF19+/m7zvKTFxI0spcnlv/jNFs0VjAblZ51hq0EGNqTfSbQqYWcU0qSkXBruxm/DL
oTaQ4lG0mSue24pq4Xjv6McYkuPzYMT2C0r000HvpnIVq1mPOqEVh5u88J2Fp9/VqZXNJmC+5DX4
FF4VcPoOsfsqnZAuy4VZ79R4UMmM46nIoW0iaLhwbq/2kco3J5aAgNYuwI1ZMVbFh4rURi2ZaVxI
K6XwEZ2g+BiCHH9MEEN678oCcyQM0vSFQE5zfzaeXUXI32FFdrSsSNkVJV9m4YXNOqC3udXyWDvH
ShC+aUlnfH5nAGZkMgkD4oT0bTZnB8jrFKuz9LE6NlGjf1btyXiOQS2uI6wuitX9sa6SOMYCbGQR
eQEe8UK/PKxBSmT3QrM6tibeSZZo4kPFbY6rTgeIQeMtuNKjcqmKe2Mvgd1zfigYAzsyZqOKEEZO
Jgb9WKeNJdZ1HyqvVWl5Lx0WC1t0ntqFw3N9zQCuQf6F3gmhAEr8LMROQejaCvido+KbyRd8Ifzq
l61GjsaRtTPKfCs7NKOTb0nxnxQY0iN6QX7gUZcK80UBxOtPx+AJhFoJrxRa8fNfg+8Un1bgjsdK
z52dmko3VDH+Im1birfXBTn4zTRoqCUTdyU2/XKD8yZtg8rRpqOghpA+6pPN47xT/XKv9xmVXYTQ
3X4zGChFlCjYVK/qRDqDkUxujiNIpKiI3u4fuauQxS9CLATSqpTChOJ4+YsKMwGWjW3XsRgageSQ
rdXJ2g95Ih1xCUNRENluN1yLIAubfcbL2329/wOuzzyBkqhFGxMUzRWEe0zdUdA8G44mLh1g54HI
rOliJPbDVIa6uQtxmu6/wxQzFosJs1c5lx58ORruvNT+dvOMy7kTsBqL94J4blGonY6JwxY4x7it
we2vFBwbUYtJ+1zEP4Y2i9utEFMeoeiXxN6LHpnIx9IJKBHvllNztIWIPj8sbImUq5BqleA0kMmc
3c6DFlXu/zg7r125kaRbPxEBenPLctvKSyzphlBPd9N7m3z6/8s9OAe7WIUiNJjBoEdqICqTmZFh
VqwFqez0MeqFZ3Yvc6mQOAL76jvnwa0USBdVo4hNSvNzZGuHJaTAm/tL4zTVo9LHPTA6fMaydX1X
R4bd4sgQIOExCBqugJnhUnpQgHkIdVLIE/5ECbt7iIF3tPvWhpBwFJZ4tTR0XY/1KPTiD5NOaZ/i
5lsWTzh+xcTW0V3V2Bf9pXGN+lS4g2fzGAA7/s9YOtFJr8c5P3oiz7LCz7WprB9h8lIFfM7hvIMH
J8w3/Jm8I+/SwLcfRHYCWwDPoc61vjxHZZ4pYaykxkuOIN1Dz9yL8GO0xraeB/nBL+0wqUSnBH0A
vMjVo5v3nrC7HGyOkyuoG6KKN2c+TBCOs8tLdKwPY1FW9q5Mlr7wQbuAy2rmDtjk/Ru78pcsl58h
exdUHG4Iog80thujUtyXzELyyi8UfrTfNnAjMCfMoOWGuevjhjl6F6AxaTEyNXq5u15uMZg62+7L
YOrz0c2EVj2aSohwbBVnuyZP5r2jaPZe7eBi2viyt2wzhUt/k2IO5Gzy6XwXPSZDU9TzmLsvCpk+
7ESUruhDhZP+CAI6Uh5S8j7PjxNRfmXIE0qn+zu98o1yp8EZQMBOG4Ggbt02ZjQsHQUJ6YvSwUBn
MnKyx2NZx0VBxKAVQnno4mQrHLixZmZqYESXNJPEBKtwQMPhW5naey+k42mzz40URU4aSWJvm0n6
HHUTgkjAwT8b7aTpG5f71orJdlGrAVlJZXJlPEJ5CSg2K+aa1gdn9PIHkYbGq61qQVfG44EKunu8
v8trZAHjCm+S7IQjsnHO1778yigDRfOyCPGqZpGR7kVqdu5fQAu1b5VlwtMdWaMnOfnG0f5WqpmI
znNb06GkD5N8Ktzc+opma55/AclmzrvcioTl+GJ2yijo7SFsa39RF23YeWotTuinLFuDjOsbKTvT
eATJhfM27Scd1Ltj2o6uUrm9ZrwgrlcdhJdq6c7wWu91UBOhbNzH9SeiEEOrhfSGeSg2a91UVPVi
0UtKYs8RCpAHrUuRaNeq6clOxwVJ5VT7MozWVhnkyvWxMCImoB8mijrAXC5XOMdLXpsKWLfBSbXI
12utc77Ru9UGdeek8OR86wvQZjSlwplmVz7FsNztOjmUtYExXl8PFi2nmmVfFVEULujlL6m8GXVE
6vyvonc8lLs9ZVn2daVNo31UFDGd6saZugdRonP2C/JhD1G7++f1rTH+/h2Qc2jwYRO1kSnIeZDL
nwDfSYk0dKO+eFCNRns+ch3BwAr42U+HxlH2YbRkz6lQ1eiRuq32vZ2Y/qPba3SMsE0VCnHGDlb+
Kf3QhriAhv5X5Sw72Ni8MIS2P5mHhzJs9PIj4m72vMOg3X2rozi2D7lmoMNL/Sg2PhfhtFineR7n
s1Vrw/zohIOq7tKuHcZTZBXVeIjM2Ih3va5GHztC/PgIkrrnD3IPqgzXWECeQ7026mpDg65w92M7
lL1P/qCgOFRAnsjP6WZalqjf1j4NxSzbK8DzEe8cASB3B3Oacu0zoOr5sY28aP6oGZ0OCyoTzOZ+
Qs/R+ZlOy/JNjUGu+VpcMLBz/3tcXQhG9PDTbykU1Vhn9UigGOrEMLfGL3Blq9rR0sfmY9QYyocO
KcW9VRRN9UAwuVUVXaVt3D58lTyCJlNlDPbLg/ru0htLNBWdVXsvrtEsu0rJuseulDD7Usz25wzR
xD/soGCRgI/KhXTAkg1ldfRLD6IRiK68l6G03H0I3fTnobemPREnAsX3N/Uq+sUYlN6o5rA4+CTX
biabaY91bR2/gntbtIfMSkCzAeJWDX+htSmoyamVu29S0UuFTAelbacXarZPrDh+lrc437j51xvO
LwLpRBtZ7sF6IqgLXdrfzJK9lm5r/SWQt/9Oij7TT5IqX1rvbLUXrty63ALcHqPbNA2ZBL38wkR7
c8JcYfRaWUb/rGP2SEszebKn2dp4d69MwdjGbBnjiZJ7l2zl0tQQjyF5lq2/tGAaPwx6Mn9QmjZB
RZUJmPtfdu3KITOjFEffgDSYZtw6Wh5FGw0Amuzn3Esa5dB3jXcY+9CyfWFzvX2l7r1HmHghVTbj
+adXCufT/V8g9+3CfxJSSYJhKq5cHXs9LzFP7VA3bT68qrFjV/sc3v38JWpEIX7fN/RG7ri2BIGb
Bw2frAlaqy/YRAwCZkjVkw6Bdt91i+G8zBOCH/u6CI1PooLLxm+EVsckcbCB7KJJL5Qj7y41cJ9p
bVv5pg0gwF/RVtLILfJhQsvRrBAJd1OLHj2Csrb3oydfR2ILQMuPMPKM0dkIRK+OPjsGoSsEbxT9
QDqv1qG17UBplkFOqiP909A52kdoj7SnED7Uf4dW2cLo3LDH4yaHWfA0NFFXx1EbO63VEFB5Hcal
2uVmWPzmpdKFnxnFp6Ku7A0XfnX8qUQzBiEhSYyRE/heHv9OSa2RcLR/dRc4MbvEDnlr7Gz5TSo6
fLt/KK6eC2mL5wJEH3ebzumlLXAwXgr7WP+qNq3+qqWzcvTcNHzWokY/doM1/6vHs9j4gFdGaUcz
lgDUB7eNzVUSNTmRO6HCDOmksyxMRkEfaOtTdtKGGnwdEB9nN2ZV9uv+Uq8umrRK1AZZCqUlmtOX
Sw1FpaP53auvtbaAKFSsRPwEZRg/3jdz9fVAThETcVqkphEO+tJMTY/MRCpDe3VaFxVbvTSLZ+JX
+7M+Odrhvq2rk4kteSC5zayKGt6lLSbxZjVBnPh1TszyiTugH5GHWZ6sBOImJILK+sd9g7cWJ2uG
KIeAIiMxuzRYqwl1sHREGxtGLtXn9EI0vwC0eoSNZdo6J2/44AuPRUrPS8ATzwaBiFzddGZuGQoU
VvZhCSPT3act5eH97KUD7V6N8d+laQwP8mir/VHVdnYGAATJcQR/heVXHrohkAh76JVEc//FAKlU
7wqbESuVafTJp87mKL/QJXA6RmNQhPpPNxccRdE6+fiLwC0symM+1Gg0j/lQ/Jiyyf3SzgYxoloI
8P/IcSd1AChWQWTi/j6/UU9drlyXEy8Mv3I7mSpb+YAQ8g3wDJH2ame22nnkEK27IFlFuiYOkRG7
ybOFMtFHam0R+phRZH5KjRoZ+tQk9qdD2hXDE3PZtf6YJbNLqSm1nNkviqxjKh2qMA9tDF3PflQT
9HHloaWLPr0UOdQV3U7APNwyXJ3o1fCl6ti+n0TCWrIPu35WNrzdyhm8jfYQvhBRcGnwePrlkRqh
EoOwtK0DO9eUs6iK8QMsqijAA0Q6xGGXPdRWWGzs77ro/1+r+AAqmkyB0fC8tDrrGcSAsVUFtGzy
x5kA+WFEvfpZ0ga8qEa5/MgohCJLplpPc5QXu0Qgqn3/I99YuXxUGF8BdUTmtPK9/VyolcpIZNCC
qPNhqYQucXLzn8ZQzx8MQ/R7nqNwo+cpA/F3B0sunGSZ/1K2o769BkxoZk5S2xhdMFZ2e5joYTMS
VYnHONa/x2JYHi30Mv2yEOOG05eu4dIwBhmPZDaK4RnWfbnjHrrYg9ZVU8DmTo99Z0SPeC/lMNfq
76J2uw03fL1OWZ2TXRSdRoq37qOAfccrlfMYeBPwVsdm8qUR7ryvnNjYR0aefu4QPf48ecNWmW6d
LLDFxCYY5/pSIaAseblSBgG0fE56EdShNz4NqIhTEzQ9mnS59l0N1exY51nBJE5DmJkqrth3DE09
zIq+lbes3PV/fwlBEswQVGOo+l/+knhemqKa+jkIZ6H/0xNwPFhGmwZd01gbn3cdXb7ZkiQFJJ2w
jhJKXNrKxkSxc6sTgTfOHjl5sizMPo6QJO6yxXFjP69BOdI0KxPPT6x6+WsYNTQm+pEGx2NcefF3
oiyv2A1h2nw0amgY90k9G8pTVkzFL8uCYtFPda00fT5pH+2mIbS+37+Rt/YLEh869LKwDSj+cg2u
KxoKAtYcsKd09kQN5gSVVlGfIMlqN+KR6wvhULyhc8ATTp/vbXrzXcocj0219IxtBo6ThHC/tGF2
WIoFScvR6VHOaXR32hrgkJfs8hKS5vCgEKK8oRBWl9CKxhxM6KAFBeKCO91Qxj2pYiR8Vajuc9zG
2qlsoNDsM32JqItk80a2c2PRAC2oYMsdhrtu9aLnsNjZkN3qwURycUh1u3opCqH6U63a/yZJNX65
/0WvfSztTfIESGD4oFcTSHrYNksMlUig9G54sJ2s2HUYPdha6x2VqI72bgz7+32jNxf5hg4A+GfT
MLg8RqQK8CYDgQhqhlVPYanlj8VQ9B+spa8PJcdp4+5dH1sAELJlyclFW+DqIek9JV8Y4A0i+kxn
po76zjeiQfss5tHS/ixj5p5zYGWLVB5biW9cLW5ZjLbMOiNwylaLmcrwKIVNUA+0Pn6fOnnVk0ZG
5pQ2B5QOnE9Fojh/LBnjUY0gOoJhEZwAt+jyR9CrrCERMuwA3IeW+Cak7icBHHNnRZUq/KEroHSw
Nikdrh4VzLrMVDGYJPlB1ilEocB4ajEjEpQLcwY2eTEdUDQT92mqWIEDF9az0+ni5CLD+PCHZ8qT
Vimtg3IkHF7nTNxoRYmNxQogp05/oXWXPnkidD6btV4epgR1ov/BHugd6PqosFMvuNxhV8yu4BG3
AjM1S9y2Q/sHvEeafHDHKj61qKturPDqqrJCghICcuqHIBtX4RDsOox/cFeDWVGm72VdMZ+KdMBR
0VoaP3E5fm+BoW2Nlt+wCuuBnINEpITqi7zL77xwVixTDgxYCUTifPfiKNxVmjbsC5ngS+2hfwq1
77agylcXFhdM3kbXGhEK/LH8+3dGKdPnqBjqSsA8RPG77m3eQaOpv4+j43y//x2vj6w0RY1Uluxw
hCtf5GaqSdY0KUFoJ+pzPcX1yZhj89waCEpNpkly048kcTD/beH6b5qmNQzSTZL4rIf2q7EetDmJ
o7MBFaH4kied+cWzCqRlc4ZwGvhlFOuoeQUjL+XE5M+Go7rywrIK/oYbxVnJ1+Zyk0WTyrnaNj6b
aV3965ZieJpnp/nM0KtqEXy5WzInNw2CV2WIUJbA14ST5uwpk1fr8XmOoyL2Rx02EKZ1fsJtWfqK
mlsbF+bGKZLMlliigMw0xypayfvWKJbI8AJRJ1FH3EQwsVMGxOD8wsQFbeznLXOolUAn+QYqXBcq
RxsVR2E4Ia1PIztYDf1LX9VD9UFvp7z50ycU7URqbdT3uJ3XKIa8dpHsDBeam9ARaw/DPJrHvodT
dGfBhWLt7a5uHu/flBvrwySJEaGYxMHql+elzuyaADaJzrU1MENvxKPytc2reQaB1Px939aNowIp
JeMKSNhRi1qPf8Q0vA0HeoRzm3n1niZi9hGkWXbqRZ8ewVj/8z+YYx8pm5oknOteicKwvyVw2+dm
WFKIItPefNLTtj9GmrUozMExA/O/WJTqskAzqBOtLh88ikOrpXl8zvUq63dtVCTjU5eWjr5vlzLN
kH7JkNq5b/TWF6ROK9MddpfX8vILjrGpLBktx0BJc0V9bRDbLHfIf4n+yOSvtfUk33g6cG5vqCMY
D66wCUA+u7jwiviMli5dRPojSnlsvUE5Lenc1K8wML1mCJRszJVcr1LnVvAsc/fpRa1fZq1oE7Ln
Ijm7rY70ABhXa1e1My+1Jrau4U1b+G5wvJT9rkrfeqVlSBA1yTkqY/0RkLJxBI4+vEJmUW3c+Num
mGdQMQYxwcqbtb1rCqNuWRbk2tV+rlT9gMqC/dlTw+7PfRl7iKv+f8bk0/XuAVan2lUa1Y3PdTpN
jV85o+j9SLdT5cFNy62C/vVBwRrdQymVQHCznmdvFW3wFIOl1d5oit0QuRAAFQh7o2DuVh8WyESe
S9zFtz+9Dm8wSryMBOxczdVpTRTLlm1ypmKbPGj54J1BNDIJFCvVlmD6ja9HwYNMi8l5qjvrx6G2
GeCbYj05Dyzru1cbQE9CR9IwVLn5p+kObwK1YJwnnkXW8i8/XqOLuWinJT6LwjBf0JVSXvN+0neT
6LYyuVvLAv3jkGZI1Z01STaMNjlMQkp8XuK54K51nYlW9jB10Y6HwYk3HNj1syAZuJi/gH8Wqrr1
QUk5l4NuZ+m5hX/hkz1V36fYVpj1GLRvyTQMX+4fkOsA7dLcKsYXdhVbcBnE53JaQBCBKCx4fKbJ
++V2dvPRi5gh+tZNNbNcGT/ocN/6xmLXGY2SILLndVF6tsdkpB6gj35I9PRJmdoFsQOz2Dg2t+zh
NnnhufkUb+Xfv7vzZRgyBMn7d/Zad3rOvFT5GrnOiPigsH63lP63qm83DTK2w0CebJisBwCrXq9K
no/kPAov/KrOevla2VG9690lfwRsPfzZpBIcXwyDM5dG3wkGElDklwv0zMFoRiB5Z5OCsuF3zKGr
r4OIm+lQDnq5PHhDozrPUzIv6Y7+3BaD8q31wr0j+ZoBkwMMvbQ/Kk4fhfTpz25tTjQva+In4TRB
UarV3+zGVufg1uWEcUpikjXMrgce81xJjLgLk3Net+OXfBqodRigAh/taCm3eGdvGkMuij2mis3I
9+Xi6JOODF+p8blSwm742PZj86hXtag/zIASN4r01yVkIM1MQDFmx6NBSWx1VpE80Cagrem5oC8V
0nOGn283z4kFGMlbeh/+k/yXC5hnp8dTx58WU+IPupa9zCRiG4HxjedLjmUxfgbO+pphqizLfBzz
moujVbb10Yi8mSZbHHrHKeRkwxgyxMkDpTVgUPddxLVWCvsgp6SBtumSAFV+lXd3NuyLxMiHPjun
pR6m+ybsxXfTDtud3WWe6Zv4ff5XE5SXu6Sqg3JqSmKH3vI+iGUYX3u93gLqyw99UULlJ4Ge5eIS
QcgGw+VPMurCYWIqTM9lYRViN6aUwXyTi326v/YbtwmNUIcWD7k3pYKVnWiGIcECaXjWzXomQVfh
kV+WLocPRTBFPTSd8/m+xRvPAV6RxIOukAmd2ypm1zOed+jji3MeFeGzELRK0WddIH4I9eXvpPGU
L12odQxyweZx3/SNxUoQIc6Zuyyb9Jebmtlxmc0L3JzGWJ6bTu3FTrOTBqU/pYRSy970zTe+IlSC
lKEl/xU9vlWXflRHGqQAes96WgzToWoYJPUh4bD7jSN8Y2VQklESgBSVhG+dpM+5FoFOrItznZlq
5GegEfdmm0iYo9UgLmp3W/P+t5wHA9iUmMCQgAVcD/4NqWG1kHwV5zYJ9WPr0A8W3aL/Q3UxeurN
Mnmg+Nbv6CSb1k725YBfLukx1RTx/f5nveE5XGr8xE9k1QAGVtd3bPRoEXzbc9zqnkKpNE13CTx9
IAc655yoDhKKRqYe7ltdbzlwWEYO8ZzkuirTrKubA/X44FAtFUFiRt1J8O88psmA76yn8R8n86I/
JWCXBmGSoMeGjyIQWhlc2pG3iJXSVzPc5zmN+sdqWtrZp98yvGizl/xhZC8NksnL/onMA9cMHgDT
ogL5Hz0w4N4uH2JIGP6BRkjp9l22bHX25Ed67/CkMfp6RH8UoMG6yu1+54NzKoMtendqEC5Znu4p
pBbdF8VzonhvNGW+bHihW19PijTJNI+O8TrkHnS3N3JApEEt2l57RTexyF8gyDB+LGkkDo0Q7Ubc
JD/PeoE8tdR8YNDiZV99vmaMNW8u0UFhnm/xY5uuRqta5fM0kiHuqoUMHhq+4idVm+U0JB5s1/cP
7PqayB2Gw4Dqs4ybCC8ud7ix6roe61QLGP6wCl8fdONLYdGLUyLP/GtUhvTTaHr51/tW1y7wv1ZJ
S5kmkb2U1eWMlsEal15ogdo0WunXJamWj46Kub9v58YHNaEMkEko4czVQJIoGGBI6kQNFmcyu5MF
9fe4HyBTT05JqqvfRn2y/1RvgrXJ3oWkxKRqAS3G5Y4qfYF2tFfpQaEju3BEFJEuvI/kT5I+DSEF
Pp+qXKX8vL/SK1QJZtlPAAdoa7OnxqqsYCxwmRvDZARpt1SfYtUs9ir8TiUss83EP8YAxE2G9kZh
xod2nhjz01t7I3i8cV/pjb9V++Wkzvo0pUanDVkzmJSFnbzdda4dPqox/Szfyu2t0et1zCBXDPra
pQ8IjBZNn8uNRs1obpCtNYIsFIv3pGpKs6+Z3u29rIW6z/Io3XSGU700nrNVY7xxgPEP3BjQHYCz
17xBSV14NX1qMxiFMRR7APipefD6aIvI7MYB5ulmyvCNPB5Ngss1lrnekLwYJlghq/XQO0jjEwq1
oXmexJL+pD3WeA/3T9LNbZWTbXSucfRrOH2bKbTCk5ClTVMkTl1UA8Lsmaox/dAwlJd+8XJtP85m
eM6nZQvBcsMhQmklIckU4ugurPwR80clTYeZ5wVO0N81qK32NJeFnh1h+Z+eZmUqxWM3etMXq4/I
BVIL3p2NR/yGT4QwlISDoiMucZ1vMTlTjwBDtYBhijR7FgpTNr6TC23+0MZ2pkEOXqnPWhuryfH+
3t9cPfU6+BngVmOW6/JzJxEzM9CT6kHdxnr2QQnnYt+pKNsejHycnF2UJIsMgsvK2lv8y3JWJNbO
93/ErTNH8+P//wj98kcoOpRmi1brQaNq/UdQVcXPghLJwS6tDq2Ewni8b+/WdjNiDH8CxA2EjavH
oHHgwotQ4gp0BTQGL3M+wj0n9G9pT6PwUPf5AlmZmUR/2smXDoRHhRCZwj1Q/1Xk34u8d7UxM4K4
arvfMYzJ4WtcqIpyTABjFsdQpO4vXQ5y3V/wrQ3mqSehN4D/ESauNnjqwKvXphFQZ+4OzMt6xxCI
Y+7r9pIcFmvekiS6tcMOZ1mm9W8qBZcG4VGnTdd2ZuBWWveSedP4WjlVyuhKk7mIJpdlDOKe2tWW
FtxNw1A5gDKUlKrr+C1Dlbh02soIlKnSkJdS/zNF7fhBh/NE9eskrJAWFXqcbzz7N82iiwh4gBIY
F/lyvYU5j5oZtUbAPa0/OX0bfR2LkZ5P2Bjjv2FmGZDcQc+7NdFx6/kDCSOTSDwYmNJLuw2ASogc
NAPtFoPeWi1Gaz7mUT0paCnUzv/ipySRHqUa2vn09C/NWX0eTQB+zMAe4jzIamX5xPCmG/qlvtRc
1TY2DlVMJ+r05+eXh485YJykxI9d2l30LK6AappBjfrxSUn7NNqZXjfYfpJ4JbQNOeWc3X2btz4p
7AjEUzzp4Dil53yfCZSmmK22MAM1MT/0daQHfTMYJ1JKS/a3QWUbivh53+atR55slgIU1HXE5yub
CnA0IyYgDkRbptERiFp+DHt0Fza8/q1jQ64KEISkUQ4KXK4NWkB0eEcHWFOjOP+gI6Xnu2UaAYua
Qu3nDWvyV69SDpnigA6j+gAEcHU5ohDZcM3u7IDZ1fBZr4eq2Fdz9dq07Vmp0/yk4RPdJ9h/db8I
w3rD/I0PiR8CXM8DRyV8TXYMhAhJI6eyg07Ms31SxtCOoEI0p6At56V9gOyD2TWzSMSWYPuNhXNm
0T8Giwfn0rpPFKaTYzPCjmXLnCT7r7EPUz3p/b4O/yXQsFM/inSKXNNcIVMxV4mp/rljkpS0FDLB
QJKRrE5UCv19ZRaqE1SMgJ7GQkO3UJlpb8SetcAYO8NYRCd1i5fhxoNDs0pyTxJY0N5ZmdVcen0Q
fDpBMxlqcmgsIxvhwfX+VdJo0P3anoyNr3xrryWAS7p9pArWY3TCWFQ+c+IEgzJFw7DL5zT+qx7S
It6r4xAqR6MUnXLyzKVCe7l19G8tf7LFE3Fr3RSzJVZQYhPX78Cs60IVMCYFaVu0/tJPtq80c9z6
Vhp+QSE53ppI3jK4Cp1QzumVXIR2sNSO1x5UZIjspxCsyd6F0LT0tTRSmsN9L3XDe5C/0yYEYwi2
1luVE1u9m+e8bPi4ZVzX6GZ3sNYNAB12ZtQPG6OfN1wi0FkayqA95XjIylUZ+gxbtRlaQZS1Zuij
NZ2YfumO80ZZ4taiyK+AjUGHCXhk5aSgPob0hTnuANnPZoF2AebDz/FcowmUzIZogz/fQ4ncgE9L
0vevD4qp5kzcLIYVVAIe2qckdp1uF9Y2bc+0Kd0NtrkbGZastDAKwWMGfGq1iY4ZpSpe3grskkmh
XZKAaWpQw/zSFqj8Wd6gfnTdKH2KR7jo7i/0pmmw9gxtUe+5ooyxy5zywGSbwcxLC47dULtHMzPL
9FEHbtQ+6RBsMVAei+Rvhf//h/wMgJ2JU6Bn4KPyBJnr0RcUJsYu63snMGJIqZEdSn+pY2PuROO0
G2jv63cGKBVSHBwfXhqCwctHVUeSYzITTQ9CNWqnnVJ19d9w0djimOeGNRxcNWFSWm1KerH39/ja
CeiUfthhxvB4Z9efV9GXOfbszApU6CdOUMJFxR5qMVP/KsUhHqYo19R/7pu8vi6YhI2I7ZV8JevC
pWYUTTRZIwjdphheIsVMil1DCrtTlSTe6i1f+wDw10ixQ/gKpuQqLFK9haH4PLEDfayS/2iO0Lpj
lHvNFr3SrX2E5ALuE4lWI8a9/IKz3mt2BIl7YLlLWx6zzEmWfSocxTrZRuXsMzuctyhQbpwawC7U
QgFw8n6tq9vu4NidlbVeQL/VaI5dU9GSSpvUljidLnyu3dH9h6nfZqtSef1gkv9SbSERlmIya44r
NlHQ0QUxGlaV5e1gMo+OCb3N5Oh2kfG76NxlLyZtSXaKGg/mHu7VbKvZemPD3/+GdWOq0TvosKMo
OZeWmn2Muj5JD1mNnureHWAwN8XSh3/sCmXaD7Jdlt1Rnlh9Y3dy+2GEe+zMk7PEz4gCjcauSbzM
8G1EymHiS+vWT0XR/wjTfthw+9feUFqHaMOEzIHSg9yQd0lFIkiZK2obZz20tG+CCkC4I5Kwv7W9
CeJmLtNPRKcVJPyFsREJ3rix3FaCI2r/ZFH2yj0ZTWfnuWkrwUwd5tlUmLYuMkf52oMGOt13Drc+
q5TIIkJg2v+KMiZn7HIp5yw6w83S+rCeRJ+8NBT7Ycm/6rNnfbtv7sYVsmU/QZJyMEG71pgGBaOi
OpUpQV7GyLbC9zOLQ8HmJwcTQfQ58lsBEi1yZnujk3vDMcmZdcxCpUhavIq+uiGCo9EO4zNldmEf
s3GKnFPvJNb/sKHUfiGoJAGmriJ/x7tjMxp1WjWxlZw15G9PPDIznJQMauXuMnanxFKosN/f01uf
kCeFThi9VUl3c2mxLcbES2cjOfeMLE7HBHhAefJEa8UPzBA47WMBN/Dn+zZvfUdaQ8TudHPJWFaX
o8hC+OhNcMJ6D1nDtKjzrlCQu7Cq3vtsD1Z76MxiS2z41rWg9EtZjN2lK78yqiwMl+iNG51jZmBn
P8UbPuqJUXzuWgYW7y/wpi303UnxgddRZr/c1JTCnAKmCMx8PjWf1EytdyFMMt6+Gia13Dgzt84m
YRdfj4kPMPOr0lDpwJboQCh0zvS++K1qWRWd+jxpyv2fLwqMCDE6u8fsgXR5785mFy9tZ2SFF+SJ
Mx7RA3PCndH3kfFoiaVzvv25NY4GnQKkbQmbV+fSsCBN0BTVC0Z3UqHq7KQ0r9mrZXLoUiP++761
W3tIHkt7naUBB5F//25tc1g7cU6kEVg09z/AygQACEhUmx3u27n1LPAQv8GtcJtr0g05vOVmQx4G
ND2s4sGLnOSVPon7umiAWCFAc8sRHBREg7+j2VPbDfO3QgEKI2SslGsheV9tqqqOLmMxjRJki+cW
vmIgZMd4ffVcdSNj6bPXHNni5ITYSdYdirIrv99f/62bL6n2OKeSdeSqXBDFWR2mePB4qMPXkKm2
14yc5aW0lpy2A0JyXVsYG7fxRgMTQDkgSSglGPSAWOjy65qlhg5rmHiBFok2e62qNvQ7ZD2NEzIu
JmqCZVhErg+5mq4/0y4rPoQWitHnEhKIf+5vgCZv42WNjOoYmGLyB9JBin+XvyWi4jrWXhUGRY54
it+y3Q+MzNchdAxa/6SOXnSKtKxHcFVYJwVEcLEjLdUOIU0zscudJts3Vrk1dXPrGUCqiduGxhvI
rJUTiTrdWmgBhgxUVYW5n7u8mR7rTE0Y8BbR8KAgD/t4fytumuSKIyTNSaAjeLkTsPMOkV6ZTjD3
C7RqitH0r/y8yT0Y5mwQmsWF9eO+yTevsdp9QDtvwDvAq+RSlzZrKDLKYhpsyui1qwWx6iFjzMlQ
tCOl5bbzmbDQDb9KlaLdxUmXWQdr0afuYEcdnbpsmcPPoafC05tVcfnoNeFcng1lQNbl/i+94Sj4
eXK8jVyeWGD1WiVO5YWGFYU0cuq08T1RDN5OkE8H/agrKUqLulUcLCN3rU9W3Rnzn9lnIpP6uwwh
+S4Q0K4vKkw2HbgC6A1FFjdfzdRuVD9TVO2h8YChHvOG1PchdCR7MYMb9nK8v3zpiN59J2meJji8
t3AtwgCzRjUjGOVGhFrhK+xMFfpw+hBOu1HKbdDGRQXlvrXVZmMNTyT74BIeKJuTl6ei0RwpkFPp
r3WVlDsx5PHBMePi6Clp8mC5WfXocVn3jDK1G0nK2jVJ07JmQURiYBqKnUvT9iC6aIgX/dXuo/S5
nZuEckls7/rUMxwffEWxr+tef+0b1Xiwhdv7SEJ0W8WT1VXkV8hyEf+hg8SQ0doplbGamkM6mi8h
qhcfuwEeiTAhDAuzSux0lLy2xq1X7wDDm9RNJQAURAmHe+1uRo+ctxI9j1+RLf80bfpzktK62Uya
VOS9uUuX1H24/5WvzhRgB+bz6RkCPmVuZOXikt5VIoDV6etUKclzNMz2X95g/0o8r9goZV5tp4RV
yIUx0cTWrrs7wghNtZ3U7HXJqhR1ZC2sm71RTsKGfSYafjGp2W+Bim+tzpDDHASd8m2Rf/8ughnq
sWtpwGSvedqXj0s0KOjyTCC/0FSLvv35TsphLcbFGTkAq3dpa4zdrotTO3udQ7ig3EjTfhugJ/4y
ymTciphurYsZHBh4qZ3w7VZ3s8J6EZlaxt2soQRqLVorrjo8gutMN5K8W5+NEBoiObyPhCBeLsuM
R1xyWOQ4nVoe+0F9TaY0PVkpCiiHNNL6LdHl62uAt8HjYJOinrbW9jWMlACw46MlVE9/WEnq/nBD
twsRsEt7bn+1wDkA4GmLgura7XBCuYKg8KlKA4eRW/HutAg1p1TpOnxBb4x/l1ZmHsa8AyuMxF1/
rIVwftmKpyW7IjWXX7QA5h86stSH++doFY7iBfgVIGFomlGoAd51+SuG3LJGsSRs+KDOn1R23oqb
v7NoHtXH1q1an4xmMfao0kQ72Eu3WJivvjdQNqrlshiHpvlVe2NxGG1280l8NPu8Gp+hPTX7AxCz
tLHgcVXzCI8/WqG78bSuBfZkzku3EIo4rAIQeUM6v9v8vk8aswU18dHJksa1/bJRsq+G0cBatGva
eqxGYp8YEZWe2t0XTYqnPVehxayErRS2thOhm/6N+mPV++NYTZ7lA4Z0piensHLx4oSJbvqUMYa/
7n+tdejK737LWxh/BVkCeGlVWJqcGu7msRk+JMh67ishBrQM4rHyCYUMd1d1iBk6nRI+x56mfE2y
yjv9H2lntts2Eq3rJyLAebilJMt2HMvOqOSGSDppzlNx5tOfr7wPsCOKEJHeN8lFGl0iWbVqDf+Q
eHrV7gZcTNSdapbRpzZow41d9EYrvkgW2MTQKcAroLIgWdyX22i2Wi8olb5/7uOpw0yzyLJol7WK
fQqruG0P+LaIz6iLRc3kuyNenG1lmw05rnCTnRZX1fiaWhAnd2qse8lJGxNF24iYVztdNgMhmoB9
AjgOw/XyJ8ZlZ5Zqm6TP6jRW7i4ydBQoOyt5zhvcnfdlMjTmnRd0Lh7rbiCao42K1xaG5Cra2OQ4
+DqiRwGQnmr38ke4VjmgHiDaZztHPb+D1/jTSmq1ObheQY+yTPt9YTrz19vb5vrR6Wchz8n8C1TA
lcVCa3VC9IrdPoOE6u7GOugf7CkZbb9FWd+J9V1p5clemSr3tbKdfiOmr6zO5AI+C8hVkpslq7IM
7GHsVK97Dj0VLdl2ULs7y7EG/UinSw1/QB9vX6jXKiZWfTZKOSvEbjf6XVeB5g3QCWZVYgScq9FY
GdIb5wZon3XFDu5cJSKh19zpl9towa7WFfHt9itfWU9aToEHQKYH+NniQAiH/itNqeTUUGGH/jgB
cdt5RVq9aHlW/rbR6kmPt5e8Dg7c0AykOINkkDzlIv+Y3KRE4r0rTiFprutPZTCFik9SqRgIr3UB
Hte2EQmOXZWb6iEfFbu7I/UVVel3AK2+WDpcyScj7YwYp1OzjtRxI1DIn3AZJ+D/kEpIXXW0X67S
snKIPL0e4pPeTHn+PDZTCKBJdMGXFCWxLbD29c5DT4i3zMXC/qMLuDhtGgKO41BXJ88pJuyflSHi
T8bbUKs+1q37DdVhw0ePwX6c6ljdUg14M4ZfPC0THyo3jh00s+WsUCS5SKCERqcS49VT2o+GsYMJ
XsYvox3UwBFHc+q+REAsir3TpUn1HPWpmfk1wf1bI9IpQF/Ocr8Q0ES46+bAC/Etoxy7y9ScCqSZ
JguwrlsxwarGBK9byyn18eimeskUwCrIQmeG/X6jlob5XLDP3yN7mbzmHtRxv4vj4hXOqO4da2vo
xN4Z43ncNzXaAoegNLI8ZDTfYGUJV5l5dhMoH5My1pPXKHTanwGmFPMn20jADoehx86ZEX0gjtSp
/ilTnOALDlee8WjP45QcnMwJst+gRZrqXUo/3fhcxCpsLM/IhLG3IjMM9nCJ+voxb81sYCAoCx8g
CHV1By3bGh9B+AjzXQ3f4NtoNFW8s0Znbh4U7HmNhz5JJnFiC4FEHPuZPt5QehmgGyVsHCicahUp
d7fP28ruolxFWpJZN2DPq7RYxYYyKpL4ZLXt8DiJcvykY6v3FNBe5PSZTf1bSWtrQl1Ui3O2WbbV
oL3+BfBYQL5QwvELgM5d7m+a2h2nmywG8dDug1Cy6FMU5e1eOCrczibDDy1WVPPZjKvgDqjsFuDp
en1OMVAHpAfYRd6SaJ0JZ0aRXA/o1QFEvEtKD1SZh5JVttPdVPKUPDHb5jlxu/p9h0pStvcYdaYb
N/uypYSMCwUXMZbfIckCy9FmZtnTXHp6fIqLeXZ8zEJj9aMrjOZpGPrG9TU9z5+4l51zgSfrI8oZ
2RnObeh+mLn87a9ZUlXJJy1gzvLNylA4f5dkjWJtWUpc3wkuxZqUXybrZC64CEdNjVgKign1ScPu
6HHSE+imUc7V5CtRT6Tm2ir/ub1Hl5Q9+WqYRDIpoNMMrWu5ZpxjFuR5fXHqm1kbDoo6FJ9itynE
oewlrTaLLNy+/VRr4uTzHHlGvtMLZXg/aEmNE6VihKn17fZvervwL8KiTBN5B3SDJW1+2eux5gJl
hSHXXkQpMu+5CqKufZko4vWnUE2aYd83QCz8rDC96HWyRkt576TVhM+TWvaRr4skyj6hglcOO7Xt
MQHRa6VND72YivQLThRDdWzzafA+jVU3hYcSxfNngTbT+AEZ0ny8qwIjVDeSnDdRxcVD0c1Hvo17
jT+WF75Rd6nbFabxgmf5/KBO4fyP25WF8dHRg/BotLWXfI3rmnPpRUPsPXrIAmQPZtu1Xw27LrN9
hLvgk21mpvlVZFH95Ay0K464xHXKk1akff7Zs+J4+pA7dB93onDyr1mgx/1Gi2bJjJZwLHgRHCha
Q1zQS5ZCZA9F4uRZd1IbJOdgcBolSq5qWYYf+qFxYj+fFS+6z2NrwDc962q/BRT3cQ7N0DikTBb4
r0e7rTZKtqtY81af061nfAAqejmWjaOk74q8H09FXjraPZJ14fMc1+VjANdhlxZZ/g1Abwz71enH
T/Pgxhupy9Xp5QewNpBo2rLXQaYPklIfHG88mR0+iT62KOav3BaxtRs0UARqGw0bj3zdImAYJptl
AOVAT6DKcxnfjYghsIlL0UmFrf5THfrHaQ6TO2kS4ieU5Z4/uil6Z5oTlC8Nhe57WidbwNrrWln+
Cob+slXIzMgzL3/FOOq10VKUnKBEIXbb1bXZ7pVi1B8VyELhrlcKbXxQezSiS8SginfG6Cbx7Pd1
boxS3wMm4KjMRvLestve3CtDAwFb8zJa6IPVwN6yJm3LgfU68PGr6aNCUKViJgAukmENFgbgk4lW
alPh3Znp/U/uj3w+lJ0+Pwft/I/Dj0wBrArnoDQKalzJULwqpa38JUCXEwUeGOEhsm6QasijXr5A
E7ZwV6XyBVamcxcl7i8T0YpPKq6+z2nWVN7f9tJZ703iGwIKrMplT2eOJcWqdacT4Vwgs9/ML1Xj
mkc31sOPUTdb/jx6nA+nE9b5dmy/qm8lol5yTsEF01V729F/9FVo2Qva2L19mpu+/dIHaRMj+h1q
ziFglPxiNNm/MbzJL7dXvT6aVFr0eRkdsDrkrssXjKPm6FWN5QCszPPeBxWX3vWOPX/L2yZ539Xx
v7fXu6piaB+Q0UsWnZTIX+JXG6cXzaBE1mmewWjktT5+6lrR7aRR/EYMuA57l0stHm22U6G4ZWKd
7CLH6M6NBCYsKiiNfVRHwx3KfPEx9fLsMBpjcoKgv8XDvE6u8IOlTUjfHtwcCcyiZRGWSEonDNxO
I8qG6YOZV1VzLwIxp37n1eIe2WUQMXbi5v94nVZ9a2GmJMesrc3nnsHRT2Puk9caf6huhxlqfFek
0bQ1PLnedobE1aFkTv2Li4zcIH9sO6XXqpEcVD9VyoC4uTp2e9UWwydkRNAU05U5OwbMV8u/HTLg
KiWl76SQE+245QjF9oxRJCToJ1yI1V3gOtWuiUzntaTRek+fIXy4ve/emNMXSQYyAKjEgvXCLp3/
yeI5vSYezQoyyWkirGrHlKzC8IM0szW/UoGgPEatisyzq9rjg9YNwGHbsPEULmR4GbseVr2yS2Ir
6I9YN2sniqhxeDLmTsFgajLV35Ueu9PRaYv2vtPUKQDHVdapX7ujU+a7QFeTfakbmXcAyTNYx67V
8MTS47SHQRmbburreTFJYokzh/tGV6z01eos8wjPv0MMSlWGj/QDRfEdVKn+xTRmhcAgeUF+H1fD
Q9T2U/AogIGdc/RWXuOu6YKngSq59AXm3chJF0Nr/b79Vq9PM1oAAKHoDjJ3AFZzuXmspim7UmjO
qWVcFu2D3AqUQwEHnKFn1wVbXKc3HePlR2TUQBeEJrT0PbpcD7SOAoxftU5ah9PqzihNkr+UyYQv
VEs9OrXTzEdtirvcp/rvy4PRE60fgKUp91Hs6O33oczJQJJyhnQgR7/7DriM5sceBnLIcqQaXb0m
J227/aLWfjm5rQRNYJfGvbJ4U3kFiScc0vYUhGDvnDrXo70+N+bJoWFqfQrNTtkBzVb0f/O0Sw8p
0yv3RavbovbtAjXsQwz24ygqegUAXbuyT30VUEP3Q/HKctfobpF95I2H89Z0+TqKSoY1josId2DD
u1RED9O4s2u8Nk4cCSTA4jLy1cIxHpuyrHzhKd6+GOvvXo+CPlfIX09aKUrZXA5YZ4h1V9EJOyS3
SIeuPU1cnK+aF0TfS8CpiCvH5nGeOvFFNH2/RWKX22ixzcAZgSAAqUkOtLyKlTZTZlR/y1MzYoSx
R4It2DuVa9xXYxPsR1c07QPhMb/PwxLPsdtb5fpGpoJgIsDdSL/ZXS5emqUVu1YmTjkk93u1hm61
U92AtJUu5LkI1fTH7QVXbgDYr9xRFrqgAGEXWxNppdLOp6Q/lTWIqv0YlCNM7i4PkfqPhl3UVyGV
Qp5+vr3sykum7SEphDh+QHqTP+uPi6dN63l2o244udRJ2ZkfgJGm4+DHtx/Cpmp+Cdou1vtitory
oxNM7UbsWl0fFo3OAzLfWGa5MFILsrCyO7l4PKTgQLBB7owJUOzkiSBjx9mwrpUJoYxjqVjq1uBn
7bVLhApfmEkmt+/l8xsDnpSZlvanBN+TGnBgErt3ptsHr0aB7B7anwrN71GJN/oaK/tL5pg0EQhG
kAgWn5s5l9dXk8dzz4Ck9CGGZhhhevJTD2Ki6RB4WynGSvCDzQOiQI5MuYaXqiaFnRo1u3c4ja4T
j4/FaBT/EuMzY586dtq8Q4c//ZXKCeJRy7zgn0E4vbIX9dgHO13pbfOdMeipclQKoeBeGtppRXvM
sXMfydMOvKjpJgiR97F9uL1H37KCy0ggeUj0gWiEU78u23SDnuhlORXzKdHi4VWHgWjsK/S+GOUb
QfU0hmnyEoV0p3cz6s7RQbHJb/dz37fiXRNFccksFIE2v8RVBeQblqO1P3mMhHeoTVXefQWLoPHp
zlbGu0Ir9fRcdXY67MpsdP5V51b7Cuud8xfThvaORjkgEjrMIR7Otx/0elNAXEG1Q3o3SsjSos4a
M0erDEdB1cBQk3vBpfQ5pPh8n8MD3XMq+o107HrqSReLwyel+yXj1F4Mz1sNS2xPFf1Jc+s0m/2u
GBMmwXbd9L7hdnn3QBg0UzzH3Nn8HnXx8I6zFHkHC9XbZK8XFq6jVlxLKrvWxa+aPds///adSLcn
4iG9P9kmXRxQJUdZf2zM+aR7kWb4HUaleFJ58WNPeXyHUjJGe7dXvA4JrCj1lSh0gXIsG2FirLx5
UIb51Joi8Qcz0x/DUfkUuBUBqlQ79Z+CSHS8vej1p6dPIqVUuF3pRC9pz6Xb565AxvtU6uW0L4rU
9NMRvo2bqffD6IhPt5e7Thkvl1uEH1xi8OkLBvXUT+ixw35pvyOWfM6TSd+4YK4zFwlSpe1CXUtR
v0xOU9cctUxU6qnKp+bO6YfAuaP1ZGU/m0baq6R6MzLUMky0Gss5ddNdPKaj95eMTaoc+ghIH0kx
Amw6lxV2F+eeM0WBdXK0Scw+o3odGGCoHhoc0DaO1cq3lJk4oR1kHiFXvvw/7lQzcuuyQFHi1PTZ
fARRMaHEaGX45YrGfqDmybW7259zbUUuUAdcABuIIuByxSgQJj7Go3bSaqX4kDhpdPRGc8x2Yd6F
+3lotrKVlf0jO1NS/wwEEECAywVF2GgNaC39VPTzOB/M3OrdFzUzPfxydD0wN+pUGfguLwDSQMk+
k/orgG8XbxTLNd3rhaedypgAkysIrxxxMxT6RhP8OhuRYEKGGyQissJZoFOUqJrBDKX6aWjLbqc1
JnOgzBrucqybd1RV6gOaRMke/1PayH/9CTkhFFTShgj97cUn7EPDGGs6s6c0q1O4tXHwYAQAT7C2
7/YoDG2iRuWzLN8pvAj4riQxbNbFJ4xreou4COp4IBfmboyS8ViikvFUZGH0pAWJt/NwEX7Fe0R/
j0y+t4tFNx1Q5dq0T1gJuFJZhyYN2BboJzKE/HFeKLLrwsBe7sSVnH2chZb+Ksj+703C7uAXWm7O
e03RXWXjnK5tYprT6C/KtttVm7EbqimWCm8nhr7G0RvcPvYVGYFsI3A2rrHVtSwIEwgs06Zd1sz0
n8wU5qR6ssq6/14niviI7yB46F6zwo0LbHUtCaOg1gWatux3l8gmRPrIc1VGPv7qgxBLW2ra3vxR
di6G8Lc37trXk/KdWNipktq22EdaYnqzoJF6QrHGu0epHim3pGjuvEadvzHrh6ko5vjz7UXXHhGA
CHCgty28bFyVldl1nZi1U4yK+ysmEepjrteYETJ3YYD6HxaTQwwUBeiXLvdn27jVFDDnOJXpnFTv
VLQgD4aroPQbK5m18TpXQjmdGeBx+P0As7oqPAe3G4Y0IZTbVuLtU7SYVAptT/9e14Oy71AE/0uh
KXk3WuSbhADSDz7hIvTMUR6ZpZIZJ0dx6z20AaOAT+wme6kH4WvCcO7Y0toGbH3lE4Iio3PFBclk
YTkPmxzRDd1sEn/iSv/GtZ1pP+ilNPdccqb5t+gpcEXY/DEBAicL0kH+mD9CjEt14M2TTX81FtnD
UPS/qwa+RZvRIGd/psaWw8/KqWBBKcXPkSCBXZwKxy2qMaandbKNSu3+6aUm3D09SKs7sqcDut86
9qH7FpX5eUO0c21pcg8Hj13w/bzZy2eNMytBBCMxToqjVC+At/L06BhT7h7BrKXfqZAGeK/58F/y
Hhv5GvQSaZrQcF+8ZDtM2yIihp9mxU73onHy7qDFc/B+Dt36pHZZKTYaemt7SBquSX1ZKTKyeNQQ
eyXVaAz9RNtYeYmx4HH2ddkn6V1qz3m68WJXRnK2I4+kBGsA1FjOwUatgswFf/hlFlSDbuTl9t7J
W9oGhTI/kqDFd72WFv7Q5u2jYjhh/BxVSvhIP0X7cDsmXWPlcKwi8aKOlzQEuAiXX9k1sjCFr5y9
xKHNty771jD9uBjjD6WYx3fcKu1Dk0wVMvf2AG/cGpGtq0bxC9gkPWtsYModtPctffbrDIoeM40N
qZ/EmVtOljQBFs6xWvESQAVJ/TioSCvAaj0BAKIfrA/KxxRolR9P+Lhv3HtvsfEypWHzUc1Kxg+n
bulyA4gthW9ltmz66jeazQDwI8t6QnnGOUZamn8oRNEfWj02fbsLxeNgJf1GoLk+fK4OtZyRk+R6
X0kC0xrHWrhwxxcSmqTbjTEQuJH2yCtqEYnnuzrMxKZW9S3blutrg/1IcxY0ExMuyAeX26FAhrBP
vGp4mQKj/z27XvsAJahRPoPe5wq2zNAJ//qmAmBK94qkHFOFq46lOeV4F7WRe8pD7RiJVNf9pk1K
CGW5+yGf6+DH7S1/fdhlGYmDGPJ13AFvp/OPGB7N8dAituzgMNCWv/u+t+iP2sHXAa/vj7eXuj5d
WP2C7yF/kpatbOXL12nmIZdtkYpnDK/mh84ci4euLp304A158GhmwXDqo049RG1qiF2N/uRny2ij
EulyLT5HxlT+E6da2W7s8Ks6CMIF0FODoS0QF3Brlz9LF0HdgngRz3mn178h945QnZhllPe3n/9q
N0nPJupI9E2ksv2SYtx6cWFqQTc9Q+pwh6NZRJwYs6VEt5qw+B3Otn33f1tx8cKDxG7NCSnX5w6i
RrNTXDO7D8K2eYqBwxzjWD/eXm+5maR3BBMg8AVgytnFi7uqthsFTlOcv68KM33gWjbel0Zw0qL0
r5mBb0shA4x0Cn/Qxrz8aFmdT0VY5fn72AmYcZn4DoPwy8ozGFqsxN3W/qGh6DbtUg0plduPuQxH
cm1GJ9DfaXAD9dQu1+4aa9SHzs3ejyMzqTirbViAueuHNpNutKpc43eBIvS326suto/kmgJmlMmy
HPESjS5XHecpdRslC8/T2FjvUV3s9rZwi52ZoB3DaZu2iGvysvsj8P/PgmAauESYoQNRvFzQabRW
1Uc1+NphG5H/NIuqP4OuC+7rqVa99wnecfkHrAct+0VL9MHb1XO4JW2weNVvv0HOEcgvpYzJVXud
4VkfzLPyFUXtINrXhadS+tQA0n8NtE8rIF52HQAVCkV1uP2+lxff/6zNi+bAMlZnZnb5/Bpzbb1H
+v6cjH1/cLsw2VVqYN2VUaB4946VOv/WZIvPjVmIo1q0UXKYbaFs/IzVN/DHr1hs9L5phqZvsEGc
jLIZ7jOjGkHTxsYsXu04Hn8Ps5mg0pEIc8vQUj7f8vszOeNsyWndFQsrC3LMtVJD+QrBDPvwajKN
V7jWCVse39+N0LFIcd5eNjA+tje8CFhY8jX8cQ9ZsaXWIhyiM8BloX5Q9UJX/FHDc3ZPyhO+M5vW
TX+TJA/Hoiqarci1drhQbwUUKG0jCNCXyzuzVZFI1+E5EDgielWenOaiqL+lHpwA0rrC3kiy1w4X
NBCuHaaTJif7ckFDmbxwKJ0Q04zBHfYz04QDCLrE2LfEUAbApuKM+z5xp2TXlhC8drSvlXoj+V77
xJgLMSSUiCXuvstfMddVp5VzFZ4ddE/vB8ML9sbUWPvaBiR++zitLyUBUhT11FHy3//4wIqVsf5s
hWdtHNIvQpeCOboH20hre2erUFxbjMuWZB4yHx3ORYQ2NGKk3eKyi5nn+J7OppndVVldYfGuxZb+
d0X3297FvR0IN8kD9dLiLZI8DHPj1sHXqBYasJrUiKa7QWnC+QD1d3Dubr/Jtb0KKp4C/42wttRI
05t2DEsptmTVKFwOjp7u06pyX6ZoCP0wmLakf9depqyGpPsHwoVLdiHdvDDr1Ur5apIY+pXnoKGX
9WHxyTOjbMtNZuVcuJT4npQ34PGWkylTIN+p4Jb4FahKtOM550cNcNtDN1f3zdR7nwojdu6MVBlS
3y3xG984lysPS25KIJIFF38tvmXFyA3EVhOeW21K7ptuat91EdgPeE/kFbc/5LL0lRuHxWi+M88A
Nri0m7JoAlHUdgo3bCmKZydUnF90TYt477p9fciHRMS7OVVpoXbzrJa72pWgvgIwUL+vm+qvPevk
DwKVChlOzunAp1we0iAc8zHLNLZWpQ1HmBw0rfIIudZqbLtHjXewhUdZ+958a/qpEA6cq/edp7Ei
msjKz6be/xs6+Zzv6ep6xq4h9t07sxKfAihChyAw3HthbC2/9rml+p5s1tGDeCtZ/ohKoZ6bWhYH
+DJZifE9cwfktKPZ/FEQ+H/d/tqrS9HORQlAlTKY8t//WMp2wq4xPJGcuzhSgp2KlE/ho9Y6VP6o
ZvVGHblyn1JjMPTWuLwZnC0uNFMfk7GFEnHO5s4QH8rKytUXO7Gr4TONY8fbzV7f5/8EmtYchUXP
5/X2064EKZd7nAtV9nYZhV8+bQXQOggzNzlXoTmBwkDq+F+KW/OTYzRWf5fbY7QFqF59wRI5J4cv
dM0X+SpCeHzgVEnOZmFP484eLScjY2NceAqSUft++wHXVpNdOZu+sgTAL1YL2lEYY1yn2IeNQc4s
oA5n55Tnbq7/jIfB/Ps7BvUfanUVwJiUf7l8n1mXA1hSneRcmniW+QNRsti3TTnf104ZbcFa1h/u
f1eTX/ePvRro8La1ME7ORosMyOtUzyJ4B0Tb+uW20ZbWwtpioLSk7xzqDqQHl4tZAO7NXsFguKjS
oP0wJlni7uYOh9pXHQK5tRF1106GhC1DPSbmXIHQ6CyWyiSm+KwrRp/7VkXhpBfApfzcoOt3DAfX
Kw0wq33zC43gof0PJ4NZJFtGgv6Qxr183AqYQBlWTnpuGuH8aJzJOWrJkB5KpTFeY9CwW9fM6vtF
7VIK+2EasFTPaE27i3VA2udBE+q891K0Cnw9ivphl6v15sx1dTmGCWiegL/nCr18vr6K+rZCnvps
RwbM2kZoc7prVCffte4gNsyH5Mta1CiMOmSrAUYvXaxFojcFbVO0WZKdvW5w63fqFM/GuwEqyUb2
uhLOPJhpjFKlsvgV0sFwvLAXtZGfg3y0szstNq1k9ONBTHdWrczzY+lk5pbCyuqi6MOi/qgj6rBM
vAYjcupeulF2Y1CggjYCEvKVbhyafVumhn2noZG75Te58vmwc2WkihoaU4BlYRKiZ2jptZqeFUtE
qNRodFxNQc0dVDGE3AKuz+1AuvqU3FVvWktkH4ubatLFGM5NmZ6tehq+ecV4P4W6Ue2qWstbeupD
u1XsybtnuWmYz9FN4YuCDFrcTRro92RCEOc852XxwZyJtvSUZ7vbWTVR9j0jemD0qto5+d/fyogM
I8yKZjtX43KIPMOAc7FXyM700vP6zqoQrnHSJjfeZzNW8rto1I2488MqUN2dUPLe/XL7Za99XQAR
snzwpEq//Pc/AjvacT3yKXZ+1vO0/OX2nvLe7g072EGIH49/vxZSRBQMMgMBknm5lqeg3hsHAoPN
sLaeYq0oPlMaBYGfqO2P20uthQEpocFskPEK6eTlUorZkoqgf38uglAb9/nUOuEBDtmWucDa6wNR
BnSL5Ngg5FyuUwpbH8zWKc5h5Fo/GZa7OEt2BTIhBYa4t59pdS0JS6cnQt/PXNwTiG3ZuHN7+dlt
rOwetZ/yBXtnx/HZYVtsvtW1iJ6AwpnwXNXLYYf0HjTV7FyneGA9pOnQHNuCEHHE8ar4dPvB1o6f
Tp5GLuyxDZetW7QHIq+0sChN+8TG+0O1fBeayikdEDnxu3H8LUxjfLi96OoTgoMB5Em+jw7X5ZeD
/jCXXcbGF2ljPmVt1v2aLNFPe6sFAL2/vdhaSKM5jDCW1PfBIftysVyixDSVnZ9kReYcRWHkkx9r
AsiIOushHuAFHP2724uuPSFFOoMyFGclD+VyUQ/pZSU2sWF1VVHG/uiBpy2NyX1Xhc4WnmJ1Lckf
R8SCnoC5WIv2n60Hc5CfPWtg7m3DRTuU1oCtlGZEWxPItbf5pjrIowGtXR7u2HRi185s5BzpvOd3
CB1lOdhjIQ5aLiL3kZr4Lwd/sjCHFg9a9f8vudgtLojuCk+24pw3qKE8xZnRf8eyStQ7t1a7D0PN
lOr211t9SKk7RVBmPLREqCR12zdD1pZnW8WXC6b7+BwosZb4PabuD5OWFB//w4IUSgQxKdJkLqZe
1tzMlebl5Tlyovw48Dl9247VXZeL5h3X07wRzlYf8I/1FltmsMI8M8OiPA811x5PyEek9Wj+Jvcu
fmRa5W70NuUhW97ytO3pNgLFAVK5iNVTw3YJG1GeHTUX+V7Yow4Rr3TrjdRw7SyQIUjtcWR9+Pvy
3FVj53UhDRxMh7v6W6YZyn0T5uVrO3l/B9h825US7ksCgc0O993lSnMraTVFX54xBkz0QwYw5Eed
RZsp4NqnknqFUtoPw6+rsXdYJElM/Dgnjghf87IOPiZz091D6/tQ1MLYSIq2llt8qAHYMBjVpDwL
Vzrw9Xnh+WWhKSX9fz2s9rbT/IeSE+oVmAa5+/l2i9SEvNmbO90szoKy1Nw7iWPc2UEu6o+W0NMt
Xbm1nUhPApU2qPLShOXyu0WYiqVhNJRo1FvOS6J0MQJ6dWVtXHErhS2pOcml9CiFkrJYZhj7NGgm
qzh3KOEH71w9UrtjVtn1saJyeWotzCx2IohKFeZRtaXlvPYV/1x9ceepTiPTFZfUaDbU17BMw+Yu
z7XS81PkEdS9V+HBdDuErb1X+UIlulUOBxchrBA2gkeJVpzHLk+Go65oQ31X9OoWVHF9HSo/yIKo
oy4HgXWb09CnVDgjRqtU/3ixNlQvHu2fv5SCeTvgUgkGAWQpxLp0t02ccSrnuOMk1HGuHKNcPJoj
sk5Z4TxHZRkU/+HSYfPLVJYyiBHr5cYU1RwoVIHl2RyDvvazISj3U5jN96JuO3sXWd4Wtmx1j4K2
gLgASJFx3eWKRW2kVd0o5VlRBvHolnOzKwCG/TszFjxyWptXDMOyh1Hn5ru9WdayTuuPlRdHXrTF
YAxZWp3nJnEPyjhM95nS5H7aFNFxxrDyq1cFyv4/LArmVOLs6W0v4wwiPlUYZU15RnMN3SNFBK5f
DTCiE1KZvUoY73buYG5dSasb1sFeHIMVoDbWosCt0qFiUh4ScFxmJ0elSx33IEF2G1ff6jv9Y53F
1/RmlY5EYpO0DPUBKm38DwaCmlS5Yih/iJEqf5+Gbft0+6WuXbiok3M/2aSfYAYv91CMOhqQQVk/
zLkyHhO07dS72hgr4wl1VmvaCKuryxnIcsrOPSXLInGhami6UXjpGc0VXfmJmVWXvlc7q7J7X06L
k2+3H2/t46EgpjJ/gQICLuvy8Vpz5O6N2gKWkqBRp2kZCWEtPHvLIXYtYjMfkBQwmq4oEl4uZGu1
VWJhnZ2dtIx/tqUezvclnMXiroKVBQ/QMrr728+2uqSs/Gj2MvU2F88265OhTl6bn3HmyqOTZwGm
/7cvtbZ5DFv8JHYZqm1iI79Y4s7ewipPCBYDVu61jygz9NpRY0fBEnAOrR/NDEz4jmwq135rZl/O
+9zMMv3Y9cirnrIh0xzUR0VrWGjumUPU+U4JWewo6iaKnyaSvc+338raDqMuBe0tDYlpgl9+iKa1
w65GbPhsVuH8sYBE2ftTkk0PYe55H2+vtXZkmQuBXeIr0C9Z7Gaq37aIDSU7d5A/xV6Nomr4qLdm
EvgqnfidlybfXXfO7Y1113Y14DeOEA94DbBAw6ElC+HQ9qLLvC+wplsl3mnqKLZghmt7TKZASBdL
buuyxVWMolWSasrPDUpbwV6Pg+lfjJZVZISD4rvVaNPx9itdezSpMUNPA0Gmq4a3k5XAlaeYTa3k
7fgatbPIjqJ0i2F3e6G1fSIPj2FLRO4VZoQbzJrTgqq0TTMj8ntNxN29q05dc9dE0+Bu3JirLxKZ
So4qKBVAm5fbMq96TOFtIHVFO47HGGmwd+6MO5sft7Hj7JJoHIP/8ipt0gLZpMHecnESRAqwTNWV
4qwlWKAd5jJgGmKCcf99+02uPhqmXjKhY08ue2tpXqFF3FL82kobM/7pIvxXY8RYh53ejpG9TwDw
bXnoyQxjWZDKlylF/SUNZXH08tQo0wn5tvPo4CJiqUnR+YE9N3tndifowMz/noDbBfd5klYv9FWr
n7efeu3sU4bQjKVYpVJdfFDMlYjuTAzOKm7ysR+0qlZB9m1DqFMVcCu1sWuEOmPH/nJ74bXXDaSZ
BwcBTJhb5F7JhF10QvF/dktFPZCso4Nt961n7xkGN58bEGzzRpKw+qwkXFhOSimeZc6uVpXRO62S
n9vCGZK71IMe+6goVSd+KMkcIbEoWoymfCTt0q0kd31tIoHEshERFu+5ziprkODT82zQEQitJHfe
YUgi0TluVnwb3agx/N4ASbcxDVsLEAwVmPnDPL8mqaj21NiT0tBxT5C4xAc8bcZ3rk3g+wBRJ4m2
WtRrABYQXZC4AD5xbJckrqpB3tlNE/ruYtD+H2dnsiO30bTrKyLAediSxeqB3a251daGkCV9nMnk
PFz9/1BncVQsogjZMLywDWUlMzMyMuIdXo0pftBHlaq73E/RU2w12bcmHeLHVLaaVzUroycupuKT
0s/Gh9s77PqTc39SPeOj0/nngrmMVUoyVdYCaPBNCtv6nGuSFdhdkcbQkNDTdAWYEigCztS+vz3u
9c5m3N8i0lw30CM2Cc0A+iIZLDt+06xB3Km5HqY+B9fovDzpl3WpRXaQj+7gUtcxIc3QGFxJKps4
Ii8TylYIR/LS7jLLHawlv1cpio5fHElrGpfWkmk9TonT5uc5zH7yTGidyFXTSRzRFK9DGj+FBwDe
3jQNrgiYlgW53uit5C2tedksMGV+iTFZkseiBqvsh5M5dXcShvW8EKTC9owu062720uwswn5EWgt
QA+hZHst4U5poDQKGvpWSgaLaHfV/Si13nBF1pq+lWBjgMkmoDU28fyWmCP/Mo+QNueV0h6KCl1n
A6vO5yr7gk4moOH1jP7RYRPq0iFgOsVvy2SbKGLoQinO1PKQNbw9792BVrw9jX3K4tuzV80yuCUl
it/qGF4vwsZZMp5zK2+OcDUHA22vjUZtTKNOawbSnPo+oUiBbjMSFuJgIffOEqgdlPNWbD0B5fLL
2Y0sZ5k9JW9thqacS6VLlu90xMDGc23C9EcVUa6PzF/Xx+LlpcyugYQKYwdSH0qel4PWtGqlMlKT
twgBkjgAfTf96yh59DJV5ZTfgaqIJ1cbl+GunGszO1jD3b3LREgIVhaluRW9VROjV7S6xuRx6KtX
S4vHpyHuIuM8RdSH3LyNUeiOqtRc/JRqre4q0zCaJVQHW/lVCrmrT7d31fUVwvcgI9LWziN/r4H2
j+3b6XIaho5I39LRKF9zeWnotWBN55sF5+j2WHsbC9F3VFMpMhHSNkclboXSKkuavXVwkKZn5GBU
pMmbZnKOij/7I63mGKtJ6TXQMkFzsotbZhXp5nwSIGe7/2FEIY66Knufj1yZ+h3QAv65qU2kudrW
lpQB7lHzF3mKq3+kofsxL7MVHWydvSmtMsnksBwEKiGXC5WHKN8V2D2/8TPG3EcVtkfXnL5Ae4A8
24vxqApiAsOFAyxkc90UJjj4Eg34tySOrfmjU4158h0BqyR18WYUyUtmx0MICVGu+7tB6qJ33WiG
Ryo+exf8n79ic8HL2oAVRFGnb13XyveDnaNIWJA4n7qx0R+N3FADkBX9cPDk2ht2DQ6rwRG4wi1g
I6WJa/QiTt+seCyzUxRF+gP6PPJncFaY0i09+hVPsGWXIxn5vY2EhDuYo1Wg56pnkPQjZvG1mr4l
4OMDwJTkL6qFUdWqb28eQcp3R6OO/rsEARx3k7E68QwvfpzSN4TKcr+eJ+eTk4iZEt6UfLp96Pe2
E9EdzNaKz6e/dLlvq6GsdUNkKUStGCVJjAlE58I6TVMvaiND9VpLA4QrsixP3AjeqycrsW5/vP0r
9iaMKsn6IOFJAm7/8lc0St8vAwy8NztEdcmTp0QRH6oiGS1XGyq8b28Pt3e1IRFN7/o3d317y6hw
0rox5woVFHp+DYb8Ova4LqSoNH4B050eDLc/u/8/3Bo7/gjiUa3PylIUuNyaWtb4eNdZzgexLMAr
eNwmR7fY3iH5XVJaUeNrznM5XNF2ttooVfRmYqaTPxWqHLZoTeKrk9w1qSN9s8J6NPxYakxxvv1h
d2dKiQJAB/fHVemMa3CeoEUB1zfM8SOmS6uDiyTyk10iMnl7rN1FhAYN4XBlJ1wVZucR7G3DWHGt
jB7makZQi152genHp9iarL9uYK90CxnsNmRg5FQ2EV7Skxl5OSl6W3S9nE5xYUbOSVr66CDA731D
knfK6RQmuE82Ad4aO/D2Up++tV2dvEubpliLLlJW1F6nqr16MK29z0jpBWQhCFwAW5uj5xRDEfY1
6fpE/wlTqEU3vktzpfm2Paavy6Qd3h27E/wNaLS5ksnML/enllEMNQGJvJVFNJzzIXaEJ2VVhx4p
akCn27tkdzAay2tXjQtzS2TDtiCqUHqM32JVawofocVqdlU0TTqU8lCruj3a7scEQoVR3OqjtEVr
mi329U1ixW8jLYpnLBzEswJi8wQKJzW8RE7IFf9+RMqPIJtWzXtevZcfU4GdM6c97xs0gEtEfrr/
GU2YfSjrfvSVcYgPPufeBP8YbnszNaYp9RVS0m8VJlmncpl4xqGJ4fM+Tv63UE349V+mt3LhDCDa
Vw3KfoLYjzESy4d+40+AcM/GbGK3V/bm7IbCGP5DqKY9SNWYZHE1v7z8nLUZJrVCY+FtMEtl9oRU
z5/brAudOzJ97eH25PYeOxwBY2XhoySyrRyoSFGNIxWLt1ypZV+l5ncvgNkHZiw7kmtrbYWQt+y4
C5ZA328PvbeOFD8hEsOxJ2/dbBvM8HIZt7Hsbe60f3JpklMX594s0JUJD9VIzr/eHm/vTqLWyYcl
wlBr3YyXZUVrlNIEPcMy61+UVrvyVFRZ6Q9mpd2Tzjr3Ttioi3972L3TT8mLv1Zt3yvONOosMNus
HiBlP6kP00ghymtMSExlKqTi4GzsDsYzY7VqhnS/1YvrrCppIznOQakN7RsMaE6IYQ2931h6P53/
w8zAovISADQDhPhyo+ZyUnapkWORE0GVQGm1+GBLOQ2j1oj/S0LxG38HZAZ0/5bhWExRsQwolr1N
Ul8v9xauQd9NEZfvETUy3G7GNcFVh0g9YjxvNukKZeQEUlVjj/LU2QKfMlJTR0gx9aJukQO1sr8q
ehtjZbE8jYXIDjLhzRb9f6NZ3PCrQBsQ6c1FmKUSOBCjK55NecR1NkKQWXVn/HdCXyhR47VQpx6X
2tT6g31zPTBcN5aQUikbH1LR5VLWcZgnmT4Vz2kYz49RWn3p+cwtlJdQuU+yiSRA5NPftX6ZLXVC
utqAOMC2IMd0OWgBgzQ0yqh8jmx7BvqXa057zhN9IqoboYb339hWB3fV3kSBy6FMhdoGQNzNRIc6
CtWUjftM7FXOWt4697KG6VaE8dr7djZzD+35o0E3p/L3RJGKgdvNE4fkbTNoFA8zJB5RPtez1vpD
sii6H0X98pyC/jhiVet8tT/KV1RdaW9oOh1dDgpeB5tT2dZJCLTEcPxIAd+y6qaHkHMLeTp6f2+P
BgM54KYp9FMZ4nLdzKrWlDAfitbx4xDBlnDW9Y84kQ/uavH1rrO76uBe3B2PbG3VcTZ4JW7GG1NV
kUZhOX5aCevcluzMkneZD4hn8iB0Hwy3XbTf01tv/fWlT4VoszsV4pkdS6rj57aovyVSV/uiM5M7
ysZHnPudJQOtxrzwQiFp25ZTldaAHNnouCUUlXGqIrXzSrX7S6YJG4NGKU3GtagI7nDb4TTqMQ21
cnL8CftyN9Ir09djHBVUpSzOpoSYVwVr/Q4NHtW/fVFcz4+R13sC6Qju3q3mJl6FhRqag+MPqeac
TWXscfCLjlhDR6NsNr4aOWAm+s7xiWNKQL/NPMcmRgO353K9C9e5rPuPFx+QgnXb/PGQzkZFE6XW
OD5CsKvV4qhTsYDcbxtd7ydd67i3x9ub1YoxoiqxttO2yjIw3OpGxzDPbxcrPScLr1mKe+r59ih7
s1rxvQbtI7wHtqPIoSyarohsv1ls8z6DWBe7jVpa9Nu1mcwaLMrfzgsDICD1YNGU1etuizqRrSXs
p07JzstgV8+dOdfPcKDT0+15XR1iMgW8MFCjIVSx5TerFWWK2WkZVlj1otaebHKHTk2Z+uB/jnRp
rvzQVr8vwi23GXohCKNt9p9kCklqVRyF2qhOv+R0Se8Mp5cWr1BU65te9N174n/ia60dx25XGeG7
zmzNX1HR9ngRobyqH+zV7WW3/iLYESC5+MZoum9mL5Yct4FwzM5O3BYPhdaWjxM504n2B5Ly5qI8
zkh8Hzzm9z75n4OuW+3PA5JEVSPQhzkjZtucO6UJT6EEvH9Icez++9Wlcs+LGgmRVbz8ciij4etK
MUPpcZWgQYPtKa7c3VxSDU7LI/WfvYkZXHirBQzNza3UZB9mvaT1Oc4fbQK9mpeCbVKJtFvzDGi+
PlJBvDqSLN76LFuV6umHbOXRBxxH5q4oszPk5ORFRigMphAaLCnqC+citf4SSqSsmwVQDzNDdZEr
dg1Ef6wbmIRw0FVugVmvVdRJx8lHV6M81RFZ2e112zw616EgEkBsIQVbwUubk6LGuhqVzhD6emlF
9pcB7mxxb2Rx1TzoOW1dL8d5RO2xSjfw/RnqESey279gZy15IK1wUfYPjcVNoi0rnRZZaS/5ajga
P8PGTJXTVGjifWgkVXUQhHZWkkIa05QBpwJA2zzo5WiBHdTJZBJZNQFwKRMcdzprRb+n/Tg6aJU1
iziAOF5/Yw4G70ASGIDGkM4ul7PMMzSC7LXfPxaWpxZLdxKj2p8XqDHv2bP9qYuaGCkRER1Mdzvy
KpTy+5SsXUMY9Zs8rQtNjKLAuQQF3g7L3Woq8S1xtPYFzhbsOlwvW8cz1aIJ0ixGM/HvVnZtf6/0
aNp6MBfBQlzOu0mtyAoxCg3kwrYbDwvK+gemJpo/0FY9iK/rn/Vnqv17LEDAeLTTvMB29HIsBNda
igrxEETtoMZ+MyAdgpLwXD/kWqJ2J6fO0vSjbUbjQ5eWkfVEyuBEd7cnvA3y/AjQTGDWCIA8Vbd5
qhZLeZY56RjAcqjuQ0eNPjjpbH9MRet8ABjSnY1CdT7eHnS7pRkJ1jvvt3VzrayZy5l3/JrFEkCJ
4hq85i+42hRzzg5Up86XUmXpvpeEkfjvyu1UxC5HXX/VHyHKzmJNRah5DMYmXbJXZbFy4zQCdjS+
6ibcXo9n9fj59ky3kWIdEwgJugVrl5iH6uWYslQZg9rmc1BK7WL7aA0NwwlrtExx7aQdj/wTdj4s
0BWyvd8+Y7z2L4cbBDXNcnTmAAs2824wuuhLpnNvD7MaC6+f0+QoRbreP0CgaSWgImiSjW2DsaTI
Tm3HyRIoC5HCNZQOtFbddsqDHMmSeT9wHbx0SAMc9Bi2QId1NUnIQFvy6AEnte31Y5nQGGEyj0EX
KdIXuwn73k2KxFJOzVK+V+3agl4GMPB92IZmem70WPkSSii4PAAc7I4MKa+jFpkbkUNBWZ0y6JZC
4Ax6V5VDPAV12kf/QA6OHrNK/tWPlfSJQ2W9Q/Q4/ch1dVRhug4ia8q4dhzRcVkdYi5XfEn7oq2l
egzCqZzOaqJFpwgc8yuIMeWpjOP0w0hv+1kPl/adpJjoe93e4LsTB16L1B2hDG2Jy/HDAdCwYbEM
1LWGT0jMOw3KuQNaFuhbmIsXR0n+Wmt1/gssYfV6e/CdzUebjpYBGTo4963cVYxaZh9OTD6PF8nH
fyZ7bpxJhfM9D91pNLoWH0C5OXja747KI24V61kR75s7YkKjCLkHawziKk78WbfmwMKP4KTKmWgo
enflHTHzyAJsi9JbNzxy3au0tb5eUVcFaEWOjQ4jRWAJSPbPKwUOFFVSIdUZO++LcEr8oZqis5EZ
76Q181Nworv7Dx8c7ABXFu9YHkaXq00rjKiJ9H0gxeHw3UHhKo7lmMo7Lb6PYZzUHzspds63B11T
x8t7kokDql7fIavxzmZQJFi6RensiQu/Me8khDiEizhm+PP2MHvLSlpJGxYZAj7vZlnhpa+60zmi
3O3UEL2sGUE4WZKFN6mJFXlamynvZhyGxUEesHNHrOVEe41nCAZvj7A+51OYJQW72BLiHBZd+H6s
m89lW5QHO3fvsDKOiZYO5VpQhZfLxxNR7tV2mAKBgcrntp7nL2qV2fdSlKvj2bLm/l2kNg5vLyjD
BwF7Z5bc9VDW0KUjVG5XMVywuKRmOwcqiuwuB2gM1CGtmkdtUZQjd/GdqEh1loAAs4GalbW56rU4
t5coaedAaQaVN4jQTrHeqQ88sYEUJcVPVba1/5lT+lnXUvHjrzfS7yI4uuLI0KFAevmVTR7xy6BY
S6AP4RyeySnhk7mJqMPIm+beiZ/KIenlkwWw9UhPZGeFUdYFCEOnanXH2mRWvZZCRswmrmNMaiQX
J7l4edKXOQG9bFNbaFJsp+VOwlotTYbyiG/62zRpc1YJixAxeVVjcrr98L2ehWPeSKyyYw+MVDqG
dIo0mMLPpZospTdKc17FXg1QsPQQOIvkh3JRUnGiAGGqyM6mce3rq/j8N7nMkzrIkrw69epoycPB
1bUTVxAjBqaAczeAzW0Gsazah4mmToHcjPObrYe6Z8l1+pf97TVu04+FN6Rx7sgDN9thMPLOUOJi
DigtpJavLHLh6xocf7gaRVreTUYvH7zedrY/hJDVPJ5mHg/zdZf8kekiMSzSVJ2XwKEshC9jMwwv
S2rJLyWy1u+6TolKF8xUWz9kct59TxoZG5Hbh2DnuNOxRDgEUAYViG0fQYdzL3VGKvMTBthEctYn
n0M8AWuU+4Y8/8uq0fqNiZzkvWCwMMvbXBEpFEDQvoUc5GY1PwutxzV6XoUpH8qoKI7AVzs3Be+1
VaXk92hb5zA8GZI8RFgtsLVovEttffqYoCn8Kmu9fD/Z0+D2TjYfvF721hRhQFJsUIO0ZjchjRtz
qpQiloMUywyvbRz9sRVz7CpCLXygbwgGAjz+INmJeBdqdXRwCe/NGYmd1frqd/F6M3w8WjFAXkUJ
KEJaP4p+sZ7oDMWPuVCUyiPDjquTOa9WG7f30frnbgMKqQaHh2LEdaHXltQ4yppBCUyhjWGCjsOS
9y8NNzVqAKEtdbqnCisJ/3d72L04iqYVtweBgZtyc2gnTS4TVeJgxlKmndCg0T7Zs9x4igSXC3nx
1G8muotaPuUHlJu9PI/WG4eWBiMF+20X15DpdqRjuwQD5avE69ej01IXaBTrc+5kfeqmA9Twfzo0
luIneucAGjP47agNhspf+4+tZ5hGIC0fLKpQINpUn/RS5wANYgnissFOM8OEDOJR7M6yGE/z2HTu
KA/NHfqUzkOfIosSVrrstlp8hNvZe/ABy1tlDtd6NAC2y6CG9H6U2ga/pJSG+vvcm+L7lE2S17ZR
cp/Mk3ayJLMCddI3VNGXZK4enY4yijJGnMjb22PnNIDa46ENqADBxS3mNOYGTO1RZY1QBrs3qMz5
RJtlPKEAKV7UTIYjX5ZxfXAId3YlEBSi3G8M3zVEOzarku76HMyO1MpQiqt58DIqO5FfmXZpoOnd
4mdoh5M4pbpC1fBg3jtRnRokPR6a0Yj8bF/7mkTlrkcSMYhnWT+LcKndxoY/aheW8ve56mpcQrsb
eTT8IDcnUK+mZqD1xx2Gt28wtynEM06kcEcC3rPa4mTqtnOaFQg8aFp9d3uBd08hmAKOIUkcba3N
FSqVld5KssIKK0PiDfpsvChKllWujbP84yRV9QkignhnFDpP7InaumvUFcyw279j74Ovxqq898B0
gbC63PS5XNWK0a6bXlcw2Svn5BSJWcWfPpEOpryTDlHKoZiyyoCTFamXQ2kY0fSwouSAx5b6oTbz
1lcTRflwe0I719jFKJt4EtUNsIyOUTozV752Ux6+lZZqn5XGRptR6e1PVhnmD2CsmpOGJ8fX28Nv
Dy4sYLYof+BvEScC9eUkyQQTY7KXOcia0Hm2rbx+y+op/SrPRZJyk6hO6aKqrB/kJ9tZ42+F3w+d
EZ4VmF9smz8FPZ9GRX0zAEa5gEsHqeO4WlLPd1nRif40m4mg0CrqT3VnD80pz6h+HZBjtltp/Q1r
+gnhgtf0VcxylLF15kyxgtlOB2gO9Ez1k9KkoDzyrLX+EnJF7kk300Y0CNQAlfztWzN3EIyGw2cF
ERn/l6JIa69owyIwF2f8MGPsCpHOPhJ732YLvwelysu3ZpnNbVyO7D4VelnaQQb+yHOEPYPu6jrr
U6VnzQu6nFbr/+2GgvqM6i+IapaXZP9yQ9WiZeliYQdzCOVa7rv+QzzJTWD0UpucGqmtPqHmXy4H
N8H1PmbY32RNSm6Yg26GzXqjMvQ8toMoVY0HRetx1SYHdT70ca+einK2vDm0pqNwtI0RfN8VbLW2
hVd3gi2IptJyE+14hz0kzB7RGSt2nFNh6njl3P6sO5uVgWgPAI3HJWD7jtWbPuwi5L6DwqIAg3h6
f65DQ30ooB0fhITdoQBHEBQw67gSfWqrWk+cMbUDY+nj57YxVPhptfBGNaoONsveUNxnPIzpHtrQ
LC83SwvJy4L36ASiN+pnRc7HMzAo4+s4WEcObzsngbms/d8VH0GD53IoHoUOUveFE/RSNLxrFovj
hwh3MIZR/L4Vk/Nwe8H2dgYaICDHqS6vKJDL8SalQuPNapQgTbIO4P+S/QjVeDj4gHvbHhglTV8K
UCse9nIUeDvATMjqAtuqcBSfi7YFaWJ1xoOAzBveaUZY3g1aYh/BM9aV+fMZsm78VYpvxZv8LtNd
DmyFLejQPtMCoXbK4uKfOD/qWJ3dt4akhB4ARPWuMOX5qcepW/JCozjEsG6Tv98/AdsieGMo+VxB
XqqSveNEphqMfa3DFNOt6tTkVX5uimlA9cnMBVlCmuTuoub0l26v796Xt1bpQwqkgKC35OCRcFDr
eqQFVtxiEziJ5n4oOSCJFDef5kSy3RYj4IPH396mWiPrOmnY+NvzAvZGopwVK4GGbPwpoW33b9JV
9T+3p3aV6/FlsfyitGysqFmSvsvFlcvKjoHNq0FZOuljSZPGN7sWQzWpU3167BbQNkm81BEm7Hk3
L9WpTZwjIeWdD4wZos4nZo+hDrXGjj9qNqqBbNlSOEowGfqgRz722a3uIWBSKF4xaVPW+QP9q0j1
YLxxRrzbH2Fnd+EQTl2Y5rdhXlGuEm3oB7OV9aAfo+g5KWzlc1R11jlGrqrz5mUqfmlWKZ1suz+q
Su+EKmoKa3GfqLguxOXMuU+qds5qPUgSCAP3yNX1htfCsXnT2skQsV93o6xGB6FkJxYjB8Oag41h
WHuD/gmj2pFHdIqCCZkuPzSW9iM8BxsitGbe3/62O8GDdwxvmZX4uRbfLyeInEIkRiHUQNLSsjp3
jTqap6GJhG4AsEWe0ot5UBjvRl0qk081RtAP5Sgc8fenCf0QFpdPzUJvvzNGEg3ZkaNijezkjtsl
eu7bltCXg620s54IZrCSuJ4iNL89TvY8qnarJ1rQJU70v4qCVOMuRt36UWuPbh8PR4TinaOzgvsp
edKOYwKbDbTY6CNVaqkFwygv3/Mxow3YLh+SQdh3oIvHpyV1ioNy3N4kOS8y1/g68BbvpKtDjylw
rAV5i5+2PQ46eCMwsYrR6z4P4yMQ+O54NHjZQTzAqX9c7iFU1cheB6RSk1RPTlaoT5CxmtJDiDO/
I4HpH27v2Z14QHEDujDDUUl21t/zRzjKuAnSfhFmkIeDiqwNNWNn+ieOZ7v3MZ1Wpug+bB2avYjP
x9J0HlHOPAJ57gRmqv7gqxxYtauQ2brwf/wIxEgqEXe5Gdi1bgvhKYUSiy9j0VukGE1Sy09Gmg6D
6ndOWqafAY6g5Oe1ajX3bh5O2VH6e/1ReDZhAcbjhsrvlbzl5OCyMVe1GZRU2HM/qtr+MUuNwYs0
PfuQocL0wW4z59XWyv9w/TM28G4aSlREAMxffoupX6AIsbmCMV+GyeMuQfUx6qvM8iS5EsPTaHfJ
4FF+UyK3Bev+6/aGuI6XbHbEcLiZ6Huj4nU5/qJ2lZJIoR5gbV7p7lIW491QLGbq1rKWH4Sq64i5
DrZqTQKEBU+x/pg/Fz5VuQn10gisMpl9O43Lc1bH1r02tp9IQMJXB3eld6UWl3dLP6TlQQTbHZ5v
TLlTX0tQm2+d9IkwMFfSA8abn0Ck0UkrjPDjGCtoPcyheIl74LCn0crF5OotL+CDdGv3ayNSvH4F
IvW2N+WgHGZZi8V1bBTF51nOP7bqWD0k03R00PdGglxK5gN0hex9c9CbpUprM7b1QKrje5wcwh9R
ostnfZjiv6zogQ9ZERMIUGI+wspuQhjXbV2iJ2QAVXFa8R7VJZS0zqAGiul9Efd4NZ6wJ3bewHPK
UbCgwfv691t49ejh8sOS8coaLNGyNDdq0wiyZdSCJm+nj3Jc925c4+t0e6jrzHVt+IHopmey2s6t
//2PDZzNmdZXg2MEUoQGmgfPG+h2ZGrl19vjXF8LCF9S0aEuzq1+dacvGFUIXdRWwHs5Piv29AFN
5iF2s1DW3CpcjgpZe7uF2hmiA4Q/KjybgxkJ7sK6Z7xQH+bJbVuN11A3luW9OZTiYMOsx+zy0cXk
IAWvRQAuoW3nVKqFVfPMsYLKzs1XyOpjEzi4qhQ/Z3vSm+/qiG6524RdpR/cfnuflQCDAOPaSKfU
f7l8dtePhpyFZtDItMxd25BsT1SG4UlFnmauUmX//v06kioRX2mVckbWm+eP/dJotWpXkW0GCBWJ
7t7Otbxx9S6P3g1N4Yw+dKmjWtne1wVYw/Yh7QbOtFnKoR5sbZglk4xf1O/roRzuY6s23xmiz++X
JJJbL7eT8qguuHeHEs/IhzWyiivDGOJmhhQiO8hqdOF1oCJ5sDZZ/pQmIj0pRjfP/ogWzaepl//S
+IFrm4oI2EhcO0jduEwvv7Ja4dCVxIkdlKHUe/GSS35SxMl5rGX88/AmPNhGO6cF+oSNKsGqinuV
+PeqXLWKzHgUdY0HAHr2E6pMxbdRs5WD6u7OjmX3rAqB65e9qu5aE49YvZ6pzJlC8/GoQxYxhBKy
5MoAu8g6IhbtjkflkfQMrTFaUpefMh3y0LRCCpBlN9TwkiXnZTEL8e8iz+1LkQ1HsPC9T0ktGWUy
DUYOVLfL8RJrwJZbmk0AlmV5aqeO2zgF+Dlps3QE779qNZLerXKHa24PnQ7N68vB0rIQbe5EToCI
uXHuikT6XNgp5qtlPZ9To2k8XdIyoqw1DycF3c/ItUJD+UpRVjuATV0fF37K2vFblZlov2wCg5mQ
Y9MHcbiukLeFfBR/LWdDGfwl6fIHU5m1V12vo+qMZkL5/XZQ2uocr2kupC5Q+BhEgDHVNreY2tiR
iu2sE+SLKkOxLcvWHS2n/d7KyZC7k14MD7pT9L4UVlLvGpWFk6DhdHp+mvXB/lri9fPOkuyjc0yY
2kQvFNZIhnmarGeLntX2PRTVQmRVI6FJqagAhCojyzSP8ljXeXEWFZprFqGcn4Z5tj40Bg99t2vm
ie5hjy0eqlJjU54Myem/YCxsaH4fgwPwHK3nXaXlldGcTAUZqBA9D8NfkKbSvGnSMeRFjmo6wTuZ
l9e1z3OviFySvNEIU232UCVVp85LUwfhGq/Q1VzpvQkRqah3x6VQ0sUb2iEJX9JFLrOvdLua4Xsk
q3VyLk1yhHv4K2ncuiI1jfBV6tWmU92w0KwJeZhcmiNceOymGX8N1fqR7815GCUT3dViHD/rehMl
zxPuz/05xv5Z/ofSQjW/E0lVJg+a0CXnzRhjy74P5ZkmottyBSiD69RD2N5VcAMxn1KXyCkeRZMP
iFSnkRk9mLLQ8Y8Z7FB5b9g1iNdM9IPw4iSazMU14GUJFANlvtCSZcuvPpHnvHcVfUnFw9yocLec
2W6SuzYa6+JptsWgv4sjBP0DPJX15E7V29xGJlpFfcuF6lzc18KR84cSxun0BWjGVHilkjehrzqz
qSPm18zZfWJT6vU1DDBmF7UHwzhLTRvaPtYKSuHR/olqHFoitf0w9oq6/ERASNWepdHAvhkacI67
lmPMRfMiTVDr3MGmH/m+N814+WlITZacbSxL4ueuxzfhPGWS3H2wojJf7jITfeYTVP6VTaUUkAgC
0G1DND0Af10cr8nzyX7DkbGaftHWnhQU101eho+5iQLwDwwSykqcxm6cE8Mf4VvrXlVjDtu6irbU
ee7acRnFhWtptdar3kSPbVVIruBsfVF7ZO1waA6lrnp28lmEJ3zDuqRzc62KpBSlIpStnhazpL0m
VVM33quQhvjfljypROLRETLj5DlcOqt5TiQoaBiamrOWK6ekLpXlfqKfhQVzAx5Ueom0teHuOR3s
9tgjWUjqrzDJ6uJRQWRHOlMu7+vcd3Jp0O+sOVUR7RcaMs7ocOuO3Y2uMtdjPMIRXkDWnYqGQ1q4
ZRsK87F0LMjEC02S6gEB/NZ5r4hES01P6THQfRnCKGp/RuGSJR7aHmmr+LFZ9G3rYY0N6Ed3ajND
bTmUCEzOOPKJPfoSMYLLShXTrzv1xqKUvpEu0+KXEohUd+olx/ouoUa04hOV6rkZ5rRyQyXrHHel
GxWvWStNvd8Jge6NwzuXAnfRiOyVmowtIZ8eduK81DT3VE9TY1N9sWhxLqdwaHX1qTfM2niYbYun
1CmvAJDcqXNY1N/CgibBY1mY9vJpzId6ij1pbnvFTccli36KpOmB9chKmDjks2ktL7KnSrLZ3kG/
L0E9SVaFe82yLHJIrLL7SNyncm31D1DD0vx5klt1ft8ac9uOoF2j0AmmJjIWt6hSS/+ZVSrW4a6c
jkPqJpojrXDUwZLDn6FeSPN3TVSieUX5cxKPDbKG2ccoidBzgYoTobVF1Umn7o78l1s7i+68Dxu5
lx9jGJVLkEpmq6oPcTVboXDbiubBSY06FDbOhWGCl0C8uDC/xVotRT+SfmgMEEK0Lv1Y7dP+LhNC
rs9qP6jRI4vbiB8CqYnmGa9daZZdU89kzgIaSPH4bx+V2XKGGmanuav0xjDcRyOCFFwzdqf8oL4v
R5GL2KM8f5TChv9Js5Mwu2/UGX27jGpd9E60dT+8KHEtDQ+yaIvplQ1imZ42TnXvmY3eirvBVKb6
PlYHOb6fO6Hkj2nZTMO/c2VZ6RI0XUTryRxyJX3oumrEx3ZOxECQEhINITVqEuX7AIChfUjtuuzP
UyeH0/dScKF4NmAktFXNyl4lMLWoWYWqR2G37eviVDoyv2Gtw9yQo1iXv0ELFcZjGc/z3J3zCbGp
NzSgkH8YbS4F5cy1U/R3jjAd0WK2BR/SjyFcdJYnljStvDT8P47OrLlOZAnCv4gI9uUVOItWy5It
y34hbI/M2kADDd396+937svERHg8QufQXVWZWZnHMV+pgVJ+wxhjWj9QyrlmOsUKV+Nf2vD6UCz0
OiYMOeiX5i8+cfbmrk+RoD0ncQO2yfo9FuLwvnrMCqxE4+lOuKp17vjZSfxmD3O035uaU33nMqHq
6+z4LRLzKJpMmw9h1j7uW1xtTKZrOvyOYic+HhQ8yM0wd+tN9A4D0A8fZpiP2CdNljNzFRFShYmi
2a/epZeRUUduwLTji0Lys72CMYdTScc+gU0uczTHc45MjWklkwgFXwy49ngauxThQS4iMaXkjk4t
YUkzXfST7MgFP/V76gRbjmK5bkvByrVTjE4aryrfNG1orjAWma6NUQvFQiLfLfhufSw4RBvG15ok
EZvfklCyh2x0p+bU4zrW/IziKTP3QayX8DjpQCTHPcL3NPup1t1pX+s98xXmp6taguuyJFWW63Vj
oygfZDz7snQ5p0S3kxPxXbkohh+VDSvnstuxbZsTiuE2mfGJjFv7u1+Pefi3LtLlCSeQ7uyFWBhp
36euCfuumJmYbWFCQfJbocON75QMs0x/sVsWmDM5JLBLfwLH7jIsqJO6equwLTgTgyI35GWrbi4j
e4n+c92aZnqAO2PBtWTno8Knx7t9IgMKyv+4lUZ92iYxlPgasJRpfItv9GjtIF866fBVmYPkwgJ5
jRvlzpxF/4amb9+SZWl2KjdxSPdK7Sv9Wa3VQ69N9Ve2Kyy8Q2qePJkmceaCLOLoZ9Slafs8z2Pa
X4Y1XcaLGnsacBcPDPac8fA5s9hJrJ+aKx88lADWjGdV3vh8LFWU8NOQO1/MtFZePu/b/l+bKryd
07Rufy1BVb8vgXGRNdbJ7p1boYa3IKir6Ise7NGdEIEoXHX6zZ2yC8suYX9WJpHqUfdiqa+eo1Bu
ypYyei+G8XjTQVDpFylTJ/tZjb3X5uwMx68hALLz6uAlefyVgnAMb/L2oKDtq16Mjfg6dbBH3oPr
CvVfzwJcXwzhHL6t2xS8EIBswzwb/Uw+4CHYl+a2CHTnTi7OHHOit64U3hbTCeOMSWtHQKQuTG28
6cJtW0fX2V91SChssL7NsAAtRYGP6XOZQrkUiYe7bJnGlarLKZybt2rnhSy8xBFv7STn//o03aqL
n6nJ/LIiCYb/jMXlszBJH/M2N7Pn6hL7TxJ7mgPm8hcNpsq+Or2cjvfNx2EO5W6txdVim4NVpnA6
8UifNINkrz3NzEIxl/TrlUy+Ut5a9/6AnAzLLDWhyrHzTd1zy+tqRR7UXfKvQrvFcJYxHl5qtCvz
RXZ0y8VhpqpHE7CH6sVfoBAflTcfx0foQFvl86SO8UT8RJ1d+wnSgCbK1vWlU3EdRKUUfszrEwU6
OW1hkxCcZQjoyTyuwcd9V2578cLaiVvauyyecrVH7uvQD/qzc0exlxFP8q0PnGw7UcJCP4/TfTdf
bGW8jCkqpE0gdd2arC0t5gZzEQ1S9mVvdvztoZdFU3bSI3faSetkvk7sl2c/KZ8iOnVUKecCmaZt
lVvXXZzymFgIg6tOxXjpg3StnpulD+offbIk4+mY3TW4dEfoToVpomg541rTHk+rWRSM0jyu029Q
EzWcnKSnxNUB19lP2dnJv7tpAFuWFA6dXevgCKYfQbjHF9KbF6Q/IjBK5KLXfXPKjrg9XpgskqMM
tj7tkGpKz975M4ujTItYJvfVgzulXc2xDrrknhsEqWseLekSF10v1blGyr+X8ZGJmU/U3+C+fS2q
kjydIylYtWvkxbKoteVhWvfix7S4wX4WbjDbMlFambJPp4q0G2Jn3DtNclx88ocF/85u7llHDPqo
Nt/ssSQuqXbDZIpxwgnc5QjRYtVX5iqjt28WFBUhBQrt7EDau3qbULnTxfXQPkSVTjz54uwBpfYo
SEv0fID5GD5i2FP3PtkGLywrKddUMxI3dUIDy9r5o7S7hx8XVxHuf6GeP9utDyQLg74xT7HAjv6Z
2XkM/zR8o6JUeP3zvu3exgxXh/yoNRuRmXpaxW+mQn1adkoxBGnstz5SRPKcvcUJPkwYtPrOk9UA
WeM3R3Dn1Wpb7mefOPqiSU0/5q27Zm84Hkbfif02vyJ6WTfXcsdUclRmTtlN8cxw4hQHS9HHpk5/
kxnndoWj4FzYSB0sXuJzH9wFdgi/CuYtgJLVy+SdGR0iwqQ3BnGOcYhJy3mZ1i1vtYPdaJVmWpSO
Njotpnnav6jeQybkNRplw9BV/vbQT6HhPmBFLO/AJ7vSeMHS5NMt2Peq274Oimaaww8Qj6w9T226
BUUt5lEWEmud+dTZGQ1XkDZJSGht34z5mIrYEOcnKHNWsCe7rqMb56G/pf+yfa1/jg124nkSNvE/
d8nqP7FNrCiODiuqIFtmjz+qzFPk3JQJ7hDtCT1H1jmnOQvrIffnOvo4IIT/NXoXe9GQ0mGKONvF
r54U96aYW66BEtH4xPQzd2N1ZztXkf06oSD2g6GNUHyCqJRb2NLtkw0fenmA18KfSDuHzHtIZp1L
HC6+xQvDSd76Ou5Ouh8SB4VcMvTFwfYoO7eH6ufScbbV4S5N1NfxEEtWVKAYj86O+V2+C+WtJxma
Gmd0mkwnD1ZzM/oOTaWKyV9EmwurRq9oGU6a4piWLMnxV2y+jNo1Sx5jRGgvOzPIl7hvbpLzKtL7
meV6YqvpC7ZH0q7YvtWhsh8sAjP3HZW0oANSY3BdYxPyTfndNBVHEvZ/Gc8mtoSdxSxXfTt7jzsJ
G17hybYlDm3P2CTOzOq9pIHtsUdws/3FCcNela0xBKyPyKUeD9xonlibGBhWuSAxLazX+Z+/drF7
qoiHmrFWcqbLJrijS9RS3VokeP9TLDXuqvlQMxbnjs5gTm024qm6xov/z2mJWS68FRuVgrdsWIod
j9fXkCfzTmi96ua0uUbbsmkNlno9oEWS960S3+bR10ee6pnq0Kw09GUdt95fEbh6L9XkeV3ZATzy
LHUXU5oRUr2oQJOWNcZO83vyt7Fnrbd3nZyBFrV7pIajpKPc6rNlOHlCagUKir1txECn2Xg4YV4V
77i09qyMpMkW/zgmhuwtrXXN3Btv7/DkY5QHkQ18bmcbaLzyXPSVR4c0sNIrVmXZuvEFd2tKg5Pa
hpnACzpV8RnfOjifBIGmnLb4v8S5ragK37SF3yeShA7DuXG9975Z09tkG/2Z2877pfv0KLPFYKvj
VmP3rHbAFm6TKv0ma7O05yWIKbgNih+ZS3Q3YCCTDT4wK/UGVimimbEc7ODKMRsDLkrpiXw9Vh3k
XSDDpBx9a2r+34c4Yc40s+Uf4FSXI1xqjtKz9TTw6VAm8lV7XsUenAjZ6R1NTA+akDhxE9THR17J
fmcPtfZ2mSdz59cYCE5ClN6Yus9xu24uxdnFHBLJdOYXddxl/4XB1LLLxsX30fpN1OZxleC5mCz7
9JX+Z8OuOiDdMzcxmcS5TzdwfEW8WCEQMDyW5OTKItiCARfRzTg0PfMsjyJpBx1+iSsUvXwinn9m
ux+EyxNuVJVRO7Z/6Bh8Nm+kcv47prWPTnpY4reRoiyKSTUz87WbNv/cbpu2E/CT+SX8SU2lUExt
+dawmVZYsk/WN4TLtfjSJJtenyc3kPfJHrdvbbekKp8ar3tSFOnxbFNkvvfDJnnIUSXeBLugqvlU
j6IiZvPYuqLT8xDR3AcwjyF9/LUHTEwKDNfZw2MhPK5y3i07FQJAojkjZxumcwjuZM7ghwwtE8Gr
OTmelro+7VVThNhFb0UdscN7orlYuocBnLk9uTAq2Td3txW4ZnwMDIrYMJvDadOTxO+SmX/eRH/y
ldt9jVsndO98TsxRsBg7qr+D46KMnoYlVI+eBOK/qxQ7CNeqtYSEZvQCc0nk7fI2B7YDdsGlCZHF
6EtQYabkrZBmTZjRZz98MrDpXq5HPB7QWseRf6n1ShaE2VXDf7IlYX1HL6LdIhWO1bkb4JBRQJjC
NXkj4UnXWeMQV6RtxJ7O1oT86aCOfSZt6DDiyXHsuJV7GHKCfSKu3KvbIQJslznuL1ihdx00CJqj
gpVHNyuYyPc2h2Bv1ouQamT8ypYj+kiiLtnPyQoeVAyb6kQOHLptf+dWRxAKDrNn0dVpIsoxjfDQ
zG06tikvgDt5Nzj4/02Tst8sM03/NbX+8Y58rZ2LeY75UeNGDMZT04GuX8ZaOW8bCK+fy0UsLQzU
PiVTsVvHYxlrquJ/oT9T4EbcX0Qu24wReCTpmnOPtMc5HUxFurD+6t/N2SblZUR28V6juRTFXrPO
Lf1osucqUsv70mf9lhvetK4cmPcE3iMQOicqPZBhMK1NcgoTkXwR5L1wgJtjc899PHDbcd3PpyRr
nb6AWjCvvnTSD7d20u4+ra3yXnwpBf2NT/N2Yjt5XXKqigyebqitJADQWHuXIMh6bdnZWMtjbZCM
9oJDefbsjt04R1odRdYw+96xhFK9SHer5UnNkfdKzc3qshLu+LEeKpK5vdm2PLQkgIYn0FVGn+wI
gtcBtLTNZxKC//QJiRnk13AJsECtZuCItuYP67nxg0LFobwjb9Gqog6F+sd373wqlY1z3tMP/MPv
kuFmnDo75O4SargIWbc33yg4hHPWDXV32vo9q0/deExpMSTr8HcK7LyeZhxPqL/W7M/TFgV/wtvg
k6+W8eHCMCBqiOJhuh9TZu3SpI1flce8q5+tmOLfMXzgv8prp9915uAIWFXO4uWuDX19orjQVXWr
AAxbBYYsjz2JSyciAtep7MED+J2Z6vI56s2XYV8XUWydib7y3SaGwxyO76FMph7Hk+bmbNvs0btg
2PGKdLYqpH2NE1XwbGI61/24gxuuKeWrwqRjzKfQNvqkuKGfbqfyOwZY1VKkbJuJUwWVYc8xQM+b
1MnNJSE6vi+kCOmy7YWVV+Nr9YaOZWzKcNnsi1ypcKd0nJR9aAGFzYkxi6+rxcAhK8TuQAX55OPV
fOx72BUxTghLsVUyOIoZiGQ8LWT5bHmmUJLlkR4aRjUMivmcmzFuC7uF9lmom9xL0PtqvtQuk0AF
a5uUySLTsht2THdiDBjPYAl+fQ7dVf/1qOnxqTaivtuxCevLUUOOQMyteOIcVQP60YVTc1bhyCc4
4ls75ZNsmzc1xWDqvLvjx+RpTa90xEdfCEwe53xT0/hiZStliad39x2q3W0LWG77We0MRmU9DEtU
zH2bvulJyuQirax+ZZMz3B/OsqnHOg6buzZq1pj23ju+d9Gx+UWHskJDLW2jKdkrIn17a5vurrcy
yc5phUFzEcEcOUx2W3MP1nJseQR1ey9DNOK5v9jlKHZ3bR5QIfVLMcR+NZc9heaeaVjiOJAswVaK
lcyXYjEITgq5zM0Ndcsmlx0CcE0g1H2Cyu3rW0iItPX3FaMmeYrgnejH6MS6sq+d7Y1+etrzPSDP
Mj+a3mfhm5Xzf0GVsiLc+5N94he3zVMUOc1x35qdUd8XUf07xYfJyZcdELq4xfI+EVjdcXcTmf1z
NikIetpqgs86OagPuxinyo1IZVUosAlzrlmee3c1O54urNzPqomd72HtVr/JDVhT+p4erNrYjEVd
4Nc+Z0N4cu+XoJ6IofSa6CGgJ92LIDTjd7vU1T/NDWxyhuj+S8geaZCD+08q1xitekXtes7PTjt4
nPcZI2CBjNp2J4d0NPi9YNJ+LqoxHQqhnJtAr/eBn/o5w+Noj3kRy2Nni/AUbral1TNzFOexmnHn
mbI6aUtWyNVapkEKmchozPnQ3XLAjDjRKHJWnuReHkvELOAujQnuIyUdr9jVCkI0h/v4kpCixcat
3sj2wkZM/NfpbESTVAn9kezzUZ9NlDl7CV60V3dOvYz+s4N4dDjXMWAv5bpNHjHGPnwgHNF+eAoP
QxpffxKgBcyJ5CtIs5+9cPBY7YpdKuW8e5yNRBpJ32l0+yOYef3OSdNsMp/s2HymMrWYiXtby/+2
TpqwdKBL+fvCP9Jry0STnlXUgKBprw0uWdgMzcUZIBcuyzzO+/PGNmmS++MBCAjvsTMnL3SyJzaH
ZFrQzXYt8xt39BndV3VcK29Tkj7E9751OmnsBeyaRnYVzdGXCd41+kvLQjAnZxDAtrcX/ZVNpwXn
+uFYPIoEieIDB57YN5DAzB5HXsfxMV/abfVPognldp5mRai4Uenc5yAImXuNwyH6wZ3Ky0lIRM/b
Nxy1yYNYRQ4FnqaEtfTFPMz9soFQHs5mcgfEqs03WD5w+rrTHS6CW5oVhxu3svC7hv4xY1ge8mrM
MN2bQKZ/+JzWqtSLT/LEpBVRXrx6/FPWXn8vujV7s5PDcUbyBvq4j/a2wBXq7reBwqGrGZEtnJra
+N618xZj6eqi6ncgMkxpAz0oW7qJ09wnuO/82JoGFbOXLswJqEuy4dTFxzbT1iO5QOfmYsDd73vr
FDAL0TvLud1eYF/Q21IpP/wYZa0xt5FB+oRBI4276x3LI/zFVF8gDT1xnyZR1T85wqz1N7bMpHNF
bELJ92y4Q/zPnvmZtUrCiQksFx4i2XbbD96I1c+XaMM4o6NzAJuv/KMj6T7eIfwCEXSntpkTrvuk
3dNzfVSQXE4UvGZL1fgnrUeH/7qPWxdr6HqiQXfZRn26CezM8wEAI945ho3o8yo7fPM0jF4n3g5q
/ntV+8K8YR/IR44lVipOMLzTn3AJVnHmsYjoJKKgCr6sGxt9P3vtbfKpQtatLoffrKd0p7u/TqOg
JM4Wq5Q8XML4l56CDRtpwaG7TjiuB1f3mEf3LUS+YEtjRLie1jReuJTxjTFcg5v96rZCGAIDd3ij
3HpLE11GgCsvlyOEzqOZQR7ykJZ1I3pJ888e5NsylGP7FN35MOrJx5AgSGFjKdv1y6w3vlAtU38D
L+2i6a1bG0cUdg9k90D0WRacZxIXshe7x7tz3uJpn0+4KIrpoUmJsssDHwr1GtnR3aGag3YrpjE8
psemHdh6vX1Ix8OY2Sj+dmBVr5893rCaXgYyL3qz0Up4xgnp4yK7U9gyGNNMkrP01OvZ/B2NoG7t
lJ3rkvrV+wHuxOrRruHCgkGlSS7Vsuxl1dfLH7VD+53gxvpfFoFQcyJPbcjKPTYj+8ZbMzzvUWzE
Xe0oVQAH7YV0m68M1At3Wv+FevNexWlVZPGy/BkOtdxxo0UfRPeGTJRkcP6y7Nw5z94RMuyubABw
YtLfRLXO78kR/ehx6cB6bJi/13va5rwiMg+E4uIqw34aL+1SD+/epsP47M7DBlTQ6F9JqLOMWjVU
6r8h8Prn2CUlHfXGFKs8lNI69ypr06lAlwMW2i0LxjXbHmWfVm1QFWyTt9daRhmJhhrgqqrq5K8M
wjo8U/2z8HVKzOyfG7o1XYqu7rFedPs4j/Y29q9kg9kLpHnwAN4FrhdO4tVHinoG30jH3Gmb/W/o
426+Io3gvgm77bSkc7efj3Ha9DloM99+6QS+QU2ERcgJxn88uVGDJRvrY1GZMpVA5CRd9LsbG2CA
VN2ul7o21R9o7Pl32pkvCM2zsewTgiJytWQjxdNnvS5fnRGFmSP95LTUG+DoSu64Ku2x7RfyjcOl
iDdXbETEUqPyhsxUt+TVyaac23UZaCQZLTZtd5djGzIsEDihvu7Vsd6tLRu+DE1Z/4sGQTyjdHUZ
weIlui68kwHTmArQZs51n56HoW3+4dYVA3Uzzf0M8FPyGM9S83eq2VYojmpuP5OGLyWKbLN9Zd80
yZHP9Q3kmxqfu0gnw5kkrSX4kCYdP49Z94DN7gYynWyN+YFzbs14YG8AUOS5zmMvsiX7MCiAgucu
GPePxi5qBGkU2rlWgxo6hDlLdnCtoF7JbeQcSSmkw+lPNx++cEFNfAkqm1Rn6Sbt8iSd4Yih+5ro
s0kn9z8ksfWas43vuq+Groj1naA9ujczuKxOinRPP4lD5ORUuutP46jX5hIdCczrQhP2iKSqv0dj
5eF3UqPmCPmuHHgMvZ62qJ/mV15BBsBZ6N47u5u7HkUbd3I5HTS/smQpado+t7lRO1ocn2LjcP97
V489JiBNCchWBrAl+6NZtPT4cTJDPk6Bri9tlxLVztSyNfToY7SeGy+qjwKB0JiNxYAEpC+rxCNT
Ycg0LfxiY54qrpj+hgTZ2VllJmTWZuaYb0vV61rapp+dwuu8+Uc8IKLJjzZU+ItI26X5ruoKcUMW
gI4GGF1kNDchxSB1mmTNF7T+iMGOuG/v68XLdK7nOfp0tn1cn42z09yFFpdIpCjkAPXYkv4lGmyb
ijVc9Eb6WI185kgRrZZm3AYnr0w3q/vBWuOfb5MB4JfLWxQfIO45VTesTpuheuWZTgieq2crT9AO
KD+yrcuQHIWqpXF0AFJuGUsoXjrURQzSRkJlzASgLvfx1Nj4mrDzt5VbtNTmbqj7sDm1/DLReddh
ukP6RGOTx2MXPTW6G77OjV5+MNBUDNyOO77WlRfdUWs2t8yskkyidrxB9Wpw7hZha5GzaT11p6pd
xlcDjfun0yZ7DudgPuhjlvbfRksJ4AwDOxW1gtAH6La7f01MQO+FvO1L55r903Xafs814rkgFzIT
D93UbXcSoBEHFriuW2fqEdIsBv+ToV0gPAx88W1KRN+Vi/Sg3vq1Hry8j2s3Kbx00z+HRug76r19
IODThdsMm3oouZ2+1tbl36BODlaqHS8th3Qw2DAfDR98UrnI2WJvOqIc+sNkpy0Nl3u/G473EJf4
qJiqatKn9jDDvYaZm+5xHB1CHLkdFbHUKLsXvz76/WEnLvFfOyKjzNnKx5vWhwALCDf2lnfjT/F5
ZcsHNYGPs+Z5pKO+GV21HaOJI9cEyKSvhnyzGc24r9v5e5R24pP7EAFIXw/Ni5u6zelW6m2ZqiCt
PlMkgec0rSBaOy8aUIvIanmvcMGAjKUxTi9RVkVD2YuRu4BKjkmh3yAg4tAMIQVNG2qEDpdDEdvA
dixijPo472j2HzOrqS+g1cNa4HZs2xMSD2hjZ9q34bXvvPFnKEAoiiP0RPB/z7XhMZlqAavlq3k2
Zdv4DSQa+soT3M82XFZ+TySnWxSJHLRpHOHveY1P0dK0cznEMoRfCDqGBm1xwb5IxojxecuUe9xV
gEWQpISnSmm61xW6vD9tTd0Nb0PVs8/U8bj0DoJfkXAiCBBCSN3wurXV1vNF4HZ5TxbNtBWR7UPw
RQeVwuNaMyqV1L/au1hs55i2o8NBsiBGH7wvdgb32iO6Z/Y3ONYUm49dTr51w6jKIdm2/3Tf1xUP
nRIICsyPXFcx/PyJk6nxSyjiqClQEgZuMbhV8juKNGYMGuK61LVk2X7qs+acEET+OITH8pdP1fl0
ZzPPJ8kQ6l6DMUmgzpBQwk5VNU1o0vmLQmHYTesfJNZM7AjI/Sdy3e23leM0FW3l7A+GXlyfvLFz
/+Brfjwa/Laay+G46evBskmY+8OglmusLN1sJLbeLzgo3cDSLm6FRSB2jLE2VKQgWbKaaBQmbJoY
EKrk3UYG2Gbz9yC7hnM1Vy/rENbtnUHQERdJuB8C16okUMQHtpF/bp3ZpQAo0kRLafHVhTUfMvdi
4hiOb/GG9dliFySL3qvWiTcUdX6UV25yQBcsWbZfwkrr6nr4C4qnrSOAOppTGpK+S7vgjiGIVTbF
aY8K7srDYZEd+O9shy54xjcUgYjnz61XuqsFXAWMVUleR9qd6cVH3fxo2jZ1flkGqPoyAYoNBW/o
tHtEr83jcUeBjPYSjSp4nkZ6lJSEzqLIDvGmSs4qAfMsjiOKj+uB348o4t63lGxUcjXv9Ew5mWLh
/s4QtX520eYPPEK1RhePISS5/U1qc2c4jm9wqZ0qFqdK+Zuy5qZGaOO+tnV8IFBmBarLQwduRSer
+OgqtGVP2ObWzTk4Rv2j77elLY62i4NzyGwGTUMmsbootWiugCzpvbvVoV5f+hbH3Ucy7GbnzPyV
kCwLnZVc6LFAMTtAPPfKDovjlPLYl4dgU4Q6jBX3QJr2fLyOI//bhzhWl7TdqpAOpO0tF44TLo+x
5ssrhGz3r5tAzQkuFC1Bni03mb0DrTueo8p29Rc7BFtWxioI1TmmRiT//GRO3lmJrfRZw2Em912W
rn8CzjX4h/BB5OaYcKzcBbDFJ0/UqFXsMoqC5ml58ma3e+i8NTz3zn48ZXPjYS5ASXieSDL4jkSS
mHs7sNKAKDBdgyeF9OFgbg6Cr3MS2rpYJN6l94Swht+iRWZfRChNX8L1CzIb92h8YwkwEA818o8d
bLlx4cfSyrmqTAKrxHry3VMC5chME3bvRtWb/S66Ke6vlt/4mZXQHiO3GEHMxen9+ZF9IKQucmdD
4qYT6SRlm01dinpcxyUqz6POw2ML6XVtxGCcBCvr5k6INQfKxFDAJGXVBoqGFWqBKWr9D4fIzFwS
do5M2WV2+YsqFi1wA7a9QW2E9nywi33y2qa6xw53m097oNvvZo15125s5qsxNXM7pOpNPl43m1ts
e9v+1A6wbx5ThxG6Vr8GsSaPENX6K1IU8x87UQl7BsDcIDSIXHEvaXoxPe5tiO5lPPbwpNqoe1ez
BwxzUAlLF9GtyWeYnVd0Muqv3lFOMhh0yUsQ34KyxwaLshumPz+oWqf3azNl3yYo42eSYYbPNVNM
UyvWKfed7KOX1t/3L9PiqQ93DjKajmw/vkgeDqB/joYfnaSpt1ukdL7NS/gpLCcV2RZeb30diQch
rUvfxRpeGWaufpLChUqklogoIVV2sSK2fz0F8D7vN3H+FomPLWX6Md1AXzNAefl17BYyDfXpBhyf
WhXLc6/H+WK9ZPyc9RDcbVUU363KHb+v3uo91OHqQKOGjETRODdlNkH1Rav/hIBSnZijj69IT/9r
xr3m8+Bhxg5nImfw6CxwZkLJIip7HZrsN/t3WHx0N/5plhc3mbcv6ODi77cDfel9KD1H89iHDdvr
GNTbJR3Tx3oGAPdDE+ZY+UIwR3L4iZA3e4b7PWfZ8HUcUh96k1pbTFl47nazPtR4PYyu+oVC4VOo
AynCaB4mJIo5f0rsaBDrx3Vep2/VgnFm0c4ocY7v7ewwXuH2qYotnfepRCkXf09vGVinKFmDYmTW
fIqaOEEjPm/Lf3Fs/fjce//j6EyWG8eVKPpFiOA8bDVLtuXZLnvDcFV1cQYJEgQJfv07euuOdtkS
CWTmPfdmEz+sY6PO8xiNOaPfQUHCJx3wSGmu+NZ5upkZQHsnchoPa2e6aV9UtSXMpnfjbZTU4S/t
reJ5xQD6MSSYQoouHx47IfO/M7w4pRUpDj9RGzifEw3FtxhE8CZF6z6iZndPzti0F5WLedw5Re0f
cu6Ke7cz7T5lEH2Hqk+VPFmv/deBWQLadEuxSYI+2k+QQ+jvXnq1OryRRkbvmbM2324NG7VpUre6
NOjFxwRGGsGMtPWPSNrkR3PrXzzk0n9pC3EUX110EgXLPzGzps5RB0iJ5YHUSvmeu5oqPlHqjlEZ
tvU2X/tXL9POT4jzZE8ZgHhrFPO6dPW+xBCAiq61t5/GIXhPeFdO9WxK5AzDILOsX3Pu7Sc39vlR
Yoi932V6M10sYQ7vF9oLZ26DeujJEdQ9Ld0D4lr8keZre0+JzApfzq74ya2D5pPLOUa6y7yLIwj9
BIKwWcdOutI5LnPS3DkSMhtwSEjkFbddfvuBKJ6XCF9OU1biGst6eVmrwVs2/qi8g+m98luYzP8q
50EtGC4Ge6ZYEwbrSJC9kh3Qfi3E+QANu0H531BkPj8/z0pGI8p43wwE9AuGpB5axUY8c0vX8HMq
BPInCHCWCFBj5+nZbQPBLDLFwMQxQmiNTXJsA2bmfcs7/DG9bMv93Cn/AZiyv9PgkXceAMdGx3J9
XMgNK7bgea7YhbMEhEwKjrqGPnLPqLB7SvvaougzQXzP8rF8rhG9QUsdsTBuzrv8e7KZnPBbgRDp
VXR/i2nMdyNoXLKJdJjSNIQlWyncqrAKYjAIH1LKyGsvNLakCP/XH3QVCEQ/SNb3TqZ4+lMcXhjH
opsT6wIWOpofZ10QwjfT6hXqRCXiBs++dkrvQgvGeGhNhZj+61o1OxsGa86HX6gxghXHxv6VGQj4
U63yuf0zFL2sHjm6fP++bmzr0OUl2bCnWVnDbTKJ+g38MWwgUmrptnvgEjYvq7HpVzooGbnED639
kBfbZZV12PEXzbV3weNR2zMNhobeu63ixOizdMnMdRB0cPS0mKJNXgZlG/0uogLIbotsX66HMlZZ
/KRZeu495C1E9D4M8+SMEWb9SyZ22W4L207FqaAB6J5kS6VwAAZaFudQDG6brNdORCruDyPNRZUf
x5gBXblJlOkNDry0t+WrUsC4hstOr8mXRG+I6IvQ3jE0+L21mBRCMOXx6A9AHCWmuZXFoZ1FatjD
xSZQC3rNFCZhATnh3Dcd0CKL5lBgaGY7p/LGHqQbLUltF8i6Jd/5c1S4V4mwlJy8dtQZnyTajfrD
meYxO51X5Rp99jI2dHy242rEEfKs1NMmMaC7PvV6NrEly0nGxI5sHqNFdg5xUs752yRi7uFkImXy
CgUzTIwwRt+p2QWKY+A9cptJng3GuhgNhDL7EkAIpHSwyzxvg9zLiDtv4DD3JZBffV8Esc52/N3l
6CCaecnyi++igLqP5uVnwl/rvNmBg/F7jJ12oR1gVTZtTj7mrfNFHrZH0MxKoVo/R5N2h2uPgOud
cU533pHAjAEwPhjQYngG6h4f1NK05TXqkfBgIEfH3wcoNfGx6TKp/0WRrEeEGYDjV0wMmfzs/MlF
dp49j4GIvyjKU1P2bnldWkyvzMlZKeNtS3xH2XFdogVRjZ6Mm8J3hKbObYFNd3lCutGdA6iRrdg7
Er88CM8v/V+FLmPxgMBp+XqHUYz2mqFoJW8YWfATOLLoiLddu7R6aiCFY7BH6WcnzJNxtiFM3q7n
1uLHexzTcswQ92OfdmIV/KPFhk8ryU8imewC8OSMWns74/dAyEwau7B6ZHsHB/CaOCAUMupDZj5s
LBuGR1EYRh+bXKg6T7canSIMj/yFaXxynbiGTMaJPDVnrOsTanE8IJ1vornLc4Kc6JjDX06TTO5P
UEUZppBZ41HZ4yTuMyROzE+3qKBsSKdjl1P07Ht+Rc/dNXoM9NG37NT0z5zlCVX1VA7MhqTX+/53
7wiekXishSfYAB3Ta28EXi1lyMrKqFfx1YTLfWaY1G442US3y/g+4wna7zb82PpC9vAXjOAz96Ny
Ol89hRBC1WPmJujgqtHN8G+Kw1BeqDPjAXdSAaoNDxRU+cXVBLkfESe0+AEyyYZ/g+rC8Sw9BrR7
qN4i46HNrTpO8TS39yQriJTpepX2J60Wae6EzLJs58YAoNt0DvzgG5dpUO2JzZ/npwp+SRxGJoB4
WCW2642NE0ZiuI9RrAtJE870L1frXuReH/GUeqTs7Jy6mL2dWzU8/IeECXf+SY2olUTvFovvXMJU
ldN84DrxEAyGMi7FHYttTcIxwOoHhOyaVHWui0jCs1PkLHNDLyen4S4ITNojso66CnYqDoTVTEe0
dV/FgtyAqkQT/hqt+EKAbV3fPIjayvgYNmhA7/PSsqENIwP//SYHwxEsAz6vuxksyNwwZFttWQqo
1Bfu4mo+553rhxxzuFg7kujCCjND2utqb/lQJnvKQnJrXzvVISd4fhdUd13WO3DBfu4w8d8nTIHV
o46rqvru3SrnXaW399Zm18VYY7MDBU/r6cNUuV3fnyW2onY4Nnwktv+INPP5LwevimcZyvLeP3VJ
ODbRu5f5+Jk3BcsYop1bTklJB5WrJrnIPpf/DEdJuhWNqdJDmGuDYRkW31mP2eLX8z2R5FhfVzoo
8xTbjnu7JIfmOZ6NSwPk1+2ynRtifHgzRt8bf3ckrbu4E0NEhehQduwMeZzSbqjbLRNQUd3HYS2C
r3jt2P3JUqNJHmQfssBh03MWFw72dCx3ZxUFaXbfxpHLDKJhhV5wEXitm73PgclJC8eY3lkG/t0Z
VGFCsFae7B6U19f1JeaKRbyZETe6DdjAnPIwrbN7iCST2FPjL2xWxA/jD/mnL+q8OzGTTIV3Mq7t
ffd9YCO8/VPEfld8yprkLh/+tFoivUFnXEfoJXZVyY0Z6wgaqNIwQQsbGYp9aJgneLSN86gvo58y
mNrPbG/q76V2MdiQiVTH43YkE7V8lgnCtNw0ydIBGSMBNhsrhjL9GQgJHHOG8aIoC8ICycg+BEMV
zN6egP7IN49JOMn1jKO6l7/xQyBw8Ff44rnvmXLeuwnwdLHrRU5/1s7LlL1g1NYsGJiZUmQbvMEA
zZ3HLuw7ni+/RiJa8zDHHJqJ5ThQsf4N10jpS6AzwieEiSYUklil/evqFOnwqxBgBAHnWp32FwQg
LRhBIoh1A26PIKOvqfmcil2RzMib1Doq2i55UtdHmvMe20MTts2fhuCw4iki5KL9ByWpin/+fNvh
ySp54sgh2oHXLCVa6SiMWirEs4ln0N8JL29Dxq+lyT/wNDTVeQJL7R4j+IPiuXHxWR3WKojlebaV
pgZaSXxqzn5JLbVsYlyEWDqTNXSQjEHrfozUXEpE62lqHjOPfWsOTa9FhVdcp9Yci9Bx825XGbSB
E7ZNRPjstqXtzpnqSO5VO7j/Wdk09TNYfjgamFTevUsLv3WpPAajlObYf391U5pkf6DSp1lsmgmC
eqegwOJkF2V93P92ljpb7cnmeTx9hJL8CrkpPIKcNjkpJWS6oOEwuE9MXodE94YJ/dXiLVG8U21u
zKFHalVf7cBwHTek4y6fIBZGYq7g/nHffJAabiYRlN2wkwG42bX3bILKZV0nPzqEgUG/BP0smB25
dXbg9udgNQzLUacSJZAUjUbtPDRedQPFkER9BHRn8c6utwzVMaNgmk5dTHlfUQJWtfhaGW1Aspal
k34GU0dgw5ZxZKaXzRQHVfOXkj4H1CVuli4lRH/N7q2vY0UqB8PVFySfyd9WsNpUXGim8ikHuLIf
OcwXGRWC63rXJSIK/nC/KOc44ykjWjUrGWCbggCAcuOrMFOHMi09dcVmKcp9om0f/M1iJzbjNnDa
YD5UpHVV1CTwygu/YB4NPwyrWBIckHRVbV0RMAHa4LTDe2vDxoPrzktBfsCUoGAIx2iC5EZpepZO
Z3IMb+Vy3r+L2CxA9uFUVu1BDzou/umM4wxCNF+a+Q27dWKPnPHkmNPwLDkB4xSI7s0zhpEROJCW
xHN7X/62q8xmZ9c3hlpiGgwvSCSNjd/IuZ+re+AaXNyVufEAQzyV7ansJgfmhN0apDPosfbtW6BT
jP5IE1F/h42YFkrEla0Wikh8W99kiQzDUYX4zk46XZpO8yT3YnklUgLF7tDbkUGMDQ2uoqOk6il2
bFH1XHsQM0TxsU5yGly+6jk8tuEUQU8CLnk+PrJxyQDiO5tjrJszrwnv+dxXe52Wwu8PgTYm/Y0H
lRNr5yRaswslLz371rPt9gv6K/jqA3fhFuuBicr7agoZ/u3BSkliCL3JLe5cTwoMXzzn1QAvopk5
7VhU1Kz3uhi88ZPyc1Sf3oz9mh3BXFXzfeMIDJ8UYvGwsxNm8ebM8y7HZGepqnDRmpgLVNBCGZ28
OTXeiuSoRD3l0KJZtbKIqpFkhCd9uowHVY9Wv3p+q+cZmHQuZIDY0ENrnusCtmg8jbjCKk1M0Tp1
j27Mmy0Z648rj3A/ELrwCnMviqeVdtl+1xAp4ickWW75XecsaDx3HKzlClnquOkPH2tnj3aI4J8w
Sy5VvnPaXi/gdSqhhXZYeLD+Ia8MaxPFmgk83tQ4hQlH/CpK4W9CrWn4eQ6VEWpD5kUgUtRGqGxu
by7cSN2vRBaPw57xYtxJeIbRRP4uCBeU6lNAKV69s0uhgySHbgiXv+maD/YPIwBH/0Goi7yXCcdq
/K+Y6tn7z1nUaOoNImjQeA8N5PQ87jNHGnlUTjnyfo9zauKESyqfdbhzl44EiW0M5ImbpXF02Rwb
5vvEMHh42E+o62VwXEwuk+cuN665I9JU6Zda9kl4HZTI5MuApFr9Uh0o16GY17S/Oqhv0cYXQcXO
HVr78idk2J+dQ3Bp7hFuUXdnWJpdbp0iYBWji+QTvK/M+6MXx1Kzknbiy9tPQNO+X4xN/OGGTFoW
dA1cIQicnW+C9i7LnbX5DMMmTF/wsOHXp0+uPblze07kU5pVkXtSTLSCfdxxAt1pngt1JOzJh+zp
HUKDk4J9FDu74DG/kNzhzLdQgZUeJCSGYeFQsirwn+Bw1uAUuUQ8lXwo/jTp45CkcDLI3POKcye0
cXkxPGBRtMM0ELdnZCjlreROB0xypnwtxb5FrAk1dy70mNqxraMA9+rCRAy/yYdpm2k7Y5Ykjd8q
sQR3/ezKRexWdKv/t2oL9mP43grfJe7fNazsBjrTF//NPuVIzy7JKFuOYJNzeQ0VVhvWWq9+ccib
MQ9POmBUVRA7QW9xGZcVUxe+9G664agRxusHvjXH0hW7bQ8CMOfKO+O8lsFBrqLVFB/tium/w7GW
PFCDSffJ4JKzwx77vYM/gJN1etCViuShUMsU9pAjqRP9UKoX5Ijh+qUlG9tIbpG0WZRJDzpN4osG
Ilx4ooGVlm0QgLKPO1DLnLTuEuOGqe7TpSglzbmstf8lmE0Fz6rmwDoXC5LGnYT9xRTInWVIJqld
dzfKKCmYHVa5rC4TymhFRtHKYcbmNcVMm3gYVRxW/sf02RSRHY4jEVfj2wAwcjvfOj+OPlpL+/4f
QQlJ/z5FssG8lXlLjN1OIpl+YKBxSC6JYGc/TJf6w0GVMu2+QAQs3TPFvVP+mXvH9M+AjoJCDksi
rzG0hWeehSW5GN3MLdYdeGXTPiftdENWXOVS/g/JhEPSRM0s4k3aqUxF90XXANMPORjHYdWVmY6W
WJdyHxByEZLJMMBb3Nd5jOs3DZalfe2CoE8f+3pFbZz1xN86J1Rv7o4lbtP8ay74eHtqn5Cz99hW
zJkuDbPweh/y2afptl7yNDjmcTJ8jTfzP57O1IKOGN+df5JJk954YcyHwEQvR4oL9TRLA+/jHuff
d5YEJbN4eryemt9DZ6g+VtIIZio2YNmawj6C4IRTyzAOwkb04qshy1S/IUVp+Y5GjB666aaxmB8g
D+b19g8zMu3mFKeJJzUT7NJNpR0e3WLI63hv085l6Jxpn9Ug4Kt4WIx0fDzsytP2yr3ZIUIJjZ8D
vLKrR1MgrhcBPUFVh2MLL+yDDVQMtsprlgZKbDGA6uFnsePan+C0u3KblxGBBwnlDmRRmc8EgLJr
ZgrDZLMwi0dYUWmyDA9B4Tfp+9J3KRRv0CdOsOH4KhT9h0c2z4bZ2BLifUkUv3KCq3RX4nlL3leJ
sx5rZZlxrO1Lt2Jz0hB2Gvt4p2KBoSzMXbnuOidrkuCaux6Vx7kOFLuaI9V5tn+CuZmK8IXGymdX
NVtY4+CtSh1/Pi9DQ+D0zOc74gW2acygqSr9A6F4jvfctLLUz6Fl4v2uyUpwfzkJouchI5ikucM7
TH6rcUyXZJuoCLOIKIW4T67zpOv2UpdjhyU0LwO2uBwLG8wsTxx8kvYrkFxbQNZ2tw2laOFe1dLa
h7Kp9HeXTj0fRuG6lzlJRfmIA66nFRw6SpmdxAQij8L0CMIbYERMfbsoLxD+UeoKcglaqIsCU0c9
xLSt2AiyYd2j+DI+TWD26cNEGQXDngwnkz4y1G3LE6cNChQDP+ElX11P1fvLDspjbMinB+eP8ZCR
GK5fN3ifhKVc3mBbB+UifpG5MhJQ7PAr03pVZ4PZNNhV3FOq2pa5ZKAZs3TJe2kyyCS9jWWVr1+a
6AuC4NgJ1cEnAHlnPFp+ICezTxVMKSBgUbnennAgKLnWMcn4tKJCMe8HUklBzsREzmVsc+Bykiia
8uSVWrfFwy3mZtg3w2ohl0baMPlYMxRwyvN0q8tKCglMgHI3Gd3BJMFqRlOSX6LZ0Ptd+znFngBh
H+rpH50w7sgtKs+NtJJR1Syvw+wSAXZgA7sr7+j6rfPfOqpU+azuGwpPHLxgqScWBE0dn+i6ojns
8Odm9rnpC6d9IdAlieZzvPpB31xwmejqiiGnOnQ03/V/DNCZMCFTAd1pbKeEh3ju9ObO0UT72uv5
z4IhjPsyX+cX5hJJfHS6rvxb5PCnm3UJJz9m7OqMot2sHF/+QUzp+hnwUvzNDBFNbAwiTmxDS+nf
1cEyzP8o792nPJAlAuZUpO4unLAnYXhS3uMyMqM6NCIr6rNIPHloG1v4ODOX8dm4N4wDUNnE3y4z
1Y5kkZkIGUghQMoZg3L1OpAwKK8Ft3D92+DjdFy68rQwDJ280Z/fOWfjxN84URfZj8FYKowNrZLb
HDpGczcM1ZvW69jjR8ShuA5m6w7uSOMTmFtHgErBtmb8P9CzhQJW8hY85XDWYPKHkSueKIw4H+Nn
Lh7nd9MUEN+YfPzLHMZFd4RupjE3RIF5PKMdHe12qj0c7wWer4xhT4mU7rd29XZodPI/40ky72Ow
qDdAHR+wgdhT79fYJqzVaDo4s1M49aq+VIn0XdLO09bby3GspvsSclE9h6xA8z8BbnXwmbfB5D1m
CcOMO8FO0+GuBDIgFaaJWm/4ZIQZhGfysJpLP6qFeXsk0xTWhljXY5oVBOfyx4r6XDVZpoFQ8y7y
f0PmycHZDhVBcGcYnLg6FP6KVytynVRcx7IxTLtbS8ezQeJN1o+iDtv5AXCIEIj5/+nw5GoXTwFo
KAkTjU7XS9qKSH8JbstEUy4y1GSqIgv+DfbduBOIG/laBuQEaQ5NwaicJ5B35bl2mLWu1A66LCVD
2LSNlz1f3JK2WCKgJJDzuqZN620YrDW4F/FrTEjBcjNpPn0GpgG0WcL83q1HEdxRRkXOXQ57N90J
7E8BXGjd1dNnEIZKXJwUKp/xe7h4UG/paIaTxxA//BGpIv6NhQnhfNZ1jcu0T7v6Ech0kVRcflzv
3XCgYKCumTlVknmNyHQhNKaGcY9SzqnS5SfT1QAkV+0S9PukkUt0aJhSB68eoYeYBisMrf0OLkT/
0DQv8y6hC8dAWs32dRFVxQTVm33ClXLQyKun5rW7mTKiJ1aPG7Nv2jyf9yOSY/U0Z3Pq7xxu9OJq
G3szH8zVd4k/55qDIuLAc8Gd91ET2hdVwVTf+4IArruFIxJRqx68S4N3iRKZooNR+RpjkXpmSId7
k4Qmxz8qD6c0oDkT86fBr7Nzw5GHFWmCin/k7inHTcJBlpxuuEuwIV6id3kSEoxiwRRFGJrictaP
wLK1/2cmTyLHKRqw3kdAstoBE5dRI5Ax0WiFIpg4aIBJBiIBtQyZifVUvSwkGavBznu29bKQIHdo
9zkZ54AQ2m01ONqQXCFESn3duf84TxtgJIVprpWXvAReDY4Yx4pp5zINW/fjYvOAsabX/k4W6/Xj
dklU90WGJ8bhMp7a5LbbUIuUh5QJBu4wjK09IGNfmAtLFxu+9MwjKuW4hjKOSG7vCtGd1sVp7DOh
Hbin6K1H+24LkGKSaGQV2Meuq/1/yve7//CAOuExDZP86meUmPuqnKiqHEmPQqtMSwgOPrJRGRdY
qX+FYKvmkFNsneO8JDFaZ6IhcGItfX43UhRuM+s20vUhQ/h9AYOvMGvhGr4nMrDDLQ6j7R74O/wX
rF3yx3W9ujxVfDntoRmGkJkCiYx2E1OkiAs/fDlUIl7L1z5c/m/hohy7ZA4LYHdEHCD50rTy4jJX
ihAr5uKP30TmLeaE+yO8ILH3pdLxcNWdo975i8bgK2/rcfodFoyAGGrrWp7c0gzduWgGlFHV9Xm2
Rz8mDyVPR3wIrsX8jirS1fuedAmQ86Jsp2cPhN2eBKNpokvcps7vebTkb9YfN9FhHcrsZWIU6O/6
gOp63wJCGZ4CrJaMC8Ii2RF/Ckqds1EEemUYHUf+2FqH+ZaHm6qopDVUe4/1C/XvWjaESDHYysYG
Q7QMvcrbOajKQOkpHCUOM9WY6EQUcU7gRlJRFuIe6HmR7J7NYl2/RYlR7W4xzMi/RRn0y9lTRIQ8
OU6e2VsqFAtVQbf7JiakQbkUmKsCYN1UzogCt0nx2VX7qS4FxBkxcOE1R2H8j3mdCP9OJJn+Gka3
rF7RgSE/YuTmK/ogQbHJOntntDJu+Vw5VpyYciZ/GT01l1SQ0IULIyh6jOtx/JzTi1eHaJwJY8Hv
6ZK1TBxwS2AAy6O3zUBsHcEsmKfhZvFnPPq4WhkDZqokbKBeUdi5V3tva1D51Tte0eGYMfS2lFg1
cRqEEvbONSMnpzp3aQhQnPn5Gl5UyuuPDu8mj7ljZLfVC/rKhYmhaaioemL5TOeCNfZcNDtsnbon
fMDOVw8a02w7Ir9cMKkkfp1px/rDwAPzTxCeekse6Cw9Kiyqc0jrrM2OxZg457ZvVHDPyBI/5Vjf
Yl5orYq3mpEPGX90C96W0NXkaBEYGe+HjYvjW7Cy8EHJWD06LERutqz/kn9nHhw0WcPS8IgpHosi
ENgFS0pahNuNW0o3YiIC/LGrZVyzt9ikY3yiEkAYNXPtgJghH7HLal6HF04D4N21LMZlR3bRCluJ
8uynR6vVepVx2D/pbA6aY3RTxCNEm/gYLf1IQmuKF6C861jRFfgHyRdVn5BBcppkei13r8QYxsMl
6Rm7uB9uL0Kt9pgJC1gAnCXt9zxFbnVfj9h1j1RtrWbhapT9tShsd9nkJv1RzxXpdj5Gg18FHDhC
KT3zR0SOB60f5RM7MSLuCXFaCBHWP6bBOnOk0lzlLq9CjkLG8ljA8zryeMWonYO7nNxCZ78y6LI/
RJ8g6v+2qpNYp52sLRoCBvvMYQ0qNtwkB5JQyZ3D/xm3byhvPTdNrDgyQEM4wctnd7ItcqZblG4O
O9QV2WIt3HKetx/NmK6nbnSn/FfjrBkxih6BSOZQDlYOOCsgc3fTHBFAMXqu628836RXEnUn1CQF
JnIAu0UzEkIQI5S4vG9Q1wPbk3CY1pijub5WcPpFT7/KxW0WUoG6pd75BISle3R/UnqH2SMuhyfk
4mC/HE6GXZXXxJbxsotba1ggU5ipdF9YPWLqv4tSCgUhS3pCewiXcf1PoClWHuw9WqPu7A0x0VJa
dumXQnlJ94zkmIKXTe9Np77V2MKTLJ8uGM/C5E9iiXn4xRlvi3tCJobdksKJo6ZMy7nko2Qw0ibk
Q8NnlH+9OmLRNLdoaNEf1PxID7/It4aMuX/jhN8PH3LfEDfgsb9wU45yrNudKmcYYhxBNr8PQD8Z
51QzER9eC59z9giRJ+ekbG1znOt0CQ+2Gxr7WnosCEVITZP+osgxLQCEvEwdk6ENcdb2jHU31QpC
yyyYvNeakSSKxqmfiwX+KiFMIgedrw4AO3Sb8bw0zxGSeL8rtVf3h6XwJgJQmpq7M0/SeXpY+qq/
9DzreMviVRzb/rY8b5LKec5UJZJ95YfT/apWF+575c2+ayBJcUh3ajpXPtb7Xe5NNcC/LcFAs8xF
At2w66sHLNTxeL9gOqeDWsVwL3OFZ04aCra3gQjS4ugZGplNbMMq/G41DqtNzcD/L1ds/pSMOO6P
WMWqZzGLgNyDm1jE3HlYBmAmNHixIbcDbWp2l/A7jm4OFZ4VOndchaSrKJylO+uq4mkgkID/35j8
c2R53LzDR+E238zZJ38DCLheSTHS+ZbpUQxfyuSOHK4mBBlPYy8A4tVYig4uBux+m1gjvqNR6AW0
wqWFmyoi3LDZ69+LNRi0bvEMEEkRO9vYGIeZvC3plV22Ar4vXawJ/XB9WCtSi+fviMlq+dhUTj5h
URaEGXJktoN+6obBw+SOz6g6Fk5EHTsJg/2ARV4SHWFltciwjNgGlpTgaOx1bXkcOr+fHhSV7nRS
9Zz/NhWHMJNVZ3nLrZn9/WRX4ptK1Du1YyBETUN6tqO2DRtgTgSFG6b1RTW9pXkZRofWn+fpMFez
+lOkFNq3pli/yEqEPW5QgbmO/sEnSQdsdsY7vAafDVB/s69r69ebpah4iIOGi39DJz//SvM+lrtG
Sr/aEfJg0Lp6LznKtSsxAPblfZvb5l0TMQEUKWX9DViYN3c92bcfrkduzh1xRf4zOn/zQaTOiprn
5eMlScyEoxwQB+5ttTPmyWxZ/eYKn5b8h6Kax+eAmLf5Al/XqWsahfI8jT0MKQER6TtGa0LUTYON
GvKq6u01aHMs9WWNBFcYU/l7RIVpD1Jo8YOpqWGkw9Kn/hbTlQHzElyU/hcZ09r5ENDPm0PVhygP
mUf+9qFnQUG2JXQivdQZIMsOX2I9n2rjR2cCEfWRyEKN2WAuUkjtmeLkipeydfZlZwUu7p7dFZjf
gNA98Npj6RdsytGwdnR+q605e+rYiQ4Eka3vblZ54qHoEKtukecDHkSSAXiBM+KxZ11+ob86PLK2
N2l8baIqEy9IU6hHyRIO+uJEyh/Pi8qb4VACfotNJdL0e1EZ0RMNFR9hu4uH/Soal9w54Yak+00l
gsibqpMQ0V0scfgLc3mVcHuMABNOTUrzbpxiN+tAxi0cU+TbGN1wjaVsd31GkjYh47mevlwvpd3Y
ZGOh3w07wJj9unrYTVrE5Utzg4M3WqZCPdYDO6OOumE54RkLqLBHXTkxsWBGAe6sqqafHUdmF9sV
0I7Gkf1Ww/1kEin/jCQcPM6arvs+G4iIBTmFy2cQExALvtFjFcl7JvwEiZFrZxTUhMPhP1scj7tu
XavnOoibPxl/4+tY0ezg6eeDZGhpzBtxoHpg4Nis6L+xJWSfjHPkgT6E//Z7GTMKz/ta7sp4TfpT
ZGG2ONbq1L0McRpfltH6H2FStlfWFROk44K0fRSORwJXEHskkzLEXF4t5RN5LxjKxweoSTTzfIHg
xIQ+ud3OLYSMf9aZ7RgXtg0mxbEc6cnpMpkN73ry6jANC1IQiUHhuKk0VoytF5DluomJv3lHu+UL
rqzMOBcKs+gD1WWT7OrQ+AQZd6L6NYbR/E5sOTPEnoi3D1iJrL5nlZ0Yv6I8ZjmeY4rhwMyica4E
LocP0kduQKksqz/WyeV9MTRD9d/o+c7AThbG0hT6CemmLHVAtKIeJqzSGKtRuOZgVb9mrHBYV1q+
txOofvWu/8fRmSxHimxB9Iswg4Bg2CY5p4bULPUGk0pVzFNAEMDXv5Nv11bW3SplMsT1636ckoTy
bRzX/j5k+1t/h9KT/RU/lPk3Qukr4spZnf84TXXNGSa1qvFCmPKnk1Z5rQe7xKDnC0hyS2lHGNWd
cTH3Qtpkh5hoUE7GyFbqKcoky8aAb/tumYr8j3YT2/qxicYSUAzUEuy5LBJmGcavauuIgBwQK0Lv
OA9IASfoNpP3tLIg7j+ZNOb2H1QmOV8qOxPhU0BM3t1i4J/Ls9PW4+/kRHZ30Caq2gv9kBWbnFyy
nWwMtrNNH/bzhHa3DPbWCB9xaTNKa+1fqs6royv+WzHzExv7b1vmkXcWMhQ2P3bSz+1YJeY85PUU
kIBwnAG8K97cK6NJlbx2xBGSeMKmPu8UNNjnGTdgy8ZBD6eoQHJ/aeHxUq3hankomwH8N8d7AEuk
EQqMEV+41Hx5HwLazTdTiN+TEjE6Fo5lhPGSoF0RlfvBDvGERWxnYg8s9A7GOA2cOvcs96oMpYJ3
ySLwhwIC1HPMEgxVsTbR/JQtKR1enNzHKV7cXH6Vs3LaNG5TpzabuktqnNkSzB0WlT4j2MOZAAKi
Sty/XoticG9jvPoAsFfYh4S9RAA0SIzP0vCO2vpZK1a6RLpi/JWw0Nj0RQgzoGj5sHc1XzPemiF3
UFbWoZXbvGDLfJf16HpC1tr7DMZeuz8hh8/TQB8CKiClNOUf11vcIeac05Iq4IbADZGM0RmlwWGq
X+vuLh9pmNySgkvAqrYMVXFGrwNbzWJQX43nZKzrWyUlweGg/4nKBiaEWj2Vs5Aa8fpD711/rcRl
gIAC7f2uNeGM+9TohR1XWCasAFommn7QgkmNSbjdUODBaQ3wLqaBSVUWQ2szAaODuhlwLVVeNTxS
rYJew942DWJZmgVw6UCto8J2rgAjldSKMGW1N8YgXqgjbogETUxjmHBycHtsnjp/iKmqbXoEHEe8
cWD3Ae+7DSCxsgTE4mZSbwRvpX/OgqkcGK5q/9APkNJRwUTBkzhBptvYUzJeCXlqXt68HzM4kaF5
NbhM/kB4B84Q5ZNZmBxscGC2O+F0loucjw5n43mDDEO4swfT9DTgXsUqWIFM2fQYhtwtCEj9lZUr
CNES4YpmFa/2i/t8DSBlBAQTcPXKqf1cB/btN3dRAEvK1M/VuugDVwz8HRAH1lOPZSbhvFb0ZzeK
bFKU0hLAgUvt/XMjG1XDct1qny+l9YO9HpOXVFHxqOeOZ1wCuatD/K3UO0YLeLBBQfUYUqgY4rK7
ScYOMYdbOgRc6DZyZ/Heicx+GeqpbXbso/Ffl7oWfBPTNP+ik9RvktyfhMDFpmYjaldTuINwAoMK
0F4N9c2XpFLr9ast++pn9UUGPJQdDd14tUeILRnHBOGu9H0EdKTVjeOG9XNmAkxIlcFvy682+X8W
EKpHvjR/iTOgHT2xtzy39nbmd9SBLzevbV1m3bWvO5GS58zRG3C6jdSXLBHcXQpi1yp2mM5edeP3
V96cFTxCyQOd+GJDj72P6fq9tg2e+Tlr1w9d+3gAuTPrLA4mP3zMnYlzAoO2JgcprKXaaEfgEQWs
2YLXScjU7ROCLmFMhXPtMCAUCOB4/7v3aRDrN8iAIiCfiXk6ZV8IS15O2b/beAyhfrXnlyAoJfQ2
vFac4vi8ObKlSJ9LQ6uH12qLWNtCLNmmQOOxF8EMWhc8b7i5uS0PtMw0EZFaRZa9QAzJ44L7+QTO
LuzPS8U2eJOBsSAem4XYWw0xly8jSoMHHuLr01QK1kpVk4R/KrKzIEt8cr77oPPDd2ep0c0rjrDP
SJz8I0bWW19NPnBjWqPugt3aBqA9BiB7606ESfWUp0723ekbaJCAnbVveO1kseoGri7gN8mD79TE
hzk8sCvkg+BlvCQRZ+kgjeY2nvPbJFI3DYekSvhtumsnd0DzK/IeLwVVYW+YS1m2E4G5Ja+XSJ0m
B2fIdsRn8NdarfQvxT9KsMgPxSnx6/Vj4jmo42iogs95tlTGzinP38gCm8+qliIk9eXpxxA2kh23
rgG1N9m8tTY5k+xLNDgJ+q2vQQWxwWbmdwsc6+gQuBCJUZXyXARD+xEtiFrnhA/vDy5CsCGw45jw
1zILzgEu1nxftcAQ8ACMetfoJHj05WLp3SDr7E7UM49kd06KDDSH7B6noQn/LDm3y55ARmRtqEwS
9Q5WJPvFiS0FMjTLX9oHfMbQtZvZOWk5G3crpYKpyi7K+XWywMHQ581yOOZ6SJ7K2oWCMbnYLrcz
qOI2btvRAKFSue1VG+MKwcViG+9MwMz6jlCfIo7gc/nAZ8naeqAB8sTmi9+A/E+q9w3lTYxYw9xd
2gK5extG7sKfoPS/uAm7tH7DhsfhyAiXn2w7uWnyKeg/tXPnZlYCN6EDsfVRYI4K9uEAm58oEJKJ
ulYKZ+yGAiXu3mbtYUywZE7DSyrz8McWCs+326r+n5kwHtAI0pqRns8Rjuef1QGE4m1qp1Phww0G
gBmNy6rF84ZC7WLkx9DRiIMB5a0/KyIAiuwxhQozICKMS9TJJPkRa3WHlICHYRopfrU56X4GckGi
3y8MkfIIHZWNJgs1cMMssnnl9Fk4H1k3E7dqJ7UcC3oQOBoGZUZXV0QEW2Zu/50rX4W7MHMqmMq9
n/10PJi+A6jBrO3HNsoYsDNUu7kZCagq5MnfKOr8NYnrrA/G9rwq1w1P6MAd8doIVy0fv5JKe3cT
L6L6L208C0PtOIjm1gClbpMM1LaaiaKLdPRf4OAX26LJppJ4GRuZg+ia7M6tcR3Ht8McgP5qJoi2
kAEgwFmpoYjXHMlBV5lDxN9NzDcraQ/ngdM1890CzzyCFC+okufDbWuDawhE69Q/S0IWvU+yJ6Da
I+fkTm45RaI56VWpt9Iu+O9on1i6x3xGD9kElRV+RwkQK05lRAw2DZbr8mrScqCApUzKnwDFNTrq
YAzfLBWaBbuhT5rGrVv9r188MmI1sEi+GAsSL6XQDPU7sHyhOkRD377iWlRyozn2QqlogppqnFTN
wdtIoeGrAdWNl8CNhuXozC4Y65QOneUQkaPudrJt7Ho7BqP7wMpHjzwKkF3DDXmtsr8YR+XjT8qW
1f5rYVcXvCWGCrwOOe+DcWf/mhoE148uN2ydC9fuzKktw5r8N6S0torRsvLqW7PuHIdtkxEv5kyx
pKRvNw55P+uO2YabC5N08DvpEeIfv4pV3eXN6kZwWAbJNjkpenkZQhyYdCjlSbEZPdnRJAXEaRCP
VN1zDOzg/a/wNzMfI5xblgUOEGOWmK1bBosLZ0g97zq7ShSQblG65pFHS1b/ley51dFDt6XnQyPq
b4AGpc0LcfZ2eXYKf3lecLCiVM1TyA3e+sAKuVZzAwR+LcTLivie8RqPpuwNlHM0f2RDMbV3tjMK
cZ/R/M3jrig82AnEBZKLxspHm1FNHG4X+KSTCBuX/98/FeoRIaEAcNQVpdp2NHdzVJUsWDZI7cnw
GGq1LMe+atWF1zuvGvJ2ZvpFEaPNSGI/wnOwJPjLdCPUW7oUTXBvShnJra35G39Uumi9T0KkTvAU
gHLl08aRjOoKGAvvEEVY+pGHeMvRmogn3lCaLuy90To9cBrPg7gygj07l59uNzVG3uEbSzg6KFgj
LI/JYtDuYPTAjEyreerfCEvBvUhDlegHNgKt3LUaif1Lr9wjFd8Z2N49loYqfwIvxoLE83X1jmey
9zdjv5jHbDAAjZp1WnGIgm8Njm4lu/nCTrcX7+3QrdPWksqnmIS1NxFuk9hO8Y9dweyeFJGL8TrQ
d9e9t67PZYKUguohMWRz0f8a1rrYiYIaN8bqDAHwUI3VnlZMg1uHoaShTQH2vEdyhu1Rd2EgZeyq
Mfp4T5RRqPDNhc1F5hUnRvIVCj+zn0EZTtC+GHLPMGhU8KAxoAx3FdvaA9JH02DCx7twIlkCs2d1
ECV/YG9Kljn4noV1yifLL145MOKTh8NfKXuK64Icy2sYqMZ7JQPmQg9EhiPBhw/Sigd4FQQGSSDb
oM1BBrzmWCH8A8d9+4gzogpf2f1RweVgq8y3nb+Iq6nzbDlKWAd3xqTOaxKVBBAtwgK7Ujf5WTY2
0hsrixSaSl5zWIpGLv14dqfqbu5vgRJfszp7qi1W6eeR+A15XtIiRA2mBRgPrsLROq1YIjNSjDYo
wkd3SCmKdNfBLA9skXBqUuidu/+VDkvbL+6pQu7weeL4YFKRvMJ1hYXzP4ri8V0GKApUt1WBmmo6
6hcECw65AaGITeDxbj4LNK7+vmlZ3hMMS8b7PrIiDIE2zL2AQFpEPFWxvSeAAEU6i1gHj3il7l03
6l/xODXfzLBB8h3xa37rYEDQLIUoWaTka/OPmJsKkcsqwQppnucsO81tmj1hwl7T7QjtYIg1VFdg
JWwP7hF7FXs5vqW8intR3B5HkjBX3Fu12MrC6+vnZOkGZ++tNXPqOGNdhZZi1oW6Lzt4lGEtw30Z
NQgFMsxYRDTTDL0jqfto67FT4qrLc9NuJ97H1rtE0fU/x9F6SwnckKVorYMX8KrwGj7hDT0QIryn
0GWdUG7clte6Il8kOLJGnVU8tN68EjIey5ztpOpZqIVLMN+NglZqjmmQy+nciGrdraQXwva+rWz1
tvSqu9HbVse+FojF1r2CiO5dAeWX3kFzt6tDuHDHvbeC49VmdMDLwZiLpvJQjDL6yrIw+BviIOZA
sEbTb1n7Nd0Og+4gEMBvf1GjX9O1SdVOgxunmd+Za7F0LPnk3HkNTikKvUzGYaQnqXVMEDBJXtNO
kp2cTsISwiBBinTNKVs45CQwvgN8C8vLDWmwPEZ4TiGb9ux0d/WSp3nsYywsDpXd5zR71v2fKqrs
ljnb6vBNWpFxjymHtXYn8fjf9RFb/S3Cum3QFDthIKqS9sbmXFaP09JLFkiAUex3ADhA6IBTMwJO
QS3Wu3ktYPM6btTpY+0PXb9fbDR3vDm9qGJKXh3rWJLdZkB3C5BcQAdGP6aJ0UYQDAg5bRO2YE+S
cyQAUVDHw4B3Vedch4vVLB/e/8tlin7OSdoKWt7ucdjPJ05CXnYvRNt9MpnWw0E4voSBMGh47KnI
hi0prY5QDsC0ves3Zm8FdIJsqM5d5n09RCo/1TmWd8AnToTgyU2DyOebYD4krJfqB4cTwnqR0p/k
bkwCcav1yKeiPQqZeddET173JXNao+kKWQZ9YJkbvCd0hgFfq1h3ksoOYbDBkaedIBfWaBiXhABp
EHCi8vze57gdZanfPXmLU508v8otqLbusO4dxLHu6k/r8DfC9soGY1lCp74Mbbpstbihr1GX1u1k
odVfEGvZblgt+YbrBI2fnhvyFtdKhF2+dzhw3IpL2sL77PHMEz6fc+vbcW3ibSx6vHqHGU+7eTzB
mqiObB/W51WkfTQfBGkkjwM2EX3B12FcFvPualkXHE3YQ+o64aiZ+hZrWBB6pD5VWex5nFhXDIyd
E7cjSeuIMr/Sr3eh7wVT3GRsFDBXK5fJVDf6v2UIy4uc8WnFEdJ7dPC16/fAkkD5+BwlA0648VL7
ijc4aYDgxDDtzFj7fV4EpoFOzEZkBTuwss70swjra+PPpfWRYUG8KF0Fc+yDx1n2FAfSe9pb2AY4
UXIShmO0jh8rmaB6jxMPIvKoIRJhH26feMDZLzSCJOuT6gMOeKw224az0kzkrOpuyGUpawsQQjV+
0lOHp8PBRoQhtkneEoxw/7FLFAXf4YyAgTdKuMe2DutHp/fa77a5wULWHkRyH0WLe1dYAy//cRUz
GKWitS915yz6p7bzqHuyyS/uOTB3zPSL9JtXp6tleg7Yc1dnG6Hs4OWuwlExN8J+6tgeYvlwfPHt
ObcrJQ+FoeavlS3YEzck5bnAOjQ7nyaShJOJdtC+HSfttmuXAvWmF5KuIFYIbvayzFPibWvcEMF2
5lsodzd0qscjnubOPRPU0vCmH1XxrBZ7sg+epm9zAwEDkYW1GgiNSdjkdJDMtZUc2CX77A2HNAnk
IZk6fduFDO767GVq/qXYwv/bcyS6AwKZ4U8QlFUfBhVM6xteck4b0pmTX6W7dLxXjpVceeAAxMK3
PEIRcyG1btyRU/7p/5Ugn7ZZeEFigVeJ+DMGKVXPdk+eZAeYnCdn3WWN9W0NBHuFUGX4WGa5fCfr
0dpf7Fab8Nk0PCdxUvIqtOlNXjsZO9Jexy93nmyLpdHN+bDNsj5MMIOQXN4YJgAM8nXWqVMOhzd4
xaLjQcJiJ2p9DavnXSBbLQpeYOGQlopKDXRcSxdcus0fQE+VZHWAVjVn4wSp2RL0r+5w+g3pPV9R
9UWis6RjY+iCiXaHdrjXAwRPkLbdNF1GJ6NDbpO5dcoNzVfefKfoQv6n1w2DYHBoShq5kFyxqjMT
8bVovl9OeBC0PJ49NbXbITiBO7J/UGJGciz/gTqIQp4BdjKdlArn5lgF2HX3HlxOdc444cmj7crk
vmKSXK9et+L5GIJ1TukHyUR6YgrGjL2x2VMm5/5WvX3FUrCuBzuXnf2oXZjjNWw0nABODcZKVb3m
lNrw2xJ/LCMhnxq3VOdbRnbdtbcFAbAM9+rDrforFrS07YRJCrMwNeJbAoDOmVSwzw6uDdN0eC0n
M0x/RqsemhHflwqW5zbMKmunzHy70IXwGR04Sb2moqQIemO4kL5ZyFni62ZwcHfADxP36phcR6eo
Y1i7r+vAP680Wcg7zJWogiG3+PiBiKmrQ1S51hxnQzTCgVnUsAWdUo27AdGCt2l4S8HGle/58/eS
JAM4Yi7feVzjKFjNmwW3232UULzYPlMnjdy/7RaLDPxtZrvH1K76B7REf9i3DBWYMLKKwR0/Yzl/
j0ujERZVZ/4UpkuWq5zmnuz2OEX05PC8JdkmjZyeUFIcB/vdzV7FKyd7AHkZ1ChwCGrs8unQioVc
TPNEP+dQHbKJfWJsqAw52/XoU29hRp6iZV507RZaX/B4S+QyLlHH6G382amta0MF2bKR7kCzytiD
W9zbhjQ4wC/637dGWukLlR/COWPwDfg1dDrVewVF4HXu4enHANMD6lLmKWP7Nk9BGuzr3LHOFCdh
WREFPJ4dm1BOU90YOn1c0ORJCKfA2UQfR1E49QI0OLXVdgWg4+9dVLcfOyqWhHVENDwgB928mcBn
tylh7JVPYwbPR+6DE4jJNDQwBIu62SPAsGEHKn4DnQlqI+NgBC3u9t2sKJ5xO7NF1G2vaUEcO+6T
gUkBg7uiBuFWCLw48OXicLQmm63eKP8EXa3bt5Hgt3hk42uLuPdTB+cnfMJ7bIflRQFXXOO1IFdG
KVpdmDO9esVfByhQuk8hnV3cQOUp2AO3n9+aordwN4+RdSkoUfLvcttdo3Oey7aCj+XNfyPR6fyD
R9n0VEd50J5Z1RKV3QQsyJ6KyJlvYGLboCSGExZSlw5LesvnjuHCsDFFiHI45jh6JEBLbfW4S9qs
/SSDuFaPfJtNcyZCRy/bkkM/O7FDJFPAZe4uvwVHHt4Z2h/qmFifoJhAIGFvedGwnre6xNDK3dBA
xIE6qSRlIyW29o74fbhxNNGqEE6ujcc2b88V7GgQPqhhx6CncQJ0IGLWVmOFKncrC9PnFWNgcGRL
6M9v1RiQQRkANxyVp8o0xsl+q5yk96Z9HlPsO35kauslnElW8nhj2XdFPvCerBZd4JryCdGOniVI
PB751UNgFXhUOzZe321Nw/CmM0pjLQi8+WAtdX7P2l54h4InyNnYs8lwhsDefIg8qSlK4QFcuERf
Zdg8kpu1Dz4lNhAq20YN+yXDz//CujJ9pTe16Y5NGVoHU4+Uj9h9qM5liN74NLPuLL5JyWuwdqG/
5r+qsOg/BQPKhc+C1O0/Jhwb58DqbSoyZ0LrU2+l9Z1ZCeVuZlW6YI0DcvVxSOi5Oy8aGDZbsEhW
+0BbM6CdhbYG/sQA1nH4PbcWlQ6oEhPbNGpUZPo4Qbybz5B84K9nwD3/wTrUWJnY6z3z/Wf8fmGQ
B7vShUSAnWCs9EdVJS1x6oCdoaCSGAWSfUuz43WovMPIW4dgDj1OzkYtFdxRkhb6rm7YVV1tRQgK
7YL4MAWoebszfQFmkAXIyvHXrkZKLM2QrLvEGEi5EkkmuPOAl16zicq6uMuy8mOsw8Ldh7TM55Sp
r/JxaZwx2RFT6iVhxRtze2WV84SHhgUHmq6LG6Jwov/IIMG7gSMy9g8toniwwVbT/QeCLkN5Sm5g
w4KjHIuxiQCN5VcF/XwFI95GLlASniJjYyUUdtE9tZzK7CODgviQg3ZYDxehOVI32qzX2cachQUN
KzZh6tW+FB3gbfo1ujB6zoI6VLtVFApZeBT/UEQN4x1X3i9HanPGJ4oB2eZZDBllUva/m/eZwkla
FN1z73f6KQRnJGPLMrh/MKcRG13o+brBsHsqiXRZ/TpDjoE95mQX7iG2eMmrDofs7EC0rP4SX3LB
zZF+FRj58qGHP2hQ5unndmd7OmjwE/O7xzBr/yaO2+fHELsToiD5ZQj5TvM6JRL7zOrlKfHftKf6
c8u6bBov8DBCQPKkiXYr8H2SCo23vAxwQDhpRdkSfVH9FwDYEXAAAZs02QOdCgu39OLiPcqsQORQ
Kuec4sUcK+klCfPi3xD4WMx8wGcjokxYOGQUbtWaZNc5FAWTSl9mtU53ZmFZHLd00CaxPdYLDYnk
zB4F75rhVTZh0m6GfmzyQzNZHkSIaE4fWKnxiwul6dJrnFZcohEE4EYlK5EBg4GV5xRelx9O2Drl
B3vo7hulqTw8BhWwj6MerP7QeoT0D7QS3E6GFov2U1/35XFWGPzjpQpWMn2poy5wZOcfzD11RV8E
J62HJddess2GNgRVrLG/b2EfStKoPqwDPPY0NhxtFS4p7QNeQhWfU5fJP+QiHhmgQnS0ZWK2vrFF
Mz1mrQ25MfE8Xb+XS7KyZpIk11+Y6yGlWgEjY4xDAuuYKAJxpDFPL3t/bf3ubKpMtncc9Wb+RWHJ
f9D1RoBVgwgOSRSG4L38GvttSpq+P1EfSGhugTWWIKXzgb2HY+6+QlkP2RD7xKrA0qQC3EaBT3Al
hKGOqBvd+JmGXRD4F5dj8vLVrLOyTjPNm/eDX5NEQmn03n1MLH6cDx7NWiAMVjoXjNUOOAD9rMMT
SPUlHAA7Uv6B+yfzDiYqofYVeHZeB0Ub2RHieQaPThVa3JoMPACw9oCgx6KOoV1MJaOhE+nSIusw
61tqyA53nuqXR0hCwsMcGw23uYs09U4UbjLtQRxQC4MBHwx3O9mh2tAlC4KUF66+o73yxrPCnMts
sswWjCa3WLesEbTaRmZRH5OhwokzDH60HQoW4YMwEPoNdO5IzSRjwJdWLcvkDi8xj3VIazY+flqq
NgnjTESj8jA+Q7SiioKZ1CK1ZovurAbjqzubYfgGVxwDc3Dspn/gNs3Wy1JO3n+FVTK1U8oxrHdl
sdjfAz1EXZysXfA2mLJhKifKTxEpT9IsJj5dLyz4GQd2IBv9N4bjlNqEwrV6CkXs6GEu7TG8HyrD
CxpqhvOWmT56QKkuc955WYVO3hhz14iWLiiwKdNerZDR7kuT54+zY8I07ltFtZ5V6CY78+IpH2vG
VpofnSAK72dkVpLa7uj+K4BvHJxgKbHrg4zco4JY/hkA5szDQiTZlZeZbTYssn1nZ9YcC2bWwpoT
OGG4nPre+iTNL/6EVU+bJkHl/kD7T/W3E1b704x0pWFCShDimWSLogEymzpXSV0lgCFPWDgx4esx
DIsFlSIenBEbeuIMrHUTd6SotUW9vZvobhMxNzUQqLFbcfNtAi7eZZuui9Rx5wHt2TrGKvctQp4b
113uek9s0Uu9m2luuq3gJ5Xs1hWyN2ZVq+7uOTRQ8reZKDB84YJpKDpEvWSKcpPx3S9bjmJ2QYsU
ie8I06gzcVPsmhBP+hb4AUHxgZDvX09M4VvJsZYy5jnrfuBK4hYRs1n0fWda0X+4bPx2gaq0RDK0
WJyAbB8/aPCAz+RjZXy0uwzTOtXMOHYga33UVD9FMckLwBE5T3vJpmoaz7IOZ3tbCpcFSUlt83Xx
ELuPQzHO48kMefgM0QDdwEO1iPirawqGcz5z6pWg6Wzoo2DKb6KEykQCoVl4DHsZYOURhC5PNIPj
RYZBJmj2ozHy3WWGsH6wGCdguYxS97M0afrkTgGWanS7T4w+GH6kJFW5Q3nKWLKnldcMH7JNovXE
tKYnyKJtBEk9TFb7qPik0b8p/7Nv0CRZPVO8sTwuOmBMycibnYi4pfW+oyCzfWDVFV4A70ouOp/M
DsSFFsz0Sk1NdakhszmHRP0fxz6HIWDSFvb9SCXWLloTTx1yD6rHf5j0xaOZORRuHRowdCwU4C5O
XwusjRgDSEY3yWy6oFKbDuBAeSAmOJGDlJYjeHl5TkXtgLs+TcINUH9LMzzV4NtQjEdJhOtd2tQA
fNcQKvxLBFYWllgUpNrprmHmYane8tOaxeJ1XTpIF2ieLstQXogGBFJY0XS8ghngws4ntH0Hc80L
RAXT7s1swicOll67G9e5uXRDZU9b6XhE19uVA8knY1GWHtgaTEjhpRjOkQs0b8thw4121egPb82i
GQ+6zDZAh5ZcHtsAzXknlPB/yQhrHo6a18emaxrxUUwivICeLD7Dlk6LDY0smno85fffrbKZqPuW
dgWab3HMbCQLMiYcZ5RXvJwJ5XhBO4S7UQ1NS+axLU8uJht9XNp29g7IMxQFcYRkcTuXGK0PFDS0
XyuVndanbS9Uq1tA8SrmmWQ6UlY6XyMyvhgsrL5svy0Ll24cQT3gDOu3WAnp3LOQPjJVu/9BsV3L
00h/wP0AX2XeiGQZ/wG1KPzt6rmkZVefQPeR2gnj71DP2vo8mfWWXIC/hGuV0reI9R45drxucvgT
OKn8ybqepHdojdVKuo6252xqiEoQUq2yU9Y41hPhdkUmLcRycUcdQ2JfOJ8nOKEX0Rt5aOnMSk90
8lZb+JLYNWLAR0l9jCJ4JBfjLlBowBFgZPMQtGMmmjq7sLldnpKci/RImnPh3exnFHwqySsUSx8Y
nT0ne+xxa2B6+UIqjpbOOtWZuyN9RIoAo6oxkDE8ipcAqzG55AP6OQB0V2f5Lhgrn7IMMEXLfBsh
iJdAKVHrZzRpI0+WXQ35n7IsSShatRJ0rUDfx8u34fy4crLnvwOzt2fDWipnW5DncHe0QlG357ce
A23NOLfCgSAdSFEU/+MtuSoc+/Ahxh2n/eivxkY64j7uWQS1HuPCRjL2o+OoKv1I3QZJ89FnDZO8
UA9HzBJGY0Ruk5sEI8xlqYbO/cspZC32Ey+ovy3VN1/dSGf2KQp7YFaGBc2KsUGwNeEKbKIz6Qp1
poQgTc5dPzgvY+TX3JZsK5x9RZzKnKmKmP9Rwmz/aVCBqtsNU4U7sjc+S9Ax7NatsgFy4yW0hgdo
bcZ6ExNJqGTJURnQG0uXQTnNsWyhjpX6tYYvY98nKVr2b1fSDnBYsCTymUKx8j65AMlexAOgp+SY
8eWLH+WPtnNactx86FvdbFXHIHDtkuyq8P4xRPf492e+onMy+xTHbi3HG/FHeqhwv5YsOICH3Ht0
IySDsk8AsMgTW1h5k6OzcFGeE8KuJDoE5lGeSAL4fCJtrwsobsVtHfsJUq7eihlYLOQUMCds4lxL
8hrTLi8hO8ks/74DyWxdeOdl6y6NYK3voG74/rPj9OydSbtM+d6e+Bs/4I7GnGUGqU6+ZfnuaQ1k
hSbn+SS1JkBdLrOMJft92gfVA9dpQqHZhEoP9LiEPxOMtb/LgWN5fKQsk+eznWHCQyOWYfBWE3GA
E1epwGVB3OpPO+/Ed493JnodCCfCwWdBeI7MoCnX9Yvgmee8RaHZYpBaQRM0d1Pn0bvZrzVWfQA2
0XFgSUWNvTO6Fw02eD5wxGTY7qwwRF0k1lJvZTh7co/FIKg+3ILVxykzHMlfowyCyUaPaebf0yyB
CRqitJ/jLihqP3tBkpUM7yVCgX8Ye6DdSLv1jUsRSfCskNIDdjfbNbWYWTdBT4npCwYrr35YwVTl
e5S05KdpYZQSWcSOtq9HKjHj2jEspBiRqO2bg27+tNZp/swC41vHTnaBd4+mRpQPK2W5VTBKfhvd
edgZ/cIF5zo4jrWpiXYbvIU+QtOKV6HcLJNNZL7Qeja7mp6biBorr2uOXrtG4Q5EJ/0soLk6guET
VUjnVJfhK2213QOCGguT6ObG3wJQHyq6gHBa897p3K+goLV9wyF6ARSaSAyMK/EDmsk8m86d0E7k
fxwpeM4MDeezg1iQMTYJNgcMtxWdRoc68uiaJ/UJ/1SM0lxxZIfVW4CYd+sR1uLCr7W4PC8xkWzL
JAK76bqAe6OqW6qviPT6Anagyyfr2R8azC+5hrxC9BcXxzsUXx++IHEefPgG04C/U7oY8ktCsTPW
XMvLysvSGa/5Wn3K+775S6nku5OiD5zvZmCjeiSinkb71h3chzFkqiEHnqVWPJWQLs68hVaQlBwM
+ZmO31jPBQArRJu169fxxbR2W+IJ12AIzhpomb/XEmHszL5CL9+ZKKfPG94U/oxZJ9TIJLH/x9GZ
LTeKbFH0i4hIIEngVWi0JNvl2fVClIdmHpIpga+/S/eto7vdXZYg8wx7r72F3ZBKBjl2laQnrNW+
BRa49dGGDskkzlYnVBDNRBC2F1VOxCuGDOYYK2cyqQ0JaJyosC3A0aWRXXTB/W0Xg5YpzypwkyOU
rw1yX/+cO3FCkDiYG8TwRIjTKSORgvp662maafXzwxxUudwRgcMrpXrIL+AUGzU9M30OAA4tISc+
TBPLRHOCkg0FbCi525ohib/xtUzhn7bjPr4U86r4fBQ/Gz7kalz6FwLxuvyPQrVz0+yMdkwtQVgO
lmZWnKcaGBZ8PnB9GO7zJVNgrnAq7/05dGgiINm3iP2yOD40KoXYv7FnPieMFRlo1XVbzW7nkBLu
y/qd9nf+I5Rb29BpM9wJjM3UnWC9ZNHaWxK5vF84z0RwrwR2mRKaxw4/Y8XDzmGLzSZrm8OotPZf
ZZjRa7KiXPd4s/E+aEBAA2Jw9jfspAy7/cx3/FcOXTTi2IkVb1nnj2Qigt/620++85PCmENtxAEK
nDRkiIT4Qoj3lHEsuZToCMknF633d84KoqspUIiHp/ckbTJuSeMBeMIl+og2iDgv167dB70oj1g1
GORUkU3vc7ptdAzWBy96BwTCKcJM7BbETrfkE+WJwwq19YX1M9uVGqV1cVAMOhCHJf/PRYbkh1dk
7BxxJ2cnzGHSKyKau4r6hrXhQEzp0M3yL9oUECbs0TAeLgHTevCr2ivPYdV5e5fRBdkuulTzloLS
4bwlkA69ucpnVnHjiPyLU6mF1o5ngpE0l3YcgdpIfrNBaFIXmwnedLi6P2NGFF9SxtkXnRGsC5SJ
PyBlCXiwMY6f3IoB2oYU8tz64nRG4B/3PIQ7SkfyP0vL9hGalSAJL00jgdRJd9T1MZvRyiKNg15+
n9KE/62YYOVbv/PzF9HKh3mcw/Khy2fn4vtjMUdL57kExSw+bMdwsYR71GqW8D9YEjIphwWRcUSg
4Hymex/Uno3rmkFZHyl+ynLJqU+rnqoL9N9qajyZFV0l6CJkgXDt6+KP3zpTdh2dtfi210bau6rC
8DDym1k0QxFd/fpVLCgLD9XqtnOEZpX87WSkU7yzGQj2Ue3bebuxCtUghKgr8d5NhXnXtvb1vgqM
He663Lbcc5OE8QfPxKQPwE295H0qoXRHvtUzNvf9RV2rhU5jG6ACJCt6bhOynnTsLNy7sfMSBoaE
ujYc1umt0wYupwk9cWmIOam20EuIB2Uc5s7bxpbpW70I/FhuATsDAxJbx3A7h6jwIjH3fXXFcdJQ
59Y1Wp7FXsRZLB6J1S12VIgZQTIKNHB5RUX4IrADiqcJY1Z2JiWtrf8yTB+ARXcpBqqFJ3GOyyf6
4eQDJh8jNwxaTLpGP05k5CXCwqCYVGiAq21P+ADSu0YBl4u6tLGGy1r7YxstdEPZ8+TpjkNs9r1w
GyI8w104MfyDdYZTZUZ83Om4lBzqo8Aw11sjf8ab8gSrCmNX+FA84JPdJ4e66bHEtmXVhoDUATa1
LDd0kjNRy1tcPbo1jCzrTI3If40V2IjG8ebRapS9azfikJJqYtYrVuSUNa228OB3j06baXtPP9Y2
b0stVuK7XLcdwn2RxT3mcpViXO4VxuenqpUjHyy4OUgUSI9HLJisuMPlrlsRN+5nMnOqqw5qpS55
NnA+nu1ENsSroN8OJhh3nHMSGELrjQeW9eP4xXZq9j5i9qb5W5dWKJzJQQGgENk9ybbbvGvX+iIY
4aMxq5jrwg4L4gGGlPaxzE8M1suDXfPjz2mJCwruGgsM5Lvt6Fl3+cj0+rCKKs0edYmCc8MYQPMv
VcakkO0SQgRQwk/dZbDncv7Mk8Yhhc1aJOENoqyjsJX9mUAauT4L4HPuXTuVEKMse5n800h7PG8y
ClMyREmpYPJQq4UiWGrYTAfDUuGbrsjgGCh8G+kZpSX6Ki7pGjRQAkuI/gqk6F3HonWM4tF1Vrpm
ONtbG+wneAQlTL0dGpTF29CxxvJJ5AT/dRutSNC9dgsXFyKwAYrTlaWEGp9yx+3rK4KDpX/zDD0x
E88iSbaeNeMldJHnAjRRzfA9eO6a3mOldy61PXYviL9FdXS1AzJMYRERjBEaMm0Wl/qwrB0mRI1d
C/ZDmR4u+TwCRy5NPKNA0dMNE9ZAj/qsczSzmIOK4Kvg/TI7aKOqJKKFQnQzpNDFEKiKECw6X4z0
D64O0Xpn8HnVcQnXniUctWIZoeMiERV+Mx6lMAvJXOQepGhjK2Pa69w4NO+1hjBN3u6MorAghCU8
FYMcgw+bYe57gx4YJQzSnGta5tl6b02TqP7CHemyR2IQOAnY+5sVkXhXhv7zSPemtwAYzL+mtyjk
G4/K5IhKPv5AMdyeQJihxUctJ3jpabIuU6XRNg63Qo1sR+ZQL6whtH+GsovbQCDJtCOjZ3s+jqgN
nJ2u7EE9pjy82MRKsB/31kjQw3bm2vsKOkT2B0d5Y4ovkpHjprMDlW/tui3DO55o/eiB/buFNpj2
k31J2W09RYcAXqRf7ma+bxEZj3HzRaM2QMsBkHY4d22brOPRG1e7+lm9YLHu+D/41XNm6/mR+NdZ
XCxHeO9UhrIqiXCecxicIBtQnERt3gf2+1zJeSkOfBdFwnoaU6HHvJGc079t6o4xYTZ+/paxYCVr
reDlw8x3o6o/s8YMU5biYT28xnmSdPjunQ5rJXy80t57VGjllaV0HP/l5V1dCLms+VE06DQRW/rO
m5l/qAyZybieOr+CDeDk+b+hgOJ5Oyvpi3LPcW4AlMLzna0TlIz7xjLuUVaOWSb1s+Evy1PhcQpz
hjKPli/NOsx3aZjDZdDcLWTe5A2+5VYBkocc7N0etSJX/2jOZP9eYTe94wkzaOunAL+W0yraQ2LV
JejfBDLxF+4sTx79ICeoPgV3376X7FNaYqf41nH4LzbyMw13cO+gHX/3yIy/R+BAXiAArN7siRtz
BqQXcTszIPGrgcFVIN/gRipy28rJcl9R7svmYJAj2afihgWinCLT6El5uHxGM0zlsYSInu5yz25x
gyKZO5u0TUKilfBe7FwbPyClixWfRDvjPOrXvPjiJe/+GrzvIGaVcD/YKhFOt4BKDA+pckhuZrfW
ftR+bJNjO/XJ26qr8RH2FPPsBg8EojfSpfF9NHKqv6jKQvNbWC73S+uRjblNxi6b77CcVE91OAb/
pTBJDMHsjgmQyAbgsvJ0qIsIwfi8vvmzdE49IWluZLl0ftHAnLZlscNVdGDNGiMQrkfQKVntyecm
6JYCDxaYqs4ubxVTa1cu64xbrjpK9HxmiEjW6CkYJsQ2VTtV1T4bZtVtDZUZeZBg2okVRn5M6O/c
skxOw6RBONNlTDRhViJxpDazO2JLRmc/klVu7QrP865OYY0oQVY3f+B6YT8/hY4DYL7zPdb5zay0
H2UWp9OeaJU5OMSzfwOGQ9zOh/e4uCGIyi5IOtQ8Antmn5j+X2FnsNgCqELYgIlImHAl9ExTHbd6
qZHr8J5TyMmNwb4CShbTtNM/mTFEJLBBgb861wmD8X9rBj886oy0iqhamPCASSAgpwL1ljzbINxR
5YlweWPfRwUNGNCCEgmsHWhpZjcIe31j/fa5zs6yasLirlmTNj1aKqmvdUF6NlZAPU3OZs5WlwBv
yaxnO2Ez+5zxzSV3mQLT90blkJ9H0dX5zVgbNldDnIT4XjyHPCrcuzEcHsvpPnhsgHUnWBd0xFTZ
g3mk8uTNtbHcHHTloL88Qfuu5s8JxwCi1tkLy8PIPO0JbGDwMyHuQ50/Vbb8NPEwzleyf8jzRDUL
xRlAf0Mo2IA1fxOkTsv+0a6/8V4EV/JykTW4eD+efeMQQoySQoqHwGIUpk/2Kla2nlBZxvva9gbC
ZERX2Y/eOmfuweM2ChGIW7Lo2v04FaXRSNOJUhghiiErpIKvvUAs55DKz4dTZvty2oCJLiyaFRb7
LBG1CH7wSgWSPwQh0EdUOpNP5jGC3U2V9YwfcDkaGDmiXzBRZ3YP3b5eFGgpSbeED6/CA0PlOV/C
lnjuvTQiuAM3EX9NPpzN7VjabvtBHTnlBNtzVvxzIGe8wTYZyQpJ6l+/m8yhlrP7hlHD/025kcm/
sOkIcI6T10Xa+X2I4sAwoAGQh10FigL99bQcZ5HD8GtJBXlDqc2hj82O21jHgv2Irx2mNKlRXnyG
Hbz+Rauy/sOs6f6Fdcwv4wQse5jrYbTb+wiLbvk6WPEyEl7W4zpSMkS4TDA0hZSCH+RE2yuffBjO
R+I5xpt/kOb8gWlyrh7RVNUC8QsVl756maPWCwhDa9niIfRxmZOrAhDQvsG4upouiXfbhxbYobaq
vnSrTH9qoTZBPPDdvDzHQK4sKM1kpTx5gp/KNzFaTUbEKPA5PlvktleorgVmw6nzn9Z2IHoD8X5G
jPWI2423gVjkjCv01W2F9YM93naPPtAy8WdOh5jbG40BSSq41Zpt51ZVfn/TvL/ylhAy0+flEsHG
yR0WtEtxdGxdwLEuYjK7vnG4IAkdYkceR7JSWJvmcr6oMO/lKSeZE1AbNT+Ie4xIRK5kIcv85s0q
84pGLKNrJtAWm/zOnSoSeOQ4OQMwttS0f+fO6fytq+1hPbDOLZa7gLkWG3kwzPUP6uKQDyLn/W4+
KwVd8IDbwDX7W2LQ8uYV1jREeXEDgoK8IGKEZZeOwyc35z2ncpUKJxmmf8hLhKtFXdESWbvJUbBs
RGPp8CFJKKfuVFj1GjovSvR4f7vOIcSUxGs5crhpXl3bealZoqXsRpe+jlzS1p1oJaVzei6p5NM9
cC3x1CTwODfi9i0z7qyG7IDppwgZcTScqGUyGPRFphIXIYLqSPYkARa0SKs+QvNBPpBT2n/mi4/F
IeSkPU5oX/l9EaU9QqlR8RdAsgxHTaI0JU/ckQ/I0mm5stUgziJOPQsg5uSB7wo4cl+NsyDFG6XN
FnVWbge+cbCWnXBc7T6my7Ry2+DvRyKEqvplSJ0Ff+Ka6eskuJ5DpzXhPpU2kynWtPWK/reUhN6i
BOme6Cc6rL24i36DSrv6TPCAIcBgzsYL733lo9YV7QtyDdK/UXnQv3RWYWIohcuY7sbG8x5ytocr
UE1spFmn16+G9z2huxqBHTOs92y8nKz/wKMAuo1hKeCHJb/AP+LEYTMOXQYQn6b9Q4jlhk5+cDl1
6lNPFzbtOvDL9bhnpZI5O75XGwt8agI2TuXorjvNfCfst13D/kUd0HoMnI8ig1NpPzlFTpenO8+y
DkPjLt3Bc3o+BSdjw8CjmKAaya1FvI7SMyXNloU+oRXMnLYiy2L/d17LNiYaiigP5Gcaml4NHBvl
lZl7XjEmq+UTcsZluc9bTFc8y7Btm3FquUyJT7iyIh0ZiI6cbgewCd4/Vh8MpWf66uGgazj0J4SU
6K6yAs5C5OHfeLnZw1LuZ0tjnqin/ppbFLgvI6PmY2fNzsBsOBmoGofSQQJI8kGCfwiVw3BnLC6M
LdYYjk5C2OrkThGCC8G+D5IHZu2AgQzuHbPzA7nOr1M+EKRC2ZDCrEtIqfwIClFewwS6AbHM+Gmw
cSMQH1wZMSzlOI8tHXxJZCZg8jTK3m3PvJwRQ52Of9akJ/aEyUNwRxwHmYxtESdnu7CC8E2LcTyW
BIMUGxVMCCaIB1vQmIVkR9EPmm6Voj4A8nTMhZ1s6j9BRALry5Q+uK9sQXpVg2Ptd83ourfIKo2M
xM28cFRVOgM68kK6cAtBq0Ft5cpjmy6gXUePCAIKoDoI9tQvo3loiUralTTo/i4Bz+Fe+iDs9K4j
3URuphFIwb7IHSquiZC1/DTDSvvVyYzuDpMi9E3CAv/rVkLljqnyYX3DcSFm5chKKltPejJQCrOc
gp03WZKuDjurSw4D+xwWvb7mir5vUZn4Lt9G307Houj7v30+Dx46J0Kfb1HfQB64t7uxz9oLjlod
TEdFRF9/VwintFH3cJ1+2LrFk1AZSEQItXTFV2OcmX2nxskYIX+H6tjRxvzTfltM6BAWvUzINYG+
fMaibA4wxirxJpGIF09QPeLufoaORUQr7H6wg4AY1S04NYsx3zkspJktrvAXULHhJN5oBm35s6p8
NAk+4doB6/yUijindse9VCS9usdJQTgQG4AbuWUlcWiJGqdny1AUU39zs1QFQXdZwUBRrw5kjT6u
rZPOeFmZBZXMzom3G8i/QbvL8c++vFxY2MY7WQY1bRRPpYzzvZMSfQm1ZYRB/FRUwg5vWBarn59C
hPuIL7TXVsOmINhySfY0GKXU23Vpwr+eVRbpVtvW2r+2xLkV2xKd8j1GtPk5s+LcbHDBMuiZ6eKD
qAdnfK0ZSD5VHYUyG8ve3LmBi3bTw87/lFhJRjdjSGrfE6WZn3yk1MuhBV8rPy269ZzgFjRBeTRZ
eQLzb81KYJX91K+fqzTIcyNe7hK6rnBMi6YWONnXkI3VLRQrNErfu4y3uA8ZgKJsD7yijFmiIjRd
hk0Vt6hchJ8BaZMpI+L70Ud0cg5Ay7EnrGJUk1vuOk/uCeq2AiIuyChv7jkAY4nUM/HYSmKvh7aF
bhw0ykEyZAu8I7gqEKFb+rdmdDYOa0hw7qjbsvI7cNGmcVpyLqPOJ4ALqlpBniNCReqA1LpYenaW
61gnXvvDMHBmehPbQmFpb5zMPtRAkdDuldjcsc2Dg16DYYcov0j+NXYQOjs5p3NydgCwjMRd2nMa
rx8z19VPikZupozqRfmHxBdcCtsW3chMsduX9n2ehTdHFc3vW1fh3ntiG+nKj9YdLNAejpzs7NKI
tfN28wzkZYeIuBh/JT2EjFm1phAzuonL17tnm+tVKBybGLgtlY6bPgRkpNvonLK8w4JXLlN3j8dz
Knacg2X9ADZKojCEe5dcMg9Bx2Nn02B/xXMPDWpn93KOWSkj9kxx0LOkUd8e5YRzEwTH5YfLzYbz
Y2SKdRcKQMwfC4Y9hPFV34qMvVvDrsgYVnvt1sHKHe4o8iHi8F+EQfwvnMdVJS8S0wNLRVYsmX9o
WDhPX70M7A6/btpae9N0yj4EeqBmXmEFpvCJfII3tj06sZBErCA2Ait1RYkVORbBKmy/U7+5oA0P
ExLXslWycEHrMiWn3u48Ac1LK7N8NYQJ+4dJKlakYHrxK38WOXUzckwnTbaTbNoFyaUJq8tcaKch
PD2lg55iyCBftvGg2xhGUQNyCC6B+AESCLcDTj6bVVaYCuvI7NeetyngcX/vTy2oF2jNQesc1nzt
5nvAtL5k4gY3BxmQmMPXmZFHueurcPEPI86bft+i2M7nqPKGith7+DfimUAh4jYZTjndSbhtT9pw
JouSMw+jjwvWpIknBs/wJy2f+PCZ3gyLxepk0AWRCKHUD6lvQORCadiDGtR1caxAP8gGWwaHIZFq
k2/z1pInlIvNwsa8/SyGYVAvSiOfJYSpU2QVGZ8ozKjJTer2GMzpaNkfMwkL262fYzjhb7Kt+KrH
pagjPHi92cxJLORnEaRdnp55b3wXs3SBWh/nQM2J+s2zVtFhr8TPXBPRxaDMFCv1TZBrBRmzk2Q4
sA2boT4BMcJwQMPc8rt03NsfM6MP98K6ohC/qkZujz53tkAao6CWAQETBcNQSMYkmiuBlh6Uoy+P
bpuMLrrDhY3CXaUYtB6NDLKbBVK4HOrEh5CDhaMGYd7AyD/y0Hf8LSnjph9ED0z9iDVygpGEFA06
RYJt6bnxjLGeBoIxaKqk4ZmXtlZKYQpnrX71wZHLx8AFqzPC2YXyhD20ScenkepLh3cMs3vocRFW
0AwmT40HuMzufTBCJr8HWNiYYN9AXtN6hxnYqcAu1sIXQQRKH/P0Qh6CQdIe5Ou0L+rcLz9jyoDp
HPDgDQdTd+RVVEmYGbbodR8ep9kezKEVNql8Vi9hGDG1wP1q7GUhcelGHj0x7R8mtMEp4s6urxyY
YSYISFVPQIDtqlHNp5LWCokoH1K1rRCxsUdGrMC8LC+zJ+SzmjG/NxWkHWm6hmjBHNFu65qSf2uZ
cKAyYnxBs5bWJNYhp3Y2vbsM6ZF5jbccfRZ/YstGS6CnyNPwKAha/uKQZ8ZY5UpeGncg2Batxbsu
hTPuRFXUBq94j6VL4iBhpOTFiAiwIDAWbed0OhEbFf/2jUvEcuvFQf+LZsTz/tHZ2C1fCbK4SKFt
8Y4ELmvzB0kdUTjj7IJcaPK+8veM9eAiF7q3ooa4NbZ97mRN7PI4kPpti9HP4D4hUvmrCExzRjCS
Q9krVpoom6Kdeqj0ZpwfiYPDLQBTiotcF9m577smPENimBosziXitoQge2fHZopKzU8SYkz8POPB
8q0mR9LZzN7KmQjOEX1vkH5YQ5OtxwqOY8+zbdfxmUMA7dQwBcN3ytLxRZRiZuOLDQ35vN1QDtcS
9QejKcoEZuL0a5ugCBpvM+OhgzSxKN4BCwwqkUuhCv/akAO8x8WlDtlR3Cj0J/Qn6R2JM/70gH48
z0596A3i7M/l4u1Ii0hf+0kGAZJgWsArTHP9lgcoLv+pOmEoV3swtrbIX9xk3xa29TcJvPJ3wGZe
823Y/etorQs+K3IAq8gg//qCIIPvn2xeNghtfMvknJTQT/iUK+e0kub2XSaqbeA7QR1H5NeuGSmC
iXHY8uXm3EPk/B0mhGEQSsNw/UOWVvrQgIFaDnFVeTpiwXsLtGmE3+x8Ep4Jnun8+oj0OJVbu21C
zQgU5eOfwWHVtB86oqoe1oHB/jPLKpI5+HzShtOWyKQN+wLvQIcEQi/tize4Cu5/XpPlR3TWoO9x
c2UvUo+JvsuVCw+D7B1Y6SqwxP2STNiBiRutniYhp2ZfqcUOSF0KJfF64G/1Rqqsf9b1XDCb5jDa
5yie60OQNclDINlsHyeXYRdRPGWIV3UiPnJn9VpBlJJpLDauz/z5Ia0ro8CPjxLHQz8EzGOS3IqU
neFLEMxY/RMjlvnkWzZqptH4ki6hTnD8kAut72H1EsFjKR8bqo12iOBa/DJEU4TKOtRdTFJGgVCg
YPgsETnhNGQNTdio9dgEM6RCYDe5u0GpliDVxP50O61xuu214jX+Fye427Z+bHlPyI4A2Y+1Sf7o
SuQ/0srFpWZKzhzu/+QuK/TQ8hfrejsQMeSjVKyWAS77kDNJA9FbXzzYFYjGhl6wwsT9HZKLBOOs
uJEMhzMAAh8NWr9y26iiMt+2TQnsk24AesNvstNEPMFtzIQlEH3gJMnrstZq2ArV6uWM4D1pLyjW
8EnMefpJ0bcogr3a5GXEAOLdGS8lBQu7Q/FeW0P7lRMo/5OD3rTvbunOL1aHDjNiyVjfaX6lbJvi
L2daY5PB8dLYffiWcI4+eXPRlsi/OHwFwvxOvFRgdtsTCT3TnrUfn3IQ+4QTuq1nIh9Fek9tA0x2
BggdfzG1clFzgC4rD8LLXecodJB9r0KsPwG7JVIYxzU/hFBtsepZpQiOVHoLW8qQ357UapHgX+XV
CelxhfG3FdoP4r4Sr78M0AUly3GeFMYmjQfOUxaMzEhlWu/MOPlAuVDfX1FaDcmJb9AF5GwjiN7W
wivYc7QhDd1sFTHg7qHs7fOAsTHbjO6M2Yqbt75fusxMeBaMDarIseutu4Lcuaxrp9/GoBg/MD/C
2AmtoCh2fkIZGY2DfWsQs6T9q5kFAULJmLF91tbU/3SrwI0fDoaAJLQiuQrOpVOr6Qs7HtNZgMTq
KzELL+XoSD1v2O2JX6JQl18WrfV40WuMRnOj6jj5tlHwFMDr1t49Bhnp35sGCg+nKRJ5Z4+2PKiv
ow68et/T1bmR62uve5ZVzB6cqLtw73bpSO4H8a63l7YbXkwCmmXHFvXGF0RDQWgSZTupakBhaHbz
OnWxIaFzi8wgcVEkaep8KrbB3qUnIWx+qbFUQ7px04ooXzRLOKCtCdaPG1v2KRjDkoiXoqMqVkPs
1WdUZeSGQqFovnNrZRidUdc/B40sPrCXJV8xcDyzqxfubsQcIY3pMPnY3TPZPcQtRWKUpBMk9Wbo
kk9w23iSYDkpNnNNrJkFJezwNj5jtRihzTpuPd8lH4vwqrKKCon1n9B7/xZUKC35hPaHfaPKCGee
iewOHitbuT9QBCbg57Jz/5UpcpIjHgwaYrdB60MA2OLvFBFH9YOLl6Tg/s5EcW8L3Hv3Juu8GxoV
KALOqgDL+bb0gvUEiX2GW1jNcBRFFbbuNpttTDCtKXq5dXo9wstEXjgc9dTM0M5AbNgHO0QgyJ+q
ItBogE+yTfEaiw2Wj2D8Yzo6nk3Q4V+9a3ovP9YjTcJ50akGGt4xANis9D/eLrXGnFah1suJjkKi
ECbeVVn3RuLN8I8ipufZ4Tp1p3emoql4qFrWCP/htcG8vRv9FgLpfkJhnSVXdn8ESx/YM7j9sMt9
jKa0H87k5XzORfJszcLLIDSF8dhd6tFzXznEfX/npWneR4tfJp89Nor+Z10wXcsdo9zBjpTB0E2I
t3Srfzot1Xkc8BTgOUFJUBEMhfB4Wyxy1Fd0eEu/H83SoCdEEWPNW49KLOZpdyyskTpmcvfEiheb
hAdAV2+KpXRCwA2+070r4K/NAWtu29wv2EUtvJQxEOgILledPpIGljkMvldmNohuFhTF7E1BPWA6
JyUHFJkqo8KSqzkbDsbsuHJAI/MiSjDBmIzG6IR8ZKCXlP50Cx9QIYcGPrgyWj0xv6Zr2EkswH3V
7VEV2dXORpD45CU4z7Z+RaYQ0xSrfM1JDXCucasoXplHoDZlsN/JV4Zy42/IC0ytHHgTMYGz4lrG
EKQEy0DCbCOemtvx7ze6OqjWm/xjazNZZqkF1+bIbsdJfoj8QgsJw1CqfdOmqL99XL/pkVSdxWVv
LjtRn710HMYfLngnu0KK4PPKcfHdyDqNfHZu9foTQogkfgY9dVsoLquEWFAuPNb7m4083ZsV/hd3
XBI4R+klaC6pYsd3f0mX7JAkCJc3up9xmtGQo2OnlRfMVVKb5kVRMoKrUWVQRXlAzRvVCJTsJ4+e
ntVCRbx6/pAGuFa5AeBKFSu4Z4oiUJAQHYLAC6AVtcsjVY9DVkAAKuoK8dH77aF2LBemGEH/MtmC
IDhG4hr9kG/5p6qAnPTHZJS+Hy02CnV0E2ZDKKhqgx89XafNknjW+J6mXtDcNQY9bcRgtRVMjHQX
PrjN3Isdc0rB3UBkZfOfY7MR3KNe8wCfpnXKBNQF7vmM6H0qT1NqmJgxjglRPiUoO+UfF/3p54hJ
zL12JBkPezumwACs4OABWgq+rv1EmvsNIdHNRkc4/lJStbsOzck3AxLM4CQHyAtawNkGIE+8AapU
K27Tl7YKln/UFcv0R4eEOhNbZGzvgADOwUdktTKoNgjQ6/aa0DbnZxIc/Py+bdj9bEOohmysMYDU
zHbQl7u4OPEGAuV3XJCrzL8D4EzIsVodEh+Aha2/NAhfhu7PXHlx/jIWU4bon6+FQ2vJ2cVzzYSx
9Zgp2++6FzoNQxxpYicVCyhrHQin0DIe1HuLa2WGbDFiZOefBG74PgTh0v/kIW30EXfU6B0Z1NnZ
O1eebT0yMDfxk0xy3R8pY0gbNLPvYiR3ba6Uyutl/TgjzU53t5WPfRQeRridyhBu0VOzzWbVJMgl
iSUe9LjyKE4pc3qiZ8FfWB2aI7lnNG2osB0CjoK7NsGFs1Ne1lffUAqAXcypn31oaZJTZ7UWMxJl
Ow4BH/H06igGHWjmtJlP9pRjFJOJUd9x3q991DGXJpGosLhE/XBy7hW2w5iAdp7V7e0GU7ehq3oP
HXhDzLuBR7H/a2DVoBKCyFn3dndcJzHeEFYal5UIUXuysVmKFtJAAJ+0q4P1LvbxNzHymgFJ6ikQ
GmqgIaOnZyyURMWAPqUrg/mvVWflnyUN0xQ3Veoh2ESJDc4ZUN773HI/4pPskleRAoJhOG+sq4Xz
AftSzwsVocejmkezJqdbLG/2htx6+C8zLWIkCwU+C+U28/gRsBnM060MjjkF4A9ubHzJHmLimBUy
BsCtF4/4I1F/o0yuzRq8F6rIm61Gbf+BrJ/dXqZmQ/Ys5sNPJDUOIULkq5yUR6TdbmIu/jastxVP
71TLfcdDegV0yFyzLJpgfIc1Wv5bV6e/cdZMbEWpP7p/4AeZJ+PEwyc5lvV/Ti+Lr5gM2jvHMSNk
xxZd/mbmMsf7hrLoH7NRhFfdort21wFnsHZhVeYf4VjDxbORP39mmNeeLaTxKepm1Cdbg4/xvkoJ
0dqEXYP8CrJb990XVCsbbL7NK4YK5zUUrvNfkWX/T3AaRz9ag6pDnD0qLcBh2gVxgYiPWd4ltb3l
UeNcnFGeFluWyNU5QJgJDonoY71BwAho2cAwrTn0NKbGRWoSjfBMssfIY841klLYG1WBwjnkyJzz
ds0XXBQ6Rbu2CXpBR0C3Z5XY/GTzXyfbXkUkbHa/1FlNtnNM7WcUMDUoz7x2/POA5lBgr5IswoOm
5XfVBN5ktBV+WN4ptxxwG3FejQRIoVsNBBIV5Ip5PB04DKpfM2n5ZRnO2xslvLLuxlbpb58NX4iE
r6pJgw2Zx+8SCxzWblylvh9cO3jmzknUkXQ+Mh0WZLMQMmo+p83IuUr3ZmV+d+qYgML8m5LyudM9
QZUO9zUpvw07253NxuU/2Y/Wi0EQfFx16zwAWr4hd2A19azMihS9CVd7ZMLcqQ5ZnOBMW9IyOHfl
Gr7WoDHGaATugLixaXCNZA5FCiIQPL8hC8FHC82MPpkqcJ6maUj/6NjmLkwkoVqQCJL53u6nGloH
SnJ3k0IsO+P0W7/ERHUepS751xs104WzYLWx2cpp/h9pZ7Ikt46l6VdJy3XRmiAJEizr6oWPMSik
GKRwlza0kHTFeZ759P1R1W0d7pfmbledi1xkpAlOEAQO/vMPw2uvj5hnchml7UnLuoKcbWZAwoGb
3kq4Tt26rWTzRFet/Bz5Y/4QZURmraDMAJzJ2qmfEqwggWl8Z/gl4gjqCI0we2/GTZLvGp3M8p2m
kUq/hnZOqKUqh+kbmqryRVWdTz0idOQkhkLjt6NuIuWc7z7v1rpGObXNZDj16z5UeF7BpdNXYHzx
o8r9iOvQRJgqpvky3CBsjJ5dLrYOVaOXvrm6BSm89XwM6FgKBGcV3MmeXTyA+B0CHc+WJkJ5784y
hfXkpxpQ21TEXyp3hKeSar384BciM3YupVO5cuqIHdSvQJLIEmJjXblYlh2rYXCQJNssAMoGj7XB
iQZBiM0Bx/a2CMUjAYlsVNh0iTeIlLBLg6m39/XYJEfZGskRO5fsa9OYECuZCOsDDYfos5fZOEQ3
GXD9bZdG6T4Z8ADcDPS1v0LD4YrkOSVU/n6CBEXxEFH3OkaOH6cB2zy4wfuB5niN6LW7tTLuz8qD
8I3p00ifq+JrxLSpKKgHOtB6bvOOjscxl0dCJuPJ+UHAe9VjbiarY8p188W0NZKYEYAo5ECl+TSi
Fhq2Gkqsb0kQdJ96hXSP+tqQVG1dak0zEQsYDKO55Iumw/RaISjV4UT6vttvgHvqaKtDAoLIWQME
r+rWnU3Z6bYA5+SOeFV8wDTU7SweV3YTEETfxyN0Fx2078apsT3eJjF0gC3sCaygSTyOD5JIMH01
xT2B53FVKxznuoDQiLL2uIiVVuwyGb5oHiHGFMMGV/zI/xrVgfkrhOpkr+Bw1eDrSYMIIw3ytxAD
h3s97OdIgF7gWcy1w1fErYzZATdgMX4yPVWxQejISCvRm81t5TOJa6w8UgyMjBK/z4ibS36TVdFM
vMSZAjeostL9rYYhc3ePgSXNRKuC4QlaIeRHe6rdX42b1S9y/tVQ7HqB73Dl4+I9pgL2O3I9NBid
nCmvcYVToRsV5Us8pM53t6p7jlE2QdSrOIRsR92w8FoCC/1gtRbmm9zQMPBRWKkRIIkDI4xnunI0
agwjHQhEwFaOLxFxIe46ZbInxjifg0n40G5aumtYLvWU79uQmJJ8hbcCMV7cjhHgCi5DpL8ZtRGi
V9T9u4yNCNSYCJlfWseht9YwfaHfYeMMhA4mGy1YThGpc0aMgehKd2sESPjpFl8azAbxIaN1/oGm
MH0sXe+43emizw4JkbkRpvu59wpTH7Wn5/fmvmjoXPJ2kJkL0grnJM1BzbLrjNubUaRfqyTNgntK
COuTcqYSWngRBd9RJudfUpUCQBee5ad3PsYbQPOaDkYQ0kuqd1Wn8heP4BwK6NiXDxYyJ1x5Brv/
6vsN5zRdDqvaBMLwnW1nk26/0o20gNgDZr3paXWpVRchkYSpX1efTK6+SPalVn7nUycmw7a9/NeA
7IeUWTgWMFWtNnpTLsJqs+Uuucv0AHsopHnNk0sKEWBjlGe3MNiLDgTKIYxsLjuBO5zBOCR4z9MR
oVk8S5xJp8HFUmW3iR/MDYA6hjDYoh0mxoAGLOdRGUC3Nc2BZcoLzT4O+HD/8LEvIgNnKsNyHTSx
/1rDJx34crPmo8rTQaONwde6MuIW+UpiVg3BB673FyscQAcD4gx4PdJf2BrTF3/Kqmwjm3r8JtBe
PNFyaOQagL3EARybrI/e1MzcBZLsDo4z9rfk11r6mo9An22qPDw1hN/FPn4lw3QUcJ0fkAOirNBb
/DWYPh3gzZFdAVGfCOoes9EA60cmg/v+OAgsvXQ6q5QtsSbzTeJq5oNgNRLhEqbqnkxwtEq8TiPf
mJVJ73AcTMqxhthJfa31lUETm/oELZCY3H5bxZpdbWFpM/uYezqviRWC2gawe0A+ysK8qbX50YpU
lAfbUFzg0qEDyWhgPD+N6ayVorxVmwzX/WiGetDFlhS1CIcSi4tZi2rgpkJ2Q45L2HVfiDrMXrh6
d9+HIIrRFdWk52iADcU6A7XkMCFoXF/7Uyr2WHiR8VUbvllQK2XxK5z16rXGkC/ieJylDKE20rJ2
8fjGpiEi5svsQucXu4pyNohPIqTDSdO/BZhlHaaCBuzKNsFxt4TIhfZNqVCW7X2q1k+1arl8QQ+P
IH/1SfhqWsgXcOgkrv4uqLXsGWJhAFkH3TxCLS8bvgYF1dY6yMAqN1g4ilu2Lq70NSyUZKPBF+hv
0BL4H1Fz0dcywT4waww5d8grS2W0Rmxou0jzQ79Zm/S68U738/57mtDz2SGNqreCRAH6hCVsGwDP
qtI2tPG74BmE2afgKnJtMyCF1D82Q0RH3M0SiGajolF725A7+hlBb32Dj6BOg3CC70jDliYrPWwj
ardRO3k4MrAkzA0GPebXVmuwk6zIpWxuA4XGfTcvF8n08hVtaWdjxcEVFBNLiIMVUV2aY5c7Dd0z
VyhCwkcsBskiH/KSAitRFpYRyiLzAJYSabD0VmsdZ0Q37/dK9GW7pvzk7ECnXD47RJj5u1LYw7c6
HGYjmMpAMUzT1YLCAN+DNK+mzd9AWy3cDAx0KCsNvvGXCJ8bzGMEyXqrMoN9ubHiGIseXQ9hh1QY
beNeF+birSnwnl4j0jc+TdgQwZORPZFSHaQt4lkbi81bubPbbB3E/XQrhiisd1lqJwc1joFcFZhv
wcCgYEhumrpwyZZGyuftifDiIgJ+iINpxeXmV9RGiCCNBjrXbao5NSaG1DKgj1ZveTc+YAmK94FU
bGyIkodp7CwN0ZvfZZ9th1SUDboJz/0YsT9/a4M+oFuUl0psyszrucCS8vsdaAALknaoC2Alunnm
E5YxRbVBcBk9hnFl9vAa+ONGJ3aK7wItCUnciipnY0otOE5WCu3bD03/Mekys9kS+mTtO0cnammQ
cftAwTeEe4NLZbiyOIh0vv4Wk51ai8UPfJ+iN9FiAbOuCi2rPmPfrp5SvaW32E9Gpe9lCzUU4nLF
9Y4uQoitN8ZUoDxGGb2hO83+Ql0u8nWie4g2CKQU01az7EBD0oW8g2091EBVuKlgwEd1F5CF2W04
MCtKGQy/jl2s8O+r2sZ+s+xJVYhjTAET0w/mzGq77W68VlowIUm2y3aKkvcvEwjS30QQyakw0bU8
ohfiwJU5jTtUWM1fCpCmApQwHDyWkMV5+05Hdo9bhUxfoQzRvCvqxtoCqUAJAdPjKpdgwPAZxK34
UALLIbJKqqz/nOJz6Kxg5NBvgZxD1jI8ZgNgMnKi2cWfQFI/leFNrcvUYRWnI174AK7tzwlqVbSt
K0gWG5E44zFmd/+ZsR29jDjThutM2tNWcenENj/35avZRtm9XhNwsrFykz66KfNvqWPCo8FaqnjE
7yz4NJnKQmnQJuMvcNrhLx09y1dKyeJOgbhGmwLnP8ysrCbdJpiQvga84GfaVFCF4hZwPwxy/OxL
N7Mglacz1uYWbT3QxklJo0LNE3/kC8PqiGK36wuc4Al8bn9SfYGi8lEWUfIEayawIamqvDMAI9ie
NyIYWzYR3ZCd++IiRst2TdDZzsoQYx+jt6l0x+tWqaIT3a4nMYzNhzA2cjrMMK3qb8QDME1OTJcZ
iLsOdfPWx76/pXmTjyXUI4BlOu3ZZIB5rYWW0gMOWZ9zukZjhvuGFMGBbveo86WUwndji1MPMuxt
X7doA2n84SrSxK45PBrEqCKmkOxg5aNnOAbtG8wFbGLZIjtp/VfDFnqq1i3vHAloGUnyALDOwt3y
JSIqGu/8vnDaexLtXGtntWMk9zY5h9kPRK2Gg2GEUdQ91oxFbm9xdsA78c50MWyl9vdFixd9kAgb
GS+w59A8BKp16uxGuUQx2fcI9mlBbMNAhUzIYBYY8WzrGHmEtcWhcMBdJSDObqWD8OvzzYE7PqK+
gVLN1abHBPv+dA/nm+Ydzp5skqnVcOBzQtXOXUSsoLYeRJYTRgHbiRhWlFazRViPf3tEJvmEjw55
wesgQLOO54LB9oP8JzhELsZjq6iCmEplEWYCEa0tTW7o1HobiyDTjxJufU7jH7JIUrM/rRBga98q
ILdftmVVr6C5Vb2O8BqgoErJb1k3oScPtLUJ9mlzQ0DCk0Shb8IcBc1G91VirrvOrn7NnGGiAXor
mt1QKokQHy47CeixiRMpvuQW97Fh/KVslNbEY6cDPSF4/VQ+aBriLUIs/QZOoSEBIYrqoWg1Oa4w
AXe/O0k/7jCAB58naaOBe9Q24GiOZUKL69sm/DrA0f/mk58XbofMzECesH4miIzOmLzhd9B9V5ql
Tzcopqjy8Q2mKCuGEmd3f5KtxX9r6sFKUcWAHUoHGtDUIDkcbKrVNcagXrXFCInY+FwSNhJ2mXsE
W4fAghY2te9smvhwKusYBqTbpNqzblsgNNKMyl+BkZnjOp2kbO9VVBkv1Hxwt3yXwng16QSKbnsL
1stKSvyWLF03o1siURCUFBktlTXqR/hHoaFIdjctzSnvmnmJbCJ0M9pe74cpxFhKEBrieZHjr8k1
i/D8EJP6YnObpZ0Kk8IgUq8zUIJB/iRipIzJWO9HGGIDjSxqOAPYpyhQgLM9EIvGBRiGN3YEGXki
bVAp+6ausuYu8mrf3oSd0XdrJT3xRpKVy/8bux25irLc+w6XqD640EIpUlFZ/OWYRvUGz7F311xt
WNmF0eAhP2BnuwobPE03aNusg6uD/+4ycOonKGMgTDxbfNNCsn/CeWn4LjOzeDBsYm53IV0cb0uC
jeVuYdqZnJjm7HhkVnSuN5aB8ngtoTbTivDsKlkTtgGuhsWrq68w4MK0QHXeSLs0in5mSUZka1Zn
2ke8nhIs4Ry9usviDNtlx1blPg3Jdbx10dzf600VH52ADZnoUPwFNxgeQEKE3gyDSTS25ay8KUwP
sDwEQj88ur4HYTzCBHSIvUWP4tQrOfphuAIa5u7je3RrVkwHJ38NKvrFDoz+qzE1+aMneVEgjBkg
RKZhZ0+ymImL7tjrb1EqMxr1bfgcixljDVNz7PBeV6w3iyg69HcDsA23PVQEFK8oAhy/j970HC9X
EYcdogUNJweET1N4cEfh2JsANqG7K2hRFysKAnoFeC1LVHqCwxrf8z7AKYLcLaS/6OcIdHP6H1z+
RsKTy6G55z1yK4+EF863LvC4VctWhMclFkJqNlVwvkrXmnXJU4odDXevDEIcMRWfuGIN+QZBgWxv
wCarct3aQj7i4zO8IWCs3iJuLD/o5votF75pOCaIi5/pgDZH3LyrlwHr8mIF8oK/jjBtnhhvSCbi
P5C+QZKn0t+W2JYWN6XuBDhrVC5mgru2oBV0F0LsJ7XKRkhgbP/9r//xv/7nj+E//b/yxzwZabT/
K2vTxzzMmvq//m39+1/0Feb/9fbnf/3bMaWuW9Jy4VU6QJ6QUPn7j7fnMPP5P4v/CPQwqKuaVnNh
ps1Dh0N+4QXd4+VB7NNBJBcE3bVcJQxLuqZtO6eDABo6dEqd+EiSavXVypX66HBe7KfQ7LGhFaRe
XXms+V9891h/G1GdjjipUCr8KeJjnevjI/sf0aFa6T9VnrLW5jghGcCKJthffs75X/3bqLZJhIxJ
20uYZ6MCFnSqxT/16DpO85TIyH4xzUzTtoSUhYjIRoiCKrH1PdUq4u3Lgy9OsmNiEW04rAPr7E1C
ZAHygMF6jOpq/DBL2tQThZz3AQtZL7stqqpHPXV5zMVpVgYXKCzvHdOZf9O71SNSAoftRk+OhHmh
zp5oz/ykjRt+7Sa0cGMg+l3WC3J4Lg+7MM9CZ0jbAYRziYk/HbaD3FbIMoyPdjk8px5YdqdimEHU
mLAGBm7Bh1jM1CcovIm7vjz42RczLy0GVwo/J7SBwhSng4/GSGszq+NjYpSUvjmimjtY30l7c3mc
hbkVumUjR3EMHtR2T8exKy64DMNDaoTtaFrAScIRCJTTd81rj9XkPiP74evlUSX/6tkSFtBMKQ9t
x7IQf5yOquhwD17mREcW+ex/ig50JMOgiKA65k0RPFwebnEy+VxYshZyEGf+Oe8WELoKkoK0gp2h
8um4ikgeAjOgP3J5mIVvQ+iubkNuV2w/8nzBiKkeMNFIjl4+IDEl2Kci2J1+ncMBB2erDAxvd3nI
pdcndJYnAgFYvnL++7sn02ZGbwXz6Rj2lhE+9yqmftQYadz6fWHl31Tp6x1WolzH7y4PvTSpxD3x
gbCpO7A1Tof2ayzxcejmaYuRrkCE/2+J567f/cEKfT/O2QpVXTwpEUpEKZD80JSX/gs0u3JLEBvq
hiDE6Df3w+9/8HDAa4aN17PBmXX6cKJQE/i0mRwdN2+6T3FcGt2TDX1q8yfjmK4NS1Yxj2eTiOjP
SQe0xseBCx8O5LU++c95BefyykJZfFu2oKGiTLzZzh8IPgBEpjZLj5Ce5T4mZcXf4qxKDuTlB1pc
kK6h03zVhaOMs7eVJNID4Auyo504/hdKlkBsTd10sf6Laoc7pTRrAXMvoj6+PPLS14d+5/+ObOqn
r4w9DA0IPLwjLub6J+EkmDyy9Qh0LjgUf68bkLXLIy49q6Eb+AXBmDf4DE5HxEMrIsyyzo5RC5HY
o8h5aKohfdJxWMZBMqeBCkgVXxl1ae80WJIQDmwbAfLZqGFpTUVfZ9mRbBcXlr8+Fd+xPSyODgES
Py4/4dKcvh/rbHnSTs4HdHW8zdBsXl2tmX28SiKSBzTLTx0S9+f/vwHPlo8LfV83uyg7piqpeDjN
DrMtcqbiRdSG9bXMENH+wbph98INGYiEq+zZfAaEWRoFmXvHvE+sPd062TyoiIS99ZQoiWGbE9nl
/eXHXPoa6b1bHLuGkNb5VwIdHcVt1SZH+s91ua48Um63A/3yK9O5uEL/3zjn34TMolJEKkkwSA3e
aP6OSCsC8ylUsVSfyaLtw1uyhJ1rBdviEn037Nnu2WAvEnROnRw77LEEeE3qwYUqaTPuA2+wwit7
29JwHH9KuY4weJVniyZocPGYwjCFMKh7uxht1i2VoY/TdRp+vvzilibUFHzt0la2ThLJ6SfPcVj4
KGspfw1r+DHrHe4yE7bDKlH+nvvxDY7g7ZWXuPQRsr1IXfIfAz7G6Zh2SstABhyAPf0nZ43fUnGL
ssq5JzTMB7LMyurD5acU8155Xp/hWWs68GYM11DG6ZAjDomNrVkcS6oJ3hyoDlXX3WpdDhEE9tYM
SKGVBYEa6FNqqmh2sp8TPi//jMX3akMUw6bTdZSc//6uuJncppKpqaKj5uPEscKxo73H0Af1NzcO
UN7Loy2+WkUxLAVNRN7t6Wgy0khGHIPo6EGHvkWHXEDoR9f8bKdgjkVSqsMAAebKDru0E5iYmM71
m2Wi6T4d1cKlbcZ/50o40BEwjF29qcEuh83lp1uaSwoZKmCFCkuKs4WbICyH2tLFR4tUovt28Ip2
N8RTKYi0Lb0r29vyYJKvURnGXA6fPlSX9+RuuGN0xEDVesOPWrvTc9/GHVZvt5efa+njsExbB1mg
5+BaZ0M15givSzN5a0JXhNnTaloPQTk+EjwChR9RYnnljS2tEwA0S2KsoHRTP/scyzTXUwdF8LFt
Klyjg3zov4+1DbDTmuB6JAlWQ7UHARLXKuGlaeVzQMxvcfXW9bMKR9VeyYEoKPbpERA4GhZiO2XS
7DcKg4krZbdYHE0aoCKkTbNCz56TE9HLRthmRyi11boAlv9sCAdbEac09xoCrg2bQIvI3B77F6tt
bYwnA1s91ggT7+lUSkyWyHqjmQa6/BprpX17+dWL+Rec71LUmTPsA6RECX26zIiAzROSV5Mjkn3I
4RhG3KRaNf0Vw76BMydiiMLSfOpcgjMxHBUNWSnc+4xdQCzH5d+y9BlzfXYdPi4bRO7s1TR9rwus
1KNjkpMniYehjhdK3ut18Adn3fuBzt9KZAx1XORcZVO9/jYVGMNsjE4IcdvmsN2vfF3z7nM+w+Rx
KgeahCFR8p/OsF5LeKGqBIWgE5WvIedq0J0q26HRhMUccCD5ohDDw494H9Xry3M6v77zwXEsmo+8
+XprzB/iu+2/GWro0MgkDySja4ijGlchGEmMH3WEOP6RwAlLe8HXd4z2qvAD6xU1Wml8ufwjFr4C
Sny+AfAnVDnibAbaog+qmt92kAbGWJjdJq19YzUyey1yZA1XHnlhvjkCoBRw2gGNnN+pkw5bCWA0
Fw1QW73gtYnjmygxNtlJlAbhxslqjHUyv68+aBUkwT84Aw2HOoNig74wsPzplBsDwsW4tNyDgN2v
Zpyc7ZW2Qek+jYIAHc+CPf0siRzMrpxPS9sNJjiGZTtwh2itnX3MMyetjOi3HOzOprvXtYZgm/En
97FIITfvQKr97BnVElRH5fbagQoaqYZOit9W81y8ws2m64cPPkZBxJ4UY2s+jAMaiuPlBbH8Q9W8
A/Ots+OdLUuTBiXaVsM7uBg95XtQOoKyddmNj9iI6LiqjLTiRKfo26lmmNpbD4pfvw/CcKBfX3TS
2/slRxaJ2m7s7FkNai8SPbpSwy0tXBAhlxPY4AuWZ/NZIYjsvUJXh15DLWqhBfsQkofxA9+Wdvrn
pZNBOcwb+b0Pn+NrMUacvk6s98HscF6m+TbRqSzKXtxrXeaXGJrWfWCti1a44afLr2Nhk5i/TsmX
aVpchs8ek+SIwaAKcQ/w6HFzaBvCL/pEcOu3Mpg3n+pK5r9wGUi+1YVIngfszqObyz9hoSAAIJLM
NaIejBTOtuSEFijCdM89wKmjM4xVDZrmIre+tN6EHMfoIvUNu/BY3l4ed6H0oTLGSUuaJh/NecFK
jHeLtFB4BzQ5PQwXzt1sdq7Dctuf4nCPR3GYXXnWpQ0Kg2MhOA4U3YezcmuyYkxmCs87xLg5h3dF
R2cvIuXFJX4QGS5qyraiq4V2G+O3oPt6+YmX1jTZfjQCXJBqIc9Gx5ItE2jTtEOUasa4QdmX9GQD
qdKMbjqrqcbt5fHE/A+eHUG4BzHLtmmzIaqzb73vWD0kv3vAxTWMYfTTzu3kxbl49aNBf+7KfHyJ
mnFOCQhLuHyDEd0oLcN1MSXZmKnJcn2rKU+/AmgvlT5UPcDMujDNvx/MxKaQgFWY2kHi9fHqV1P3
EDM3NHRxjYw2Xd2lOAM2Nj6IWYK4lWa7+5gE2Ebtw2SerssTtbAUaVfo9K5BoUFozs4NzwGqIuxE
OyQebQMuhjKy/pqSEIYeyFS1oXgfjCvLf2EpchMXJtY2tKGQpZ6eValj68RB+u6hLR3zLifDnpxd
ErfVxrXLGHJcj13sHgDE96Cbhon3evmZF0o+HhcsFfRbF5Y1L9Z35YlIiNGDBuIctD5OiUZ1C7TO
YwdL6/I4S3NL50LikEU33jTOthcBX7AkUMw9JGEKWysbhf7BCTriQGocWUkcyLvu6fKQCzuayZ4C
gsO44N9njzaIzs0DghQOMLjq+6g3+2DfhEYMCY/0wzWULRrbud+z61weePFZf/dPcBRgd5nf+bs5
lS3EGbfv3UONt/VdWnglZCwDo2RHd5wvnfCxPPiDEYHf2c5MIWx1too6muYjXhreActl904jn/Er
8l2UOwC3WCCTwCp2l0dc2MQ4qbiGz70vDo2z91m1OVRhr3EPMZvpzsfr+j42ws9xNbRfLo+0tEKp
JNm5+CQN+buSeTebsALKhgpOHcbKCjcooIgz0fpxMv7grSGPhVms06382y6JeyhYe6qpg1XWzd6C
YY7nc2tHz6aGPewuyzXx7fKTLc0hHwRUjN+N2fMj1x5EG6JZYJ3MhnxojOgjrkkhxfGk7Ei3+ud4
himFyzSCMc5o1OmyHIIgjEj6BgCCSgeFM5/gLwU9xiq6QgRz+dmW3honug0LhCqTguJ0sAiXaOy3
Q/egWIxbSaNmpjzhgfkHb+39OMbpOGZXDmbSTe4BF6n+OXHJ39vlJroXrIFm3wZlNOnPy4+28Nrm
jotyJfMoqNlOhxSj6kg7MdVBM4w3y4vdw2ROhyou7afLAy0BmIykHG6inNwY85+OlGYD9iG4gx9c
Ra5l2lT6A6FTvrOSWpXtMWUhe1a6CHxzLVQH2cPmN+oi+evyz1jYziwQAaoVSRHqnAM2DVc5IqYG
1k2DC74Z2eJLT7TkmvHSj4Iw1iuPvTC/XJQBS0FrdFSEZ5tZTkZr2HqudsDInwJ8Uv5T7AUCGx0D
TdDlZ1tYpnPdKSWIKSGB+tlYblx6aWZY3kGbMgzcSR0bie8NZ9T08kALkyjJxhOAbRScYBGnrxLv
QDLPIqEdLFXD+cXIHiZplUqtviHjL6u/iAjS95VrxUJxwZYxf+4mjAHae6eDIjHy/KqZfJpC5GK9
BJmvtsIYiEiRPUb5G9JSjOChCPyQsOyhvLZwluo7xndgftAYhoB8tn6J/7SrcvD8IzIb0e0MFpKL
IqGbExBgGD4J6Ru3wBIhDNCMDKJ4SLKviK9xs0aOTrLEP38H/BSaxy6Fom6dfbg2DBEjczT/iNgF
oaLAtpbGaobrRQxjP5KT+Hx5QGPprXMqUzgCASGemP/+7uyCdFfgYuXwApSGATG4iDymXILKm7EX
gYPXIfmW/iPEUZNg86KIrGOXIKkjrY1gp52O5Wd04xPhghOCmkT4EWNVvG97OmLVzrUtTKNEavkE
Ckyc/v1h4AR9iFStiU+qnkVenCx6DGE06SHDeoXlbAtoHf4HjMia6vvlp13armzKZ2lTbcHoss/2
4lHLMaltI//YV9TJAUmHz7ZvW9HWIjLK2toxRlmIBLzjaKqdH0Bi3Mkcpsw/L6lhyZg6CAZOH1QM
p5PuY/9V91arHchq95wYPmrpDp9SMWafhy5znlLhpLdDYjsfOnKitpcnYWnz4pqFzyO+hiz8syVf
1nDtQ5c5wAW/fvVCzItItMvqVQziemWs+d86u9fBqnIoMR2QNi5Rpw+KCQYuBnL0DphocFXFacKr
sOLAuQn/6f7BaXxk/hJ5dI03eq/3K9zwrejKR7VQZdNtZvdkFzVoDZxhxqZRt9XYzJdLTNqItSXp
y3/xskB/5kBJ+k2LKP9hbOSQ/vrnM01tMTeDmABgzdOn950UbZLTeAcPl7utXaMfJusWJZ4eyGl/
eazf1M6/TbULL4omAqzrc4CmLCXkajRDh0QPj9CPw08evjO3YZF6H3QNCinGQ9HwKHICsXZKNQZe
axJhGFmNsLfRilZDcQUaW7rWSwViQxuMhvHfiFoZKbKCwDJwBFuFH1pS6h6NwrX3ahQENHpa9uKQ
U0GyiI3DTSrNVzshr7WutImtAI+xVTj4uXvlnFtaDrwUGxSDniuF7elbaV0AjLZT3qEwUnzCbWjf
+k1Opr2+Il2iECsdP0i8hdgJLr+i5YFdSZOAmto6J5T4jluKgjTqQ5goRIxOPbSf9GCOqvNpKawn
DQbYllhuMq4vD7y0xytYeVLSdIXPMv+w93t80Esfn0T3YMY4XCrsmVZ6ywLJInGLy3x/5bUvDofz
KnXhbGN0fh3SpxyxdxOw7N0q/WIPALKrItKM9eDg5HLHSRx2Hy8/4dI+w0ZKJU9jGTLZ2SeO20Rf
uFHLO+3ItV6Fnu2tdBwy4o8F7UF0haWVIomL2+RLZdXZzgoa9XL5Jyxtqzwt9sHUToJP8HSSc2Rp
dTXY7iEk+eKmo2hrsHR1frZR0OWby2MtVU3zsUHBAl4hz2GgMAbZtwceV+IPc4OYEXUSh/LwM9Wh
1ghCwbUne2qw5lYFzNMrW83CkwJMwv8AnbQ5RM4+oFpAVqgwRT80szBtMAqn3Mu+eeu0sgyvPOni
WIAOLgRBsFD9bFbTeMKai9SC45RW4W2MFw+OlyR97qS0+vLKzrCwcOduAxUIHThQ1/nv776TttMH
UnXC8NiVKnqa6Wir0UuThw5dHrli+bWe+sKq/d1UhXmBtudv7A/UeBFq0DI8tmZsIrOOwgFD7Kqp
kg+2P/528xvt73o6WXdoEILgftBb8nQvr6WlGZ5BmRm7wKL+b8xIwsxjIkDgEGhzmx0iXP65h/x5
tGrdvLIz/O5rnR1S9vvBzpZO0yFMagcjPOLq5/4I4Sfr+zQS7b4ace2n5MZ8YsVRjn+J5C7+0uQd
xvWrAWkZOg9UQaDQprTflJZPxhqB8FhdWQOL08HL4HiAwOHa5ukaMGMLin/AL8QfYsDmqQqUtU/N
BttywHBcnC7P/uKSg/eus3PRjjTPhiOeT0K6cxmuQpi9SwzSr3YDlti4VkL6CT5Ydvv98pDLL8G1
8QZ3aKRQ+p8+ohcEvg8jxT9mhgvLaoVWzX4mk2fE1QB77Pym07ERum2wOfqQpa5NMo/rxP9tSDPc
6tQMwFtlDDGJ2Kzip2qtXlzhPC+9BTCZ+cACvAMwPP2JGc9P8iu89QDbhwhLMIswCUIPbrQKc6Ar
72BxsLkPDMtzZiWdzQeW005a21p4FMSD+p/qSWua3UTaarOfsJT7dXn65x3r/BOYGwnmXIlCNzs7
jMtOjg45B9ExLbMg2cga7uIzbnXTtW16qSKkIUmdz11SwKE5GwmGuhyIC8RptNTwAI2BvN+wjEC9
ZpC7XK5hP+E5YUCgBXSOhlvPjIot3NacPEhZ3uBn3+0uP/vSapcQsDmxQI24dp++1qQp2sDs9eio
vkVh1d3JTCs/Ci8IPYxYrPrafr543QMnlf9nPHkGc9dW7Zu4ZIRHy4pEd0vcV5vuWnNAc67bwX0J
2uI9Eq/hr227IZ6IGwg6+DQo8+APdlkbHipwP6w33v/pk89nCZULBmlGlpbjihTdaDNlnflT0khd
//NZBrK1bCBUnRrsbD1PTe9OyFQjZDyS9IF6cFJiKlsofpjhlOQlUBLpV2qChYoEIJVTxAQ8mreW
0+cbyAAzRJ6Gx5S7ZfbgekPc7AWWiw/4tPrxLix7f9y3BaabpLUMGd73f/DQNpQtuKI0Lc+JQchF
WmOM2dQmG9YEYTEa6lQ94Lduw86f415pw3hXBl3aOeCnCgUACvppzn9/VzBomt16Op/z0cy17rUv
RkKhE5eDKe3S4+XnWxoK7IXCTlLzifMmdEUZDY2wDo4BBmTRnY3v35bMCnOXZnmr31webAkWgxXD
hQH5Gdf33x/Wuwfrh6JFewUWmBqgHyA4OYdDZurTXdAkuDfQiqDnhw2Rpu9pmpH6gPa3gBUoUS1H
NU9xpXJY2jlY0SYiZBh5hJecznRotpmTe6OPwaDm3PkTdVFbWk64LUbMRjZ0YNLHy3Mwr9jzfRqA
hO+HWpehz64URVNhpF5V/jE14kri9dzjiz5irZd/KDTpr0tNdckG74e+vLJXLI9MW/C/R/4N2b2b
fN2LdZJJFUtZqdbc0tOV3TPCaRcC+6A5D6mb4k/iUgJl2z94ZuVICm3YUXBaTmfZImZG4zjxjyMy
pif4ht6dqvH7fOv406qD8aPunEkv//rnw/5meM4lieE4Zy9XwFsEgmwCuLmi2XXYj61CNu6bANeN
167ohwYjhyie/uBpFc1BPig0ecb5LQp3XdkOPmBrTtbAi0dkzktNpN9dqePBtotTApdWfqIR0Hf5
cZdgEXYLzvV5k4bgNH/r714w7kmS8zbUDq0u+vFeYXV+i6kEVjq+3jjEQyK+T1RYOfcQbMlMdpyN
VrIY1qJqJwwJ9ML40kCs9v+g6qKHQxOcdW+AkJ7+LhPXpJkZ5h+bgcSdFQcrOvHM96JjVxGMcGXz
XPqkgeRMBybPvM+cjWZjGsM6tvyjn/TkBOedM3SbskI95HSi3SRYPP3JC7dY2dzQkX3bc2n2bt4B
mNAt6Ul4nGN3noeJxFsVFsMvI407jIO5wW907WqfcfE5LVBQyJXzDn62unFyCPHJDoJjNIXTkV5O
qz/2bmlOzx6UpmpjYWN7rds+r6DzzYuKFuwFkIDj8Gxu/zdp57UbObKk4SciQG9uWU4l2zItlXRD
SN3T9GTSm6ffj32wuyqqUITmYNzFDCYrk5mRkRG/QeII0WKjDQ+ImlSvZVRNCpejLVaWltrNwoc8
Fa94LTOUTrbJfXG8rLmaZmEJdRAKbVChJoJlyz02E3hL5L1WJtvEihEcKcMc8azzJ+nU0k5QYKou
lAcoMx6PrI1RzSON+zdAYOi9jQP7GkWsFgF3NXgrBhoIC6nVqXWlwMqlOGFU+ZzHA3pSoiLfoAUH
ILDgrlX8buTLuDJEvUGoJgoX4EcnsiqamWj28zCkYj/vTqFZJiZJIJ7LPM2r6wpnLEE48AcE1tKx
Gm6bJsaUxEomdaUQB1axPb/AJ+ZrATecCIa0pGiHH89XQyA6H3HrOqB5pq6FKngv1Ib9ewDh+Hh+
qBPfkvcQW2hCdcOGmd092CShtqSn0aHXM0xpx1FXxKVE/Qc3Q7sH+tk52fAvrlqqCaYzkSgpBc/P
ptlgXpJVesgTqVXWjlMGDqKMivUHhTnjCt3KZOcpYFwXttEUaGbHk+cPbzP68+SOczKKhdBPK+H2
+gKoFvMzoMBle487RxcvRPQTRxNWgQl8w+QNBFH0+PsNpqeaftmDc9bxlF8liYXXRUzp1lvbaGsn
9xg3mdWKXj3o/u9/T87lRG2izKDYs2CrByqmMkMCvMLv8mtkx/RtG4kaMwFdXdeKNCxEoVNrCnRk
Yt3wwOTQHE8VnlaRYM0FyKBFVnivGDEAWUsk3QJG5VT5BIEEwBW0dTSesrOnHGpjmeSgvvcCFrHb
R0iyI9gndfvBGqQVkj/xk5oiwLTzyxzR5E76TXkHeRvfrE0U+gwTHbHRqgtsY7V2YV+dihfwHDUw
EKTYXwr9RTqiad9U9gtIIUe+LPAk9S9Uq+6apwg3CMktJL15AEShFTudTpC///43J2+gAgfRin/O
vrnVtgZCfyBlMZbBbyaohvUAXG879KaxwtjlXxCDLaA/ICKJHKo9x7KXqRJoWJp5LxXs8g9ZaGqO
1K6J/cM6FKMUIs1JxfiqH7Hhvj8/1VPbDbwC1/p08wAZPN5uHhLVdANS6cWzQGOtNKloWiT2rerX
vxiHOw7i2oQAmUNxPWySUrRH6d2MYX8Ri9JKVjpFuSX0x6lIT28V0QZqU5YyLwrmaAijsQEUEcXD
eoUAV3qlyeg/QggMf56f0umhKD6SaPLEnPeHsrSW0HpmKE2K44s2lT9ir+x+ioq79F+MBKYBCBQJ
LaWX44+kopCFuW/ovaRhUK/jLMcSV7TyNXvYW7iqT02KKhvVh+lTfREyKGKjHVNavC9KiB75kFYp
bvIhLrmuL5xu4a48FdbJQkCq8jaFHjv9mE+JLJLYlYZHgPRiBj6uVqHcYTNviXbEzBO79b1Di2+8
dLQxX/h0U2ybX1zOFM8dmfRZn1dZtIQarAEY+MDjpHznfIjHxJI/RKM610oUeIjCm5MefyiK6zqu
y4V05MS8bZl8BNEPagFfetySBx+29lseKKmTPUpV2g+roXXElWq0yZtZOOFj6SA4uRBWT6QmPNe4
WKaOMVfprBQQI4g4+HYcHBLLzl7TBg8du6sMzzWlWH8ga4gWgsvJAdmyUwjnTTzftzXy6K0wIvJa
7Hmekd32fvSV/6ikTaxwkST+wgS/BjMwUBQmJ5Q7I84h3sUk5ZsjxfUyUMZ5QOeR+4okTHs/fxy/
fD5oI3w5MBg8HWldTtP+tG21SE4zCZPcQwU+4dHJFLt2294SgWsNWo3EnWaH6HIa39bKmI07Sw1Q
6Yh6Bf+KA/xuLgXPMu4RTsx3KUUdbJ1CGW35wfvuXTgNSgVHURzCAej548kmPRszwErl0PI11zz9
9HVcIu6Li5b6gKxm/t1Yx3g8L4E1wZedYvjxeAocSKqjyFOYcNhbOBJCk10cZ4V0FwLySb57FKfh
ptIgxTGbm3eWrmPQkatWFxdotdvI0QRdvsZdKLugVlbucqGbKzyDrYVz8XUDcfx5vROfwXuCzjme
49DnItWNPj9MBZR9rzpXsReidWx2VLjTIpLcKOjKBYjil8iuMSivaJNnH9HWmO3azsvLAK3Y/KBg
HGWtA2pUD8kQycO6qBdfQScHA7DLp4TlQYP9eIaoyQ+ofSTiUJDvPDd5Lu4tARIFoXG5/27GPE3s
01izbK0N7bJTh0wckgHrmA1q6Qj/AjREHfX8uf8SzqaBJsgdiRoLOH9FqqOIaEV1KKcIYd93Mfqv
GF7HK8/yVWRH7WYhRT+1TWCh21T1eAwAgD5exJ7boASumB1qHkf7ms2xR2x+6Fw8TY0rK6+k+yKs
N+cn+SX3ZpKfB51tE8UIMe/UovyQlvl4zc6QMJkNe5zCbSxmnpsi8T8CrDndFouohcB6atcgOQSe
EGCfZlrzZzp6bT16DTlAgqwCO5XY7bpv0exe087uX85P9MtlMU2UdBv1v0kpY64p5tmJBXq9zg8Y
ART3MfbQ6K/nWeavz49zckFh4MPEt2BgzQ+7KmmWNFZNdhgHWpJOip2V74z/lLL30eeWPKAKawS0
0kSWLITuL1nO3xn+78j00I73TzG2qo+lX3ZAz95+FjbFM3ME7Ko2vrhImtZ5GjXRY5uHDZg3AaWl
p/NTP3VgFBhPvKPYvQg5Hv8AvUHwXeDAeAAIcaWqQr9VsbvGZAHjxLZXs7fzw504L2BrEI8kptI0
nJeZhEPQ5uyjdJTrtSvkPsWc06YoSfCInxAmta87bCC250c9MUk4dbwAGBvq7LxsGKNmkjmNnR2A
6ltXoZx7O4h12SWER2wWYyRBiu+mOUCWuIhBVoO0sLhDjpe1EF1ZTZnjIRN1vOmDUi0uStR2629f
xcfjzOJPjkZLj5RsdkD22sMKCI75rm1aFeuQmuLH+WU8sVl5bPPd+Bigeee5YpOGJARhnh4qTRQK
fG6n2StNWf2aUNSHIo6gJWNUwGPMLSdfmYcI20pnd/5HnPyWBhQosg9u53khtmwKJaT4y7dEyp3S
Ujzu/NqzL0hI0AWtwcyfH+9EwAN7Ziug3xjzS7LTKBJM51bLDiLGfESqiXJuRef1YhydLFvYNicn
B44XRUMZ8to8k1ONAitXz88JRGGD4VU+PtBHl/dlFSi3OG76C8fx5OR4YU0YNE7IXBRIsXz8bUcm
l8dted03ulS5oumCbC2FvaMtHMNThx/tScqDtH7oK0+z/5SUm0K1yqQK8wOnAzfeCM+X0bPke8Vu
mh9c6uPG0yrrz/e/H6p/IGDQ8qB4M8sefVPOYpzhOSG6Yt84QoHihVb/W2alS4ohp74efAp48/SY
ZALN8fyUHCnsbsBUqK5RVL9OtSiULnMcxIYbcuTee5Mbie7iwp45uaowVsF0UYzkr+NRMRugXA1z
5xAJWX4CPWZru1ru4w+lUO2nwotvcjlAlPr8sp64MhX0f4njf2sr83KvVevAJLUqPcheFf50cEB1
60YV9truQgUX1MxwAjcYbDW/CDDNDhbyvJOThgmGRMAk7DRnV9DryT1FQrQrSVBe9zyMkFqn8GxX
qktl0wQj8tpJi572+Vmf+sIGpJm/lEhizyysI1pQBzj6Egy6MgXFZI9YOWXiIiomSXcwMv9imhOZ
AQgX4Y537PG3hc2mZfghItanqMkrRhnFuoSb/GOU63Zv1KBIV7HqiwWI86lvyx6elB/oU9CVOR7V
lmRPA52KVJjqoaQ9oAtEGuS/KDJGjn3XSJtG0+tfcR3Ej+fX99RnJY22qdaZ/EOe7WXcaPCmrBAp
K9raukEkHSs5bA9SVwgxrNUyFWvHEEvaaCfuNaLLhAdgVJq2yvF8y1ZGvCP0mS/J3oWhmd1DhzPw
OhtgU67DSmD9EuPMjJGY4xkPQdlaH+fnPe2bo2LXpC4LLAB4Jhuajt/xLxjjVpG9gl+QqaMdXYZt
GtzRP7H77flxTsR7xpneKXQtlC9gGzUK9LKwkBoqsEQpV7h3NM2+HMs4xx8OJ4SLfzEc7EXKyZO0
wRyERw1GpRxvRgckL9hJOdwt9dr0dG+EZ5YnCPp9Pyqxb/9/wFmwH7vR5L2MendDpMViyJJ6t5Gc
6kWUPAJxj8Nhrg+zj7joxgUQz4nQwNBAaWijThSc2VG1ylyNYwtdJc3HoMg1Gwztt/iENM+F0zm/
YzTtFzbNicPCiBOQGiU9YPKzEVEp72sd89RDWZTBnawFFjitHsdVnKHKP5nUOliHmTjqnP+op07L
52Fna9y0uAkquhQfHL98z0VuXWV6HeNek7fFu/DKK6BEdziZNZf4s+bF5vzoJ5eZcjSwCoTMSJSO
T0qVDaqn1nzhsRX+AbzhVZH6w3st6wM0dav7fn7NcwHgDk80/pzvYCS7Yynq4uRgNvVHVea4UWm+
cpBaxViSmj4RdUH2UdBHbAxprvkjRWkaL3PkAA34RL70CpFeaqXXN24l+c0urMMaM+LAm1yRv4+B
nsLPp6Fnn9Qp7DhEfzk5KGUEhcUqHGvjSLrxUpMGLqzoqV3LPQkaHBgHEW92hYJBp/cf69EhT5sW
G5ZRrdtLtUhaTAQly1nHkoplWlvgMnVxfuucCn4UumjjwYEAOzrbOlnjO3UigfQG0Tpc9QbULxsy
wC+9qZqFPOHkUOSAvAL/gr5mQ3mogjdKIEUHYMfl3i7Gat/msC0T1MQf/sWsaKMyJShQ3GDHB0LK
ByMesAM9YMSLahp2hG4fN/ptaHGR/Iuh8G+eNBIp4s8JC9bIxlUmb4RyLLBnbONB35qBjhdVkFh5
vxBnTp0HBF/+b7TZRqmHuEf+EWlEFUs8POIE0K4bxev0VZjgEVDgs+S5SAhbO2FU2UIK9BXPzZEA
HoiICMoG7JfZso5YqMt+y+hpQ0KIAXuXoOKpqh1aClCyMPv0evWaMpzxmOIcjikIyP7LBIfxJd7G
qb2EKBkhDy4xb5hZbqAWzYANZJQe0q7qtm0QW1c05suNaeBE7X7/C4NhRx4GxjAnZRYIMLGGYaVI
CVcKlg9h2kTKSoQVQOqipvV8frBTawwOR5+0KNH7pIFxvHUToxLSkOXRgb5pPQD6VeJuM8hjs2mT
stF3mqk03arCcna4VPB2u3WwcxNrUF/F/fmfciIo8T4k9mKAgWvCHCDoO1HQVwnCcmGeWNdZ2GnO
ypI61/B+eWk8ffNUXdrfJ24ymt8YFqIbM2HZZmtNJ8zExRWAVwHq9MMAmqdsLZx5rdcuKgtEAUI7
i79/e9LlAyGDUvWU4c9ShlrNUV0d+/BgN1l06Y19jre10/UXUDrlW7+VpW9LcYPwmZ6mBsNNCjmz
SIicg4xtKLhOaZAsF4Kuvcf6M/kBTdRemZHfLQ14IpUGM8OHJEVANmPenNK6OpetlgEjJTJXTa32
+SZWOkVeWMpTWwZlah7APLq50Gabt1J8s/cVm6VspfhejSr8xtNc7/yrjhanvyuETW3RQ1+i/+7I
nBhaUxN+jTIRqIbjYxOGoCVUBVpP1jk8rFvq5gHSTZpIgPLGPlok2IeXK8PJrN/fPCbTvuFa44mG
sCOGJscjIzwkIzXsNAdfoT2+sjDkauhMmwH06dDstZWSjfV2aJWlUPElBjLwVDUClAJEkerK8cBR
Ztth3qcdgvh1eZPn7aXfoEOM/XzafbckNiWVkyIvTQ6FZuNsw+Irhbu1E1iHWK+GFxwq+4cQG6uV
0w7Wd6PtNBQtYSIOAAdOyfGsirIz+laJrEND67Pb5BJ4gI0WGP1VmmE8d/7bfQk307SogpE1g7sB
N3U8mIg0MqpIT15tGOEbv/LHP3pnDi9BJec/p322lM9+OSDT5FSKalT7oTfOJdxHoSVVWcfZaxcY
6UYvqzLAq8tJrxJHjG8IkPV7ZDadfzFN3vHA0nBRggY1+3yeV5tZDxn8tXBKc51lsiS70E8SFzGA
9ALf3Vr5VyMa2KXwlRA5nbVwBCcxohmevKZi7NweXu9NajX+TYCt4lbkdrcw3pe8iHUlb7YnlYtJ
Qnc2w0EzRSf1dvraQwnaDE0obWrZ6H/SbWm2mMUGhZvGfcTDwfG+aWHEhcErHlYteGTi+pcnZ5pF
AWbNQ/QolBLjzXFVL5kXzflApDjkXJQouBYhE5L0HO9TJDykxqw05V3pi2Gbl6J+pdT3pg6jDClZ
C15FX0nb2I7rn9Qdquuoqe6BQ9VP54/LXzmgTyUZfgdwv79ahBPAkXh7/DuyvAYpIo/Fm6EmpiRc
TUr69gpX5wat9cZBZMrN4RSEG3QnZJgSceRrlWt5VdTdjYmOEbzf2Hnzq67Rv1inKB0/W3j1fVgx
wC4YLhiRI78f5gAZwLY67W3ZmdU/YHWNFyyT5cpV9LS91YTZhL8WpjbFleOpYaYGMgYC3RTq5nGn
NutOhJ4SvvUdcOdbkA71G1a6GFOT9oKtHyzZ38SoRBsXoVbo2qYweznRNlmYJePVIAtF+WGFUpC4
Y2B1wXrIIn+A3RmOYicNeezdKkCq833kU/TAIhN9nb1I1VS5j2P+pWW2mrGAnJhFN+56gBMc+Ilc
PqlVTkWLT62FEUCfZ1nF8A7UOH9QGydsXEfBWqFWHX9rZu0CSQzC6nwRES0FOAHUjwIpyeM8noZd
JiWQ8d6MJBTGTqoGHmIuwPjCvBzT3vI3Ras7/soCFqPclA3UMQd9o2FjeLmSYdxt6em2jHz7TQ4C
SVl7zpBGLvCv1l4VoSmCbSQFZfaQYrgZu10++ndGA/fj2rBrDcP62umyXWAXSvZS6Z7nX5UoGo3F
3djXoqhvMKJNd7pGj+VhjBCUvIjzBjtKbAkkgaewXvbtjm5MeSlHWVphMtwr4Y9R8bubzCxV27Wk
JvowqwCbxVwvxyc9Q/dmXUktZzKxkmIbDUPfXuADGnu7PGrVatUnfo59XFJE0bYRTt9c9vZYUoHr
tMEzb/M2TX7FlMVa11K9sthYGt6F74M+IChfxYkVrZI0Nny3R4dTj7Zm0nnhIzyQ5NUZWLKrjEa5
tSqMNIluRIFWd0OxQKc179ZGYUhXWuFZbxbpUbDRCie5K8qxqZFVwPh8ZyCf5m8qZ0j0fY/XrFjX
KrjJzdiWndjgcZvUbp30zgPSqqpw5c6onB1IvdhzBwN6+qr3Kw3rYqEN9RZOTxPuS4k6DWoGo/RQ
cZl5FzlqA6kL/KoPnpyiE/YmU8zAXlcN6NbrTJZFgty2mTrtBhUNOVyBxe2tq1bPFYvmAcpyq6Lw
IuhBQ28/a5RJzStrUJ3iideT3twauZHpYADG+FJt0A54FAFn9rrMyv5WNsqmcRMjCB10asfS3xet
2jtcgGVhbHQtV9Kd1DhWdCPHamzeirA2QfcirT9eVKEdOW5tB6DY0zGDlK/30lXY0JBbtXLUZW8+
qmjNquea/7DNyhpWhZmLH4TPadUi3e+xE1eD4UpDTyK5tfJu/O2PdYBOdp1bAjtjJEsQfEjk0rNU
V7RhZ6+4s8xh52Mek96OnSwpiavFBFexllJkA250EhPvCasbpdkXhe8oN7pcStnewwm7z1daU2Tp
k5+mkr/t0T0M3pXWLLK7SraSOl9XdeKpm85TBfpPVhrK0bMnBU2gup1SWbm6SrswNR5loIfmVZoD
sdpbRe7nNI14Paw4ek39JNuSmvlbddQ04a+6ULJat0tN3bvsOrPHraQM/biE0d0mdlS72Ikg8Vh6
ahysVXPwqKxjrHQQQ+DLPwO/lB9GmoO+WxIXon1IaFa2SP6r/3h4hl3pCuoAaxjiOJ2qbSlrT2Mg
Dd27ogkNOEorN9HPDqnxW13SguLaaLibXCIUosm27ePoWnid0698Q63LdeuYgHM6NU/lB5ySo38a
oK7GrSzzLhqo7JluL0XpuMIf1tiNSDwrrlxa5oc5ZtpLgQSGwvYO8Oo2hxGvY09oXQIN1KoqN0dR
yF+phY8damFVeYXKlY2chJ6KHsDRGCpI5o7NLxsr7nRVxVL6owK4aLuBmdv9RUazZXDbyvcwA7ay
PL0ssKSqtnJQB/tRSzRlXdZ4p7vOUA81KnhS1Mgbkqo8XaNOa9+10igVbqWbmbLWPSMPdpoeqTrm
yga+x9sSzmi8b2EuVWARMHE0XhEjSX95rc65TpqkCtYI0rb6HXy8urlMSrRor1Gjj9p0G8mjbl6G
pRe8GEk0VOtk1IwAoX4Vl3Kr8I0nqOdRt5bGwcKWFs3HNvfdwuYdvVLRzL7z9dirD4kDcmlFm0iN
cAiUp9nlopXW9PZVsSULQBBLNISo+7xV2wu5y1QebSVcklXaB+l4VXWJ19xBwUYkIYGjeyhpHv3h
etP9n342DNteQUnqV22ZvroyqhGoFyr/SbUzxJj9kJ3YMVa5WUbGRuv1RmwHWk7tSpiF3m8lmpsg
uGOcMN0hBvl4kdAlCdaZp1sv+MGGw1VXT3xjOzH0Zt/UzmSDChfZ7ca6zq7LGMzXRphhb+4zpWM/
Q9lWTZc+Yl4+6GEWih1YptbceHIGJr0SlqRcty0Kecq6Qh5K+RhSJKFuZYimiP4ZfZSo1/5USAUN
4LOeDndGs/J4zYiXJupEHu6gquMKvU5EMKar89nQrJ1B42/yQwLOQs2LatRc6J7mudc4Qzy+R75R
tRe5XydPBQrTzZ2neZxxm2sEH22m2G/zutaEm2aN/U1pnOlXUOEjb6FagjzLnO2Hz4GCHbapvHta
gnsyQf+g1E6cQTFZEqL8kioxFG93KuCwNXlR68epEuSFKPBrob4TFbNDNdT+lRWE5VstxqHdCcWK
lwxOZi8WJmdSIwUSjAgj7/h52SBGliomsQ0+nEQPDFeyRHertKlyXUtIkvkCNwErF7gn9LUiFj7v
rHIw9XWpLlKs+PsmNOYAu8zo6AyVUvRR16IvVvFghq8pJam12SfJ0pthWrqjxNoGKPy3JwdQCL71
rKRXlb5t0J+K3v2glh4iOFH1DXdHnq8V+Az22vAp5O4yozWcuzSFAL4p5LpoN6U/kpTFWgSzAE5Z
sfcA5T/poIFbyry10/7xusDO9TVk/SZ87qRAlrfwTFJ5Hzpl9bvITDMhbtppfjUCcmwvyPUybQHr
+mXjQNdHVoSnGYeRx+6s7tRGvVkhI2W8j2TL5XSbK/6PWA3Kq05qSzZt0eTlQq3ry+djzInAPjEn
J5G32SusbDJ7UCn4vk+3VuPCj+jCy0aidOLmjt8sKeAa86cRi0NpZKr7w4Jl68zm6HdIjY5BKL/3
EU5oWyGUrPnRSxXe6AYPmW5jlMoIq4evZ6wzNbHfQGe06ormDGypQUrCPnEjGJ3JY1AgeGfuYJKO
5a0qska5wF7bdB5G/MQFDumTu3LmCk0LxD/hIDyD9LyFndCjtI3z5E/BTeZvPKQ40lvHTtJ0pQJd
jDdqoyqv6Dp2imvqRQF2UtBF45EjouoyT4MxeNJLYZQ//EzNG9zbtb7J16C8ZX8l4R8u2SskMr1o
n+qASt089FQMjyFtShtLjY2oXdVmq1hblIDxPF/1emWhl0OwoEC+SVujnezM8zqjieZFoq0e9JEr
7MXx/DT7sILSqL5ZuyJWTURBnncytBhqV7OQhQJxFHZlN7zSL/A34ZjhWBSE9q01ah9YPEoLfa75
lWDCfuOBDJeLQqpKS+s4QtZl0CtdUMuvUs5bYWsOsb8dpFj9ISdG4u9ke2zXqp1okRsHWuG7lZnH
+sLGnx82fgOqvIRoSiC02+ZKop0vS37iZOqrb/rayrLj+Cnr8sClgq+TckBlWyhGfim8/B2Rgw16
Av0AKgPHs46F0hhFVKmvlk5WEdaQ95OgDLdd7nmu1JnjDn0OZZWF9bMUStGV0uj+yi6SJTH9EzNn
5Tn0SFZQaFJn9bTUCFIOeKK9enUY7mWYVxu9LYd7gFfyVVM33cX5BGAuXkVfgsNJWQsoNsvNbXE8
8XKwms7oTP11iJzqt1Un5q3Du8e8gk5jyW7YRLazrut4THbYf0k8cUup3DRqK8a114FP24K18BYK
GrPq6X9+FDqu8Bio1+pzYoGP/U4D1U1/BQYUrFT0lTZ2XjSyO7ZZ95bmaBFsx1Lz5JeF1ZiW9/Md
Nq0GHUzoNtyaX6VDq3gA30ZkfA0C23sGY1Kma4QsxUUR1JqzCfJgGNexFwWvsZOXL3RPow3EW1n5
5m3z93cwPmAlKtPUBI+/iu6EeWR0vfHaVK39IypVa+U5gVmTBBYWSaedx83u/Nxna05njKQIcj7C
bJQfYb0cDxk3Xa2NSqC+aI8EGMnF5ju8cxYqR7Pt/WWQWaWqDuBLG5Kvvhi422vKypcukZu0lzom
C3OZ28SaVg8FDHVB5uJfWA/y47BfmsksTM5nos3uShQ5DaEmkfrCpwmuldqV8O/55T/VP9WH8x9m
WvhPe/LLSNOt/am6V/RqYMklIyl38SXvFmNj3ASXANjOD7O0ZrMIqFpRlOcda+bdZOtoLT/C7V9A
iS0NMYs1WLrXnuSF6ou5Klb62nODjbQ9P4u/uK9zqzU7OSGgTfD5TKN4L26L3TZEbNxtfuJoa/4O
JTc8OHt/Le15XBti4RKZV0W/fKlp93/6UmmIWmPdMb/I35X6ReWthvSHXE2WsgZyvC436K1hb3xt
r2iSKxmFC7pdkq/GastvXndEOfOJ52ylf7PZ9uWXTV/m0y+TgVFFSc8eCqyPtLuvstemfDy/8icP
BKwzFBCB0hPCj4dQg0btiFrsn9h9Si+VN+fNX/vbfOHCOrmHPg0zOw35EIVOEDNM/ie+yH8NB2k/
7M7PZGmI2UmQTFFracoWajb+ZtqmWE+s/7shZicB1Twqmck0xKW49i/VfbGPl07CtOBfTsKnlZqd
hDLQhVUiD0LcyBy3vU4HF5x6+SFKjF1X8W/547+b02z3V74jS3XK7s//jFfSs3aZ7ZY+/lwT5D/7
+NOcZvvYipVASLThXrw3ca3u8jfzRxe5/WVbbuvn4Kc+uvUhWICzLW2H2cVYx3lfBiFjDsMKJYBi
LYmV82T+/O9Wb3YzZsJPqImxet2mv/jPptP254eYPsDXDUGWN/VqqbLM9jWYxDGt8lh9scrLXHq0
9UejG12te/3vhpntbYyRPQRiGEYEG8fYRfGlEKtwUXV1vr0x76DFCZHOBI2BiN4s3tRW2fRlIo+v
TmUHmauEfXPv2SpVHJoygb7Ns5xaDm+H8EIC3pStY6pbf8K41Ek7AI+8f2/WE6oShA+lAVJpVI1n
cWno+lKLak95teMEwLzcZ3elJKS1gdmZ21hjv5BJTav4+WMyHlxNamYAQ6i3zFNk3qb8nNgJ3nz8
03XXi8IEHqxnDQthfYoSx+NQ95h4b6SiVMzmDX6MtWlk6qr32laqXaCm78iNfNnk0mgrK0vk1Tcx
zqT7FkPR2adKhzPj30v201WV+IEV+mUi3rQiNXBgVjN5ZUvgfy1jhDQZ1WKpzDI/4BPlAIEh2B5o
b2HNOzt6NdJC8hhq4XulSuHVGMThnQkL5IYWkH2HLld+nWSes5Dhf/l+E6J6ckuDHomiztyQJ9US
uZdoVVHzVO1N0eO8CpRCXZ3flV++HjgCEnpWFNd7KC2zQyIJmxZ1qmTvpYSf34qmZf7oTCTU3Sh1
6cKN83VKNjySCVsHKYlq1WwwWwDaACqYvgsza65LiC73GW4ZCws3T4dZLKpvU2EC+DQvlVkUk72x
qyTqZj8VhY67kEzjprVC5cIa9HrdhuYQrXQ/xuQ3SsXT+dWcYzapTmPJjggDBQJenzwUOSyf9qYh
J3EhBb79swi4Etw87u3y3erlRr/J8qChD2CXk89LgUFP9kT9DuVv10QFXPonTvjPFhb8by3m6HCi
bAalcFLth6EJbuT493AVerSxdf+5lugURSsvrqxsZzR169+no29ZV2Wd6cra0OyyWvm0jRxX1tl5
jyWafuIfGI/NgMsjtYa4ds0go0viOkllVpepWhlinVlK3aarwafhfzHoVaR/EwjKklL4x7VGnf4G
93O2aYrEAQTSxfrPAd2sW8pBtGBaysgvpZ1iFEUbKYcBdf47fjnwYKMmmC/HT4b6OQcVl2zewDZT
+ydVn2gFjstzUXe2LunIa3tvNIsbHVP4/flBp29x/K0479DKmC0PbApsx99K7fG5iqPc+ynUdjQ3
JTrcCbyjSjMu6NTb1i7pEMbch2krZ1tTGnt/R+/VXnLf/Hp84HIAJ8TfkNOIIuvxz2inJ5hu+dJP
vbCy8aGTakdz4Wub2j6oCwcFlbIr8k0u0+Xb5IUwvPvz6/AlJLGUoKwtbJn+Qkdn6yBHQjdCWc2f
xxhdN3qpUd9vjcJDCDVrTH8pKH0ZjrWG4s/mgveFxs/siNh+aYFNsuLnBO9iMLhVhhK/FAlUDmLW
fSFCfFldvMQoIZJd/QVs/q22fQoQXdyXvhE00k/AucN90mjNSiRathOx3yEMajbrIYn6tZ7B/j2/
rF9jk4Ou0IQ0nP5A6nV2kPpMNrxST8pnLSil2zJ1nGu9jZzbfGiMFZPWr7Q4Ve8VTw9udSX4oyp1
ujv/G76cK26zSRYPxX2o/1jIHu8tx0hjXfILMnEumshNQy3eCLWLf3edkV3qhf8aAiranB90vuR0
Qich9AlCT4MGZtTxoIbeTdlEYzyXIs9+VH6T33dpp7f3NFrHPx2qfOY6NcYiuvWC0VvSZP0y+tRM
5NHL+Cw7JgrHo9NHLuLW7vpnM7fsay8Js+ajEqqTrEItKmUXyHmf7riaul0+0EL47lenOsitTt6J
CN50Oc2W3Gv93gzNcHjueBgpqyBS7csstpv4UmuB7Ll5nQy3Gaiex6iozMusHcIPLff6b3p3wyya
fFIBDsPdmujts1MtGUrnDE0hPxdVjbUICYIod51aJ+W+dvDHwggpFQtV4un/+TmiIqQFHBv8GSRs
0HxzfnDTp2BiADY8Y7Jmr2u9de7Gwvllp7G0biHxLuRS89096XZNvFGyYLRMCaDHnzo2kN6vKlE+
oy9Mza+tu5uxCset5Di+6hZsdDoiafX7/PaePuDxJKGGTMqHWIhMxomzY+3HhiYs0qhnlNkbbT30
RvRi6IO2dCeeGofDQyuAweg0zTZy2nQIYYeORpxspfByRILXWqVqWS6JFM0Dsjax1icNYXI04uRc
U68CT6YlSaM8+3GPF57i5ZuONqcboMf+3dAwDUVGT2tDw3JxLtfjNFGmA0lVnmkH59faiNB30+me
GxtsUTmWo3WNyMRH0jpLuIqvWxOY8oTax3yDbzavDiuQb5OqUf+HsyvrrlPH0n+lVr1TzTz06qoH
OIOPR+wktpMXVuI4DBJCEggEv74/nOq6NvYxHb/cu2InDELa2tr7G8xbQM2DHaMygEooMo4whp+L
/9lRAJ2+P0/euCParLNQ0NzuR4b6cnYOhJmk7c38NihIu8v8oNtFFosgilQAAx6IaaVN+Go1ALE/
S7PiK0KvGPnwy/vlzOzrkanptmpsClshlJTgkVUkJtbIIa9Nf8sbdf/+O76aoxAHNCGHCA3zAKjk
ZVsQBmOsCCWbbkkTGVeEOu7OacdmZda8eReISYC0A2VA5Kcv3yzLgQFRIFjcRpbuNiPEXQHQLPTh
/XcBLHe5slEkwAQFd/FJO2vZcvR6NsHC2i2/ZIY0urNMjqB3+U4jyA/ti7I144KY0AqNHbCOoyqG
oAa0FybZe/XcPwcv7ueYVe144g8wMYBeNC3ACYT2Bm8TeLnb0Q+0QYKRxJGGRdk9tKTg3pAYhT/I
KHahX2tgi9a+PyXONGT1Ves0qsqgR9h2/l7yQqHIVc0KTskwysIjmww0uFEnOgh4fZbzDCgLePI6
qPruWwjDAsZVQeDfR6U9BMDyABycKNo4azzIZCWQL+gnIBepy3vvRIEyCUjT2NjC8uMCEA4SoCqp
Si/uB0fW51EFPN8lRWNcDhtSV1qQrSfakJzB57Fo7svKbppPTAC8Ux0Ah3crlgy+mQGDOsIrOS9i
bsG2GyocStbCiCHuRAHlg+lWj3OO0fmwnxk8IQ6oaljV3VTZUACIi4zj1BpPAy98hZMSahUntemN
0xWsjzsJxzcWkl+mg5SD45QpeuMq80aFkicIHtVOAkZcPmSlz9i2BLbOOqnA9ghwJY1veDpgB8l2
OHj71a9Gd8TciYIOQ+KJqfdvnSmSInY8Ytc7XTaTmYY57PPO7Zx6JTB/Dlckj6lTwO8O0BqQr+LA
hdHeZWdlFLxLrcCEPaGkDIyTPHe6/saVNK+/wvAd9K9IR9RLiQSi7atposiiE6uqLTElZlC5jsQk
YQ3cEeC+9ogeI6QiG2HrcptRZ/B2Xg483D6KmGFuRrvV7SewMFq2H5HqFnuOmvx4KHwOvQiunaza
9KzI200QGrmbDNkAbWiVO/DHA6gtGhIpHIBU3azn8hTEHD/8REJDhfdjNkZySqoeAkhbbdAmT0qp
Cm9fCrMuAO70w36HfGwiiRe2oCTSKZR9POLa5aa3TJ2TJCqB7ypjt2iGYIxtfwiJxGQH4HjbC1+A
ygBeSDemRmEY0ym6UXl3NfTKLr8CxO16+yELg+7L1FMH3Pqc6iGuKUSCvucVGAlbIMdUzZDUtTPc
HYW31vxcuKLyY0hYF364dQMoXiHpalxn5/sg6F8YALx6KEn4vRnCeLeFDxWLXToCiRbD0QuOTA5E
P+RnPEI4HDROrRSCKj0cKhXEluqbpjMm/ihwzCeAIzaul46hJTwzKYG2soByHQKAjzD9AFEUkzs2
CSeBN7LEpJZs0dVHVlxDcZ05JXDzE6Bml9wtAjBOaZn12TeBRwKM0QAQPfM2FBrt0Y9BsEx/d3ut
oSyTQ9JhhPsNAsFFRbI6P7QWJA39pOGwW9BJPzKoxZlGYDXQxmd5NXmxDDyFPdViuWGd9H0u2U/m
enBEPSF2hZHY2AJnoZ+TpcJyy4ogj368H11f7YYQiv5NhMI5DDXSRTaD16gAhafGZ4u2LIwds3ad
BC4z+sKnJUKNyXi5siEu8xqgFGY1UPTPQRHEpF0kaqN0xkFIo/5aFYHooG5vR3KnjNLRDyCQeGvK
TsuDhztnhA5uBvArYJNPx8FnJ01YiqI6BqEx3G6IokRlXBaPRDssPCOyR7SxSRX0DJ986tp9YXva
+vr+GL964SdTSqjkADA0a2jN++izJ/ACk8PMrqJ3HPD2u6hwip/grLfXtitAe/jje4F1hVImzjgm
IBqLPdlpQfgYu6C6U7QKThoOw7UNqtFdHxe1gMXa+3d7NbZAP+EUjWI3rCBQYVvMHtsdDSDcFbmz
hgao8giUyBvw+LoUsPl6D+KG/RUJLoFRQ0Cbu/fv/XROf57wz3QGmC9BM2bm8gBQ+XJYS9dDSQb5
4d1YDNln7lcoXOyiTkDjNmYGuCQ7mkMCIAHXyH5o5JjrGnwaDgvUxJ5cbV33QWbolaLrUzvh5VNB
whN42ZkBN3OaF0PSQv0O6GRp3paz70e5LzxmgrLBQuQkKaKV1nTXjSguoJRTTQGqiFUhw/scQmNN
Itqetk3SZvCEwXAKFuYnKAUyP98Aqo7o4vDBpH+6HnEaRi0f9DXohAegs74cR9g2jbM2qX2vW6vx
97B6JPbJwCPkQMiNirWzxqv6C7JSGzkj8mHIQ6AAMk+qZ8uhFJiJ5eiZ93U1uc4liu623mSh0/Jd
qUVt1fGQIzzsbdvoKisOEILyNOfe4OykF4Cl8/48ejWH4QqANBm6b7MTHh7p5eNoYdp5B+Ou+7bN
gq1FiQbJpen3XmW1GxtuH7ts8kSiDcJWOlOv4gLaRTN1cVZKnAGliwI9Pr5R8rAu7nEgQ6bpwFA1
O+NZ5IIhAahj/YdVAEiwIYHGf/ChoWKwPJbX3dBONZLe+2AKyAG0tfLgt5FxA4RwdfCVTf8QxIL7
zY5hCPcIQyh4LAYW8j8SVoK6BUS9yQAJ9fv6Frpzmdx0orFl3E6eBGGyztwVVY7X44rDD+p6KGJi
XLEUX37RAc3bOdTre68EQO9UVJHBLoqSTdUmYBUYcu9PoDcm9LylzcLTFhS2gQ58eT+Gtlg99IO8
NyDAZH4uK7RdNq0IWXNmjrlbnaI2AHXYRntIMOq66/SmAFq7TMKmJGvlieWGjkMfJChxYELpBfXj
pc5fTeqwIP1Q3ONgaG1Gz88OrXMpAyfJUc06ef/VX480zhWQE0fN2IVT2tIMWWc20H/tGN1DUVh8
afhgpRX3FUVONeU379/rFWAJLwbjVcCuUT7DQC7fLPNZF/lKGvd1x3KcqAIPTKMygSBHhP5nw2k9
XjfI6ms49SrTAEtORfSWCzTxzrlj5HmHto8dNh16wE7jWjuOA4h5Do+igp7WAKmN9woAau9LocPh
0/sPvxgokLTMud09954Q+VD9fTlFJqfKNdLp5mZQlXMAa5qedJGJLBy2lCt78uJWs9AEJiHkD6AX
ALfgZQbQ5SD2Bcy07tAhCopTTD3xNcRpszizQOkzNn/0YrgbgKBgikCN6alJMj/Ns2Du1NJs/aL2
7yD15d2BVwismm94WwFyz8o6m8foxc76dCs0uuFrCbncZYN99EZQ+zIfclNAE8/HvHxTQjLppKZi
gmN968YVZs0Bu3q1zSf3D+Xsn94UVEu0a+f6JkQ1Xr6p8gBFIqUI72DADajEpCJGkGF0BY74uRmt
KWe+WscgXiOAokkAiCuqjYuBVY4BWyvbNB5CT8FtsJ+cpFJ5foohaLeCsGoFvLO8H2YNTJHQAEdn
H1XiJSqNlGAWQ07e/tHbfhqGfX4q4XT8eWjqOxy11ojRr+6GnsfcCgAtGjbj8F54OZi8HTqCZoV+
CDoTDf1JmqAjBk1U7u2Al3w7QhBhrdS4LFcBAwNRQzT30QVGwF6qg9C+k4Mik/kQRRlLIZXFzlQF
J4T3F8Qbb4ayN6SdEBPhkbbsM4D1VjI3bMwHQ2X9LTg80LGPWrppRreisW2sWVUulzvcahBaZnlV
NBNmhZCXI6lA29acZ+QBjHIzFlFBtz0MK+O+EtNKvvL61dC+wUfDckddGtniy1uhwoWxlbR7YNqX
exM6FnuceS448tOLUbP+D48yOLFBQRrtbpwxTActhZe3Q45ciRHiRz/0MBCYBofdLndzmviNz/5w
H4OOFb43RnJuHSBpWUxHmLm5BIOrH9pANaDL19OhNOz8vABb9fYP5wc+FDTDwBjBHo0dYZH9Zhyc
X2fy1MPYRRQCS+1pmMOWB/SbrjiRub+ya85J1vOgCbEqLC/ghFDoxj69nPRw3QHwISr1Qx7w4B7u
yzDDsLQ5gF+sAs22CjUx6AkAz/SH3p2QyQJHBPr/+LdIN4Gke/n53IGb4xSy+iFqsKHGSBKzeMIh
O9E9yLkrc+XV1MSd0LeAcDP0qefJ+fJm0oeKwii9EfHEj05y6FT/CpSa7kKaeV9U3qzFr1cIZm+2
W/RmutHs8vXq7VA7K6iVZcYPiCKGGhIIlE0HqAZCMCMJqcxYmwTTSLi9nWRLhwOHWzJPmCib4jBC
vLs3477EZIy5Crt60/VlxboYVAZWdWcV9gU7tszSNFTMmJPVVqzgGB4Aq0PLyAABTCp0ZlxR8P7z
n83PGWQy22Ahf0BtxnUW25zZWnU9+iz/NWbWeANRB3pCo1Fste2Tr54Fz4r377eMX6DkoiKCfB0N
SpBrl6cEU3Ejs4V0vmUNWGQAnOgYcgNkD4m8YO1svtwB4A6DMgGUt+HeAPDB0japKbEGXJy0f4DM
3fuP3IQgtYrzMVcG3agcNYpdPsHwdWdXHnbDpC+BrNRxKbBVQ9qp6zWjSW2UlVNtWgDF3PMpcqWK
EX5DujalX9U3YEw0U0xQR4CsDBAgi8iOnbPoacbpg4JxzfBoC/D9IDbckwF0aRSJDYhAtSZ57HMD
1H+IvHb5dQ6iKCqaBBlyvmfY7uu1vGQRUGbq6lzYmAcQ1FXE5pcrzctcI8u41d00hqE3ttNHu5F2
9KAbphLSlgFKaEW0fX+SLI9YT3cFIxgmNDhlQNZscdc6l1XmU6+7gfcP24XVUJxQuJucNjZqK9Ib
+jMkEP3ORdROfIhSXoGNtoZ2X8SY+RmAgkLiCTwiVsiSI6ygUtJkbiRu+EB4lXRhZsH1VI3hPoCL
wWWXlwVdyeXfGGwUDSH8ByTS3KJdkNwADh64bixxQ9TopAwu6HujJxouXFEHPQeEnClz7f37g/3m
TQG1REsPSAlUaV5+YQMqGLyrB3lTV4QdwCGme9MS5YVRMtgTz40Eo6mGlS+8CANPgzt7NGJSgcUI
zNXLmwov5CjudO1NQxhE6dBaT8CfnDauqI2VzX65sH7fy0e1Em0pEDeXeQytDIn2iS1visbw2UGh
PmHGjDZudjZBIijfMbdG5xDLoLJupFW546bIbFnFLpQ+utgCoVms1OAWken3+XDeoREDUROLFmNu
gkdqDyZrbkpa5hdGZPVb1RRrGfDiBPV0l9kQAyMw5x9PjdZnh7XOKhERBGc3uhmLC9W0D1Nt6E+d
mRebPIJYKORSuj0vKnECwOS396fV8gvPR2DUil1Q7EHNRfP95ReujDyo+twtb4wpqq6xdRpJ1Ez9
qVci5Xr/Vm+M5owdnHfnGejlLrIBtJs0Nby6uTF65aCVpLsrm0bk+/t3eWM0ZwwI6hHAt3oQ6Xv5
QlAhysy2NPgNscDLo4UpkyrL/I0DWcBtr1xx0o8umtJi5nyDnL5mHr6MR9DkgsUAZjEmMbaJ5U5N
BRkccFK7G5DeIOydcfSkTac06WZ0bP6NeXm2toHOq/BZNokJNINBcQ6HRgNgDUtMJDAcnBTCVjf9
YBhnxZDrfDtMRvsTIB/YLQFJbF2yrFMPUNIYDjW6Wg8qKuoHq2z1D4rXKH9nD//1oP87f2zS3/du
//U/+PNDw0co5RTd4o//uuKP7FMnHx+7i+/8f+Z/+p+/+vIf/uuifJBN2/zqln/rxT/C9f99/833
7vuLP2wZBLTHa/Uox5vHVtHu6QZ40vlv/n9/+bfHp6t8HvnjP//+AGp9N18tLxv293//6vDzn39/
gsL81/Pr//uXl99r/LvLRnbF384a+YhZ+/uC//lXj9/bbr6A+Q8k3zPkGUUnlEswf4bHp9/Y7j+A
9IR7JPZS1Jbnzgmbr/fPv7vOP8y52jCra89oqtlioG3U/Csn+AeOLVjCmG44JOG/f/+/p3vxnf76
bn+DDkzalKxrceEXMwmkLeQzkHy0F0nN0Jcln6fNTRTU1YnIcwvHrclcqQAfu/oijAZ+ZpptJoxr
Vnlf6w5GfCOddu8v+2PXXuxQLVqwOETW+U3GqquohodJ6wXeBy++CI5OxztR2312zWj1jSN4HxgO
LSt77LEnX2QRTt8CGIF+9E07ALMRhPaZgdP975X4YiE+/6Avw/t/Puiyshl5k8s7yFnfuIaVbdVg
NN8pM6NN3tf24UMjvxRaGHAHY5pwC2tU+qwZyC6gYJ187OJzNvRsTwzhNabzKsyuJ4ouW+a6t7oz
V3aKY2ODdfb82m3WV3BoKqProEeGQSQxE88qiyQszJV5M+81fwXmv0Z/vvOzp+8arSeG5PEax/vp
gg6cn0BYw0q0V3ZXmmRuzCz1wzAD8kdb7F83XKxfCpiW7iBSc10pdTlBeyKmmftnzul/XXyxfJEe
MSgY+MG1mfvfDNrTpJHe3fvf+WlCvjVUi/VLQslV0Kr+uhXWFh7M2LiaOMwOdncbTl8aOQGZmlTk
iohqazA/dnI46z1k2QEAQfy3iR4yM1tZNE+y+289zGK9i8Zq3clv+2uViXjgw27Kz4z6Zqgu/JyA
hfIDJAiIr01xbx/68B6+pjHDkqVCnGbmeR0BY/b7f6IHEMw+1DAyKvpgVxvj1mh+OVm08qRPFZS3
nnQRPMxQZlAb6/trxygOjvNjBIjAx4g4+kyynTWMcV2DJyDDzSR2huKJ7XZxQHVisuiUkDXEwZM1
5xvPYc7Z2LOZTqMaabs91tcm6LndEMUDRi6su73lY4QgQWgfhvA+49dZvrMaHWN8mjEJrD6upEyg
kogTcneCv0zILgOkCBoZ70+sJwmwt55skQfWY0BKZfDyWtTA8tsyOAzavA+Fm0CqiUMv0kwG2L7E
BeefIJoPvZS2Z9eZV932oTxvTfGr5NF5yev7yClv7NG4gC4pmvH5F5COHqWqN6OlT4fWTiTEE0PL
uAiUBIytaA9d5nzxB/mD1OZmgNF1wiz9Daov24KKTVQUZ8oYkzLLTiRcHoppuvQ7/Ql5wSkk/vZK
BWfgaCWFYZ7OI1Za2WYsxsu2V3sIs15DeehbycQF47MZGpwJo17ui5Jel36kYmGEO2iagqZBoTQ1
7KgmWwmH6KQbxM6mGnk9Pw1sIB57cRZSaNRa7IZSvssBTk1GlaUoWH8sCi4xF7O8nPA6IlK7xwZX
aK1jf1TFXlG7vjBb5l4VkwOApVpjFRzZUZeOo62esPWPFd5B8p1dyh3UEz+2WS+9rarBLt2otnnq
DpgQU+fHNudf35+qxx57Ebzdpiahzx2RQg6Ko0+XXUIw/eb9ax/Z65Znyx7e5xUPPJGintG2MeD3
xXVFZXVVCT9aa3IfewH7ZRBwmDOigDe26ThE18qlp5VJVlALxy69iMgo4VhRKwKRGgJF14k2N6qK
3M3HBmcRRA1PhwbUv1sAgMIhMWDJEVsQ7N2TzrQ/NG+gFv9yaDQoC1z4lkw7Y0wn1OaA6WRyJca9
PTivvLUVlPtYn08yHQLsN5GXy5NBkuJDOYUbLVIwDXXpFvq9bUo1/RpMZez7+eP7A3/swRcZWB0V
Y2kC2ZxaUT/Bo25KASlbEw88dvF5KTzbkoDapV0Px/GUwqA+ifDkCauDD61VcFpeXrwCeK5B3Vek
REcPE6r+UGBbU3E69uCLPIvacqxcgEzTug33DNLGm9YSa3zCYxd/tUbHVhDg2lM7yna8tScAm9tx
87HvuVilmaelIk6IKAMzs5MePcpNlcm1suu8Vl7v5K80+usewtJD2XZppFwVe1Oz6yn5BMfaM4uC
IeeWp6yjfepVbA1DdGSwlpy81odyrknmweLkF+ZT4rCs/diiDRd5SQQvRgIhIZnakiPag5EeN657
8v6HOJKPAf3zcn52QGHnJTd4CgtG9p3VnvF1CqYWyshZuJ2ENncE0yyhTNiXQMTILBZj1iTEs26Q
Mogr1nuA+Aej+qIn37mkgArHDIjsjQFKcgzLweEcXJmfxAeuAzqD/scm0Ct0DKkDrQ2zS3kYPuba
RGOt71au/fZh7JXFaqaAbYu6Gh8zIMZJ7cmZqRHcQmhzC+aJPFd1obaUm+3h/W9wbPLMP38Wfyb4
yINoILpUUxNVaei/W12xZqF67OKLGAGkQcakMrDVjn6WGDLo4jZEbH7/0d/OFqDM8fLRoeokJqrG
LvXCotzkk1efuQP6oK2y1rS0jr3AIlSoymthjUNkWgDgGnfad7eBDy+K91/g2NUXO3omHN6VOmzT
oAMlD5rAP/0xXzvsLDoV/3cQht/ny+EJYWFfQx5BpOjruweza6wzyGU9APCFTFzwaVvp3jiAnE8u
xtaOkrZyxJYWwZ8Zefx1/0XoaAKKKOtLmQJKedNweaZY9OtDA7csITdG5UoJDGTaBO4DN92fZtv/
fP/ST0rBb8TvpdnCkIE9lIGdmVawUz5YQI/ElcMinFcNu4xzmYN2U2l3A8D/nV8U7mYQFrTDEaxO
jW5SiV9Qto8m0CuDIVKfgpoZF3UZZrshqhucbkYjQfOzTuCEge04I3I/2T7dMjSS97TwPos+qzfW
NED5qA7tLWAOIi7CAj0AluVJDx75SUdbODxoYJnDkk4JwHniOhw9fijoSOMONh6XRuTC+MHP2k0N
m9d7AoA2Tn5ZsXNGYn9qRt3dZ2SA15mA7gQY3ON2DM0HNbZVYg5BtRlJCzjJABw1SBjmfvCj+6CH
POZgh10MVhyPS93/0NBgSwRM6VZW9JEFsaQctoNBYfXQiLSrNdmMkMqOIXK1EumObMxL+Q6/4KEL
cWie6ryEyEYZBbPQ7CMcOVFzCBlIXRUHA8eqcPKYmiJfSUyPRKml6HcPZbA2N32eIpQXB+jwNrER
1eKg7X7lDsdGbf75sxBuK0oJRGJ4msns3KitMAYy2lr5JHOS+9ZyWIRwYkOTtTddnqIUr5IikkPS
RwEEK+EYcLAgVbvydY69xCKY64nUHCpabdpycaUkDMxZ8/n9JX3sCyyCuAY+OhzFIFKI8zhfQ+nU
N8ycmm3rE3Pz/i2OPP3SYG+cAKYMIKycmoV5PvDxZ0XCu/cvfeTpl9QCyUe7GnLkSBJ6ZWed4jY4
eL554eFwvPKNj91iccBRjk0Cc+z8FKLPEQwKjP7ECSRP+BjqD1XI3SUOTxkqGCW8AVKfg4Kq3fEL
nGJWoIXHBn/++bP5PwXg7/aAxKUGrBxjVckL3n6ssg9cwctrk3FQOUB9flpRQET2xQcPw0ud+gAc
zNEDXjAFovRQR8P33Ik+VIQAAPblI9uwGRGyNX34JgFQHGRQYKmGds2+89hgL3IWGRlTNsJOKxWF
ZW6iRrvJaBV/hGT4T8qwJF3A2qYXHq391AM6ZAOU6GU2Gs3KLJ8PFW9EsiVlSMJX1FYt91Nh9vxy
gNdFkkeyPFGRJRMAdgZ4jAx/Bm3/603mh3g2J+HWK4O2d7w01AIkrKopIXoEpRgf8K/d+4HhyJdY
uuxBCIPYQBh6KRy2wMYWt4YdPX7s0nOgePb00J8abS5HfGQB39cceL6d9qw1lPOxB1+s19DvICna
Kzz4mPUQ8WKf+sL62DaypEORIjKFU/oyBaEmBlAFlHTu3r8/Kk+Iqbdm0GKPgl5JWFQA5qa6Omdd
AHV2klC9s9nnrMg2Lb/Qpbcxrb2uH23nB3XuTHc6c/xDACWa+U/itJzIbspW4t5CmOyvSbZY6W4B
CA7M3oM0zIbY1zoJNd1YgsRjZB/M7ByNClddBaI6kP4S9kxJA0UeJdy9hqcWNFDJTvh/5on617Ms
4sIAPeMJzhBNiuQAtl2eE4+yWtP/OTJjlqwzmL6XHEfJJs1C7yJoxOlgG2uR+Egb7RUEp8iIP5hl
WKeh6oYHr6jUoeb5dxTnyx0EF1ADFd540CX/UWT9Z9fit5yZ4Y0ewabgniriOvchrUJykN599K2a
3io3DgRqrnrLza+bFn+vheTYSdPwrxCa6KEDYX9Ds+HCEWLNCfPYCC3ijUbz31OZZKlhQmzKhjFj
FPZraNIjOeASCjXVjS/AXKtToelFM3ZAROBgB9uk+rudDx9bue4i5gzoIJX9MNA0yPV3pfIf/nD7
/ro9NjaLeDPBOcoRRl+nmY62dVSlFQCxK5vKk0b8GzHBXSQIZVdMopg0TRV6lodCT9Yn7jTVhW1M
0M8EEO8Q1S0kWSOY+2y63NCXzOnozaQcmbQDp7uBdOUmHCr/R1ECYh46zNzlJUqHcGuZsRDWZ8/W
9i4Deheipx2Eq5th1tjCqaUuP9aRBxhsEfDpBMAV6zH4nRVLu9jjRLH52OgvglQ5weeLypykWEV7
P2C3XkdXAvKxD7uIORDAxMmVdiQlIXuE2MW95a+E1iNXXno8moMGNVI1VZpDvnPrtr7cFka7/9CI
LJ3PvUBCbHMayhQyUPUWOFBQLJVYW6wzyuqtPMdZhAKHGbDmsjQuH+z6sU+Q1aA4ds3UAS332gOG
pOq3ZvPdmbf28hFw6X3tRjjZH+a2CbGmTQHDma4YUD+4DV14ktU6ziMYTA/wfrY+YZ0m8H2BOEUc
8jsAG5Ajw1DI/gTBm22L6iTu1IX3A37qdbvft7Xy4GM1s6WwI0wxbIiDUJrqyfxBGoRW01hbzMe+
+iIEoRttVQ5pSCr7Br1ymHCVa7joY5eef/4soyojkvsgf5M0E/l5Y7dXXH0sbi4RnE4+VAWZ6jlu
ouQTGv421/TLx2bqIixQBJgC7N869fxD5qbig/v5UrCrqSns3HxNUsjm2ZtoljnhSgYfS4yXfhQQ
/mSwdVG4eiMu8kzdoy5396EBsaOXn5FBHZXU0oXPwES8JFcEWHpK2OZjV19UTAuvgQdKb5MU4kTw
lWzIpZvZa67VR2bgUnKOw1XO8IWq0pHmdzALbZMWIkYr2+Cxi8+Zw7PpDZXg0BkmzdKRg9CayxgC
r83HPufSnYW4EEctkdWmFjxztv0QIuOKMvvkY2O+WJgTqk65b5V16gr3rq7YD1hbrbUCAY5/OxYv
daeznBOifFampm3sEYjPsew9/xax1hPhwaQyLutDqw9zjIZu2Lbo7nzUYu3RhgrwtAFZeRPVxnXe
T1tHOXtZQ9ei/emQz7gCPN2gZuSd27iKD20Wx1cnqP3Gbj0eHOu8zOsNcTBJm7sGp08fsd0hZtx1
MpZTigDOmXfSqENv7uZQ3QZDzM1qj59MmBbGYB6wfwinODD/m26aIJHdBX5pExcJggN5i/FHmP00
wy9WZsWue4XD7jk2A2cKf0p9CPxig+hv4GOFDQxIqmLeFholYquAHHbxWQTdJy8XscaLlPymqg8E
72MUj9kI28PooVUQNsJ9cEkLtWAjA0StusBfg1fyFs/hWRrILZRw69/D2EL0Ujr7zkX+og+8bRNY
WuPdquxR9XyHAcFu1pv8NKPuRpXmpg6gvibFaWfuYCeGP+7mPW4MrLju6VVjqTNUDO7gA5Rgl7O9
Axnyc/C3YUFZbnPbv8Mz5Kiv5LQ+sa172dqxz7yvpVufZdAMq8GggsvidsrBMu8ubP88QAOpyPPY
RwVVtTTJTWurJxuoN3UyD6GlzQSHMmXuFNzk8eRd97Vi8GkbxjNmwh+0AHyQwxb4ML+jre5D4oPk
AYnpydyIDxYVnjq1zxYy0PhkgNxKlbYVhL2szPuWt/7K1j0nIG+kykut+bxoYSXGcYwIuuFzAK4K
OlCq28IwGLgxWXRJOfbeyr2OBaRFahg20pc9MCEpKfLz3mu+uLm/QmQ4cuklWFkQwQlTLUl9VbiH
sMmCGN7Kw8cefIlT5kpHfj4fddGxua8HfUG6eqUG+2Q98cYHeBLHePZxBZrWHhRwypRh7he6SCw5
nGKBFcrbYv7PGU9LrgdMvb44KSbr0upWjmBHPv2SWkt1x2CIk1Vp6NBf6HkZaRa1/HMNU4VfTulF
l6EC3fz9iH70NRdpnBwz1+eTX6Yg3YqzAaTma9Zm0HPK4NSulKEvWFiVCQwyVeLCkXXCmrSiA3fa
MGFY+IcyyK2V7eXYiy+2F6joUCppDafcquEX4ENAQbAN6X0J+hqiJiwGVUXXDLmOzUzn5S4cwqIc
VPeKpZ4evgsa3tdj/v39QT2ykS2ltincymoJEEtqQSMX8TmAdy7pI2hQOjDOIzI6MSI6bkDFbz52
BHtqaz+brIG2xizUhKY2g00kAC7oNtIPNhqfqKLPLg6NFbv20CxNydB8ZYx/hzf2ClXtyEdYYoyh
B94aoatoKsh4a/n9N9Q7VybTsUvPH+fZU4/KILBAt6u0C8xbSO3eCemtlcGOXXuewM+u3VSt7MzG
oin8CGEqFe2o6FYSuKds5424s0S6WlnYKBq5ZSoDuz7VownXe692P7cjVO8hol1CEZGF6C43hrC3
dBivId4DDVbIV1WbQpXWvmkKOwbnst4YI0xsB92U2zKHfj6KCtaJrHM3dvvc3xG8xGawLUbAthTZ
ygscO1Iv8bSyHfvB4lGRKs2gZ0x2DJGkQq8c4t+xZtfIZ0YAKvA/eEjGpEc/AanW4N9BmH9beemc
UcFiG4pcu3ZKbfKZ16eVNvBGZI+f4VDd+fWWBNC8bO4K6W7n1KEPs2TOtkrnW01uYE24cVz05Fv3
pOt/muq+Vyv7wrFPP//82af368DkXoW3Q+JbjntrbZGBPj2fi9768ouIJGHbOKA6WqXU4sWnseRq
h+Lp9MWFVOhJX1J/G0aR3BKrNrfWAMNTZtgG0ORR6Owh6DEkgFuDkDhJlkRel9kJYBb1LYyAUa8w
WriTMkgNbMp2kJeDLFH0bnw/7sER3TuqmBCnhv5SNx45h062BW6G18EVHlb1Mfc7a9eBhH02dJBZ
kHltn5qSIxNpK9bvCmAO8YVc40vYRDcmNTdQdLwqOlgPO9opYuoBkNFNI00Cyv+XozNbshRHgugX
YQYSIHhluXvuW2e9YFlVWYgd7aCvH895mx6rrs68F6QIDw8/smB8Re5AM7MFSQsWIA/EYd4CnlNU
8vtyQBo7fYtd7EFHn4caSZndv8C4/ivLXfptF7t+cwB1HzxdhqIb8qHOPX4IWLiTQpjIfDTYaazx
hrBCbGyGuJyBmtpv4a2Bif+Qrtt4pn2QVQulTwju/91zutdNhO3YJB3lqdd8u8Bnx0Q5k/6GZaL2
OAjx1f3sYa/OxndZPH0jHaZ9B9H3M0cM1oeY4uQaE9UcXRyrQxKuUxlOPYwfM3X2YQ5HfXR6M6c9
NWk1wqBSAsPCLrFStIK3ApUqljrLaenex06u932w9lUwNuIdPRFY7Hm2pl+xiOKHXssnXNelDnh8
2kXc1vi7gZgKEVU47CbCH8BU2i3KlYhXHeqRsfYB7JXuoVstEsmMDgrT9b+w2D7V+4BjZJ9yf0Jg
NqlkENlyCJV6CXqG93SN/8E4FB8z0s4P+Gvh9JDBmxlhqB7aDS5B2xp8VBYJu7vvmhDT5DT43euc
VHQ2a9UqpKrSCBHHrafm0E2MVKrl9gQGTnTu4wjfziYBlid6b8/AGLNjSqftM3QJrXIR52ckRodH
jZCAYvyJlbdLl9ehTJPHIDPzbz634HQqGIIOC0jElybt2wL+blRlbN9fx3n0vAgDDn2f5nssijHN
VCFxtsI+tqYlAofhQEJ+Jy9NxIDIQUCUG8sEiLBbjjv0Seq4/dYpYuAtwoZ/x20sEWg5NMvvwZr+
kAdY4I5MGB6XhmQVSNjifsk2WqLJoB9TouhQqqDRX/1I2Xl2a1urfdzLnocJgnGNVf+Q8okndAmH
S4Z9u69OIo463tFdGjvsmBUHw9GInRxs2vbANgRjDQU3LbJkzcfCmk2f/KjWs5wX89UkMrmsjs1t
sYzrhjdCxxfHlrOVFg2vQUtFRVRo8l8iaIlM7LOUjlfI2XYn0TGPVZk8f9pHPl8Qm0s/VdjRu8ib
bCqiPQfdGy8mSs+xPe/Brp+4WvO6xW1yDF0G1Fav2fQe2ZnekiCWx6WzMSZm484KBM7T72TIprTs
KUhDMJioqzSQayCcdtE95/nQnGw0p6AZhttw9TTxwQ92PTpnhswPmQiHvAZGCt7RJJne3Zz0xwkb
NW9a2Vhhe0sseZHzbKvzaBp+AqI7bND4BQtUnhP0ZkJO/mXP8eJswvm/KvHYWMnGdU8rnWzhflgQ
KWgwdZ4imF+zANcPiRf1RNO1NfCBb/pPH7Dm5y9KzLvJB4hag3T/Vhng8OhNtMFtRqh5yrxKa0vI
5OsRtKIKS+kuwHRipsXWTH3puMfqYGPWe0Eme/R6oXWyGmxXxUxNCFUj86XviMfMAr/NzKOxkAhe
KyKkRddy5/Q2eaWvQkVBPS0SIuaShbpG+FpQgS3b1vnszFMIgbDa+jSsgbxQFdIJ87JDqg00bAlX
xsCW715r/4UkP1UgQ7xB4nhXGiHKZqFd4efb6hBiXjgPU9mMB34r3BCwU68MqVjQumpP86VsusSB
72ZTMlcEs7TfmRXYZHJh8kjbKPUFjoq4wm4BdulWTQ4UBPKStXZEtg0FqTkxcR2A2VGPEfdlZFvU
r8qRcuV6LDLANGUV94h8v4/UQsoE//OXdtp8OOPdrYUV9ySY2dZaN9nwgiD65onrzkI1kWFYJOuY
VQZxqkExNdjKKuI53IoJ8eTFGogEvrIRyRJdGn3RPdG/94lBvJgjca8z0aBUb6dLvG3zmQI6XqBI
YqVY8B6pRCCoW9H0Id2xY18M6YLyZsdcfm5Ie+HSzseB2LgO82l+C4ScTxxUoft1j6Z/PU+xprdt
D5lqULd0ij7gt6Ilnzb3jfyU/cnGWV5qRMH+nvo4O/jdBh+xjoKzMyv9NFOEsDFi2mqjHc42LP0X
bR/+irr+TzixB95PcdmriD4hW8MX8Y5E2SQy7tCNzYsjuACmeLRFpmZf2TzpK6T/rHjyNlMZk3wh
ozsuyIQfKCMIzR1nzDAyHnhEa0bTHWxy+kFNTiFHFGWltZThHfWouRBgVI+UBDgbt7xYOU9qSVHb
iSEgCCmHRZPrJikNY2WAqrXYJ/z/Lf1a574MDMK4sZpeOlwZT6hn/oQzQpr6ZEnx5/LgDpvz8jzB
HQvAdJKhaN3gdSGHXIznncvuOMmf36jV7UHyKDpmrV0RI5/NxyzW7F4GjT3kwxo+u3SMagzuhnqI
GwpXbzjQY+fMjP++HPCEzuH6Oq+IfTgsKhpRZyEh+wQoCeGVMDYEfQvx6N22IzrbpKBD9Xl62Gn2
Ka1B5kDQHnewwepxGXCNoXavKaC71UiBa5/XbboMSEpC88y2piZk0wc2mP8jCGJdLyTJD3Zuv22+
7iXCycB1yOWMvNJuCsYJm5OdfE33bMVhNcUVj/KmDNd0OCoQyo44jKDhxSo8ylnh6//ZzewiRMjT
yLKsXB22RlfZ5mc7CnqDd+057sasiLtEFB7ZQgXFAjOcDuL7p7K9x6KuKViDcJQCWextUmQxOokF
kb2V4ohkCcLBlF2yJseANvF5nbkr2YJ3egLTpEDQMLtMC1mKZk6D6xjk/3Hfp+e5i4PbtLq3NrSk
DOH2PVsR0c8UgJyqj4d/crfsNOjlna20RSx+ZCCdAjJxlD4BESzogy8ooGEp12Q+zCjnPqa96w+J
zKue7weeZOZT4QcsVRzN9x2oP6dsEc1bapy8eVyf1c9+Zz7vLzhMXKWDzb4JH/I/WTcM5z3Z/JmI
VhwQFKoqvLFLsbFsw8uhEJFIkXh6nDs1lViyB7kh2Ci5zc4uBzGztt6oxaZwLnWZ0+jFe4NCMcdu
7KpYelsm1l7XPh2gP8700qM2QfS5RPQ7yoftO59GYLqd2vnPR4bQAOTdbw2W1bBJvsajQzJ+mKOH
CrK9NC4Z74Ui6paKDdVvG1nz6LMte12kNMjVIh39w0kYHVIr26v16wNqRvLaW/tuVd+UDrb/avct
UAkBmZ77YUGlAb9I3TuaP8hGmu8wHtylzbt/ab6GNV078ubTJbAFVtuXk2tBjuCpX+Hs79ndiKSk
UjQhlPfF8P3WCLQU5Txy8XNni2IxdkdyFtYZcmxXVaETYVDjKJ0/h1l7W6bDMFRh3A04CwfsU/d5
djCdut9Fy65+X7pfcbr0Ryw5p4WfprFiHd9PWzb9g4aP/sYofh1w7l4NNkwOm07Dqmnm7xG5RiVs
GBu41SO/RzgL3vwIFR/4dhKu02g/yD7xpQATDwsQPxiGKB1PCLrDsRjzGFNbZ0aoX/4PbzzYukvW
b+UedHlXg7WEY5TnRB5yGca65PHWeQy8dTHx9b8pbLJbP0eoDlHEYDV3+LMI6w/rvoiaDO2CJwoJ
gbawscdm+RyiupA5uTreTkhTnda6/dntXdi+1UE3fMehS58olXttINAethkB/oVRwfSar/GEFYgJ
yjp+7r9mney5a9qg6EnPDptc0yOSIqazGFmOetfMhzzMYXPXbv0U6UJ/rV2SlZT5sMT1mRay6bYT
dutUFVhnjtPaqJtDtPqpt36+M1u0nKS2Qxk1uyosPPFln5r83lgav8lFr7cEeWClghWgyDUeqRYL
FUXGcbwhIW1EM8B5vSy4bsCHQW6PXdr7wdCfe77JSkwd2Dml6/yeufWnbkBMcIgfoR5Vl8J+joo4
BemlRBycvI94q9HBYnYmYgXiyLbwagZOGpZEM7z0O34CKOfsjBUa3uG7C/IPpQP0sZudPyelY1pn
S5u9C800CM17hB3vJNR3snH+YUTxUY4ri/956Aq+IFzOG/rYRr1akDHKLNzSv20zRKeFMFkOaRjD
ScY4rAl8O3RJ+t8CXlVpQ+RPxHnwL0ZK0wGBMPRAtibGmZozUwlsTb/mLW49Dg7KtY1Net2XMKrW
Je+vDli+E349f3Dt9DMk0uklnCPYWtaZ/F62/kPOWPmS6BjQ3vTRg/NIFS+SeNanpFP/YDH4SobE
LsXuRl4Ln/91De/qCYTqYiSROSmFG1uvKz4oo8J7dMIeNnisVA5SJId9wAmFnMz9wRqcbjsC0UrX
t/szWqn8eQeJFjA3vtUmcF01h/iCsPWQVvOoPaZQnhxkw7CBgUzWu/mnJ0mIyWsJCiCA8lla06AD
5DljvsijPXkZEf2+4hRCk7cHdi4zPH3Pq1p4Dc7XDsePZXgTUvoyU2HDAi1nWFK5YGONIGovgynv
oKMoPtgGjxWQW+K93zb4NnCQF5Z3/9p216XV61Bwl0UVtpTGA8KV52M/G3tcbBrVrsdmMDLx+6K1
23pviewUjuT1H1+a7j9kD7dXXJTsbRF6OAcJ+WnXRVwA4IEKvm2aMg4kukdvljMn2X6/5GMDnJCP
j0D67vcN/tbjFlp/Qm0gqiiDDbLxei9Xsy8FVo3cE2a0+PAXHpyUJf7vLmhaBSFGbNOa+8dux/jH
IthzGrvgKR1tUK9ySd8yPzWnFeX3VUD9BcQRzcQ2IaYy2zyqDpp1h7jHjhSWZZPXaR3bOz/GzZOV
s6xsgv2HCeUJqvyRd8gmi+hzRHRziOFvOrfCS6wDJvYNO83oKtBpnG1sZZ0K95+LU6zVqRlik2QZ
BpVMnTQuqCJALsO1wUih6HbG7lOHCasBU+FOhWa+6S1xWLgBjA9FZmtPewTLwTzFCs/FPB8jCckq
bW33HwERAXzXhD1C/YiRbWB+NV2M3b41nT7XNFGHWU7P0sYPxO75cdv5WGW66+8V1vEKtjjymHLx
uGRgfRVJsMWXEAhcVYk2BP5hYwE/aJH9cBGj0oNDkJmlJGGvq1D7b3Rg/428+RzUOP3LprYrkdta
dWwLK4CpyF6kYuHlmG6/QvCjzhnWwOtB7F1JyZSVGvfcK6bRbaUh5BxUtw410lgtloJsd9uTAGtI
AV7lNtWixsv+tRM+FNAsErxT+XfDGIFUNro60uhjDVXg3dHlaYALD1qJB7xpYBLvqk63YkRVVBuO
KIvRjMmrJJJclhmnVTy7074J8xz5LTiM3e81RD+awVJ5HOL9Ee0RO6HxtiX7iScyAIUgXfUhniye
ZKlAeSfp9qFVyP4OChoY3rk1ex4web6SPiDPPO6wXwlQ3LuUbfwI+hQwblSAobDKvuathMt9iNIL
hJPovkvQIC8hA8o3zP9Txt9THl+bGHP8rBmXathIexiWdL82oFtXDjEtbxPkhrsQpelfkIOhIwUI
rrKA8xWaq7th6d/wmXUVcF1/Rx0JyEm5qd2UYiC96PddZy8oyB6RJYC2OSJfXT6+6mnuzzDzghsY
OOQmN4hqL3yDq2ZzUCF2eo9eBWmwrbibcL40rp9r7/x4lgrvZwGWRX9nukDdAuz0QG+Yt0c9Zvsv
ttGfIkNGpQZoqmw2WYklOXQqvwHxFxfDHLBLbxuDfyfZC2/29IDyKaxb3kHszg1/j3JehX120yOh
tdbpf+BXvCGndHuneFxPXbTIWzrx9BVSf3cIZq6Pqe5IIacmw9eZVI0xx0Vl01/TGsS9SeYWPIbh
cuHpmB7crMNTvNC0RDMgEL2abm3hZthPAImCJdut9CmgCLids6ymcyePAQJSLgFVSBxAP18tU9ce
IGCtVcjz+DTJFbkkckoOoKSsJRMTr0fUQVUagMEw63gvI7FNH4Ln6cUQzHuByaqgE/f3nqi9YGB6
nWEjuYSrqsAm47hHI3eYsY13M/0QPHlgd99oj08d33R+zcgsapNrVAEBeWBZhE4xSfB6ZRPywGZ0
kKgG/iR6gbK9xKpEhf+AcyutBC7PO2CnrqZZbgxBjLe1FTBXzFYW6MWBR6P7l90HjqRAFClgBlkA
I6bxGMSDRQXg/6Q/KhTcfi9MmrwEUooVLJO0wlypQ9yG/BNJ8V/Af2yJYXdvN1j9MO7wUEmjp22c
roQ2yCdo6bufGGJb1rwQhN2Ew7IQUaCQS9mXEo9JoRS5qSXuiyG3qh5s9IfiahOIL0a/hxDM0Abo
DcwvCzWFogaNtuYpTnI07X7aT+Eku4+UQb/uxcwfVjQUZwcCzxWhckmpAXYowUnEJtrKL8yTS6ow
0yXRUdDkGEH1ZJF4Q8Rg9pjNasHREmYXkeu2DAj6vA0kPkwZLK7lLKwAiDSHMM3PHV+2miN3tmDI
d6/DxKknGEz7P5HRRbyGb3gicAUGXVc2iWZFRMKT00jJQmYNar1TasebD9svRZuLGJd7MaUg/oEN
1Pkn5dOKhdux42DLWebg9kiCtkLmtjzAjHsSxE8lC/LCi/mn7vsP9uAX2s15hfTHS7hPz9Y3lywL
hhPj+QoVwkAPGXwtaH7VuOC0zg47vMHt7G3t8cyD1CQf+pXeJPhJFzaZNwxPH5Gtc42a7UkpfPug
dWJbYEjichq9O1nrHltYoYql7wBOTrr5cRjy5eA2b1+yNoUi3nkghggIO8GXXPsvT6Hrx0g7KNME
gxFESWJvdGfdIWMy/Z1M/rLs1p4ApOmLrsejwlGmiQXI8/XdmP51xMxLavY2xnMlVIu6NZg/2SC+
WzXCSY3LopkBacBW5q3DRR+wLroL5vYZI5bST/6JyHA6EyKRfE0wTPNib2EJ4u9bYP71lp5oCvfr
mm9ogOQz5ILh2KcuqzI/g7O22Rt6utvoQl3NPjpt8MGWw9Dwkql8uONbGNwzjh8/ch4EwPAq4GTG
0TMBhzfz/MXrkMNHhM8swvxha5Db4XU8lkIkNaKNXhIDKpzpGsRG5SDCSShJjq+nbmjhjiVTCg1y
HhEYa/SHyNRex7xBuoHit0GEJxb6/7BVFdYuQpmEGs+ctlYhS3psoD7t2926wrwbbb9lrE8oJEFc
RCPvx/5PKnN78Zob6GDylG3zEey1z150N/Tn1wRo+bLRfH0Fm/Eq2F+Ek38sobzQsK3k9oDSoBo6
iCFpPnTXvtdwBUOaR1/jQufLdFbdx5zOf5TDcZFHw0HS7j/XaHaNt8xeMg3Nj7SC3k1keYaWmxSw
rL8CkAzJ1/mL0lLDoYo16CByQUmY++wIThdB9d2wYhya6Ecw9S5qaT+hfS5Fl3/l8wIBbC05bPOi
kNF0CwVaaokU2jOXRJeO3g2NbCvbYbnFGvJAAtjtWxnJn7OpPwuDXY3cf0x5qIrYrccdxpYZuVal
wSytZPEq8JyR+OJ9e2jbF4SaXKPgETCytdiyXzju7xr67dS4Ar8ZodozXt9tbIT6Om7fbZybI0f4
ZbHHwb+BBqeIpOKMHZUzWh7kAquxx6jFjL9ds4zBxUZ7lhyxHtNDyPYt+wFW7CMm2iOQn8C6mAJt
+tsa5DvulYy2ODLZlsPLxuQvRdxfFWA0hSknfeLEvjU/r2qajwuGCAztW7TGKFYCC2fPmkOgtU33
PWCBPRDmfpdo0SeBCgLt/vAKff87GIP1FGCrVKScVOOwPoUb2l9AEYuh+yGFhmFSU5t+QhpPK7JG
/9SYP6ewD0YzwuGQXq9LiJqips0yHUXzu7MbOh6zVMEmFeTH4WOPuqyMx+luzm/wj4dlaG09KLyz
gVVtwfbkOcCIy47rt0H9FxJknLEmEqhkEZPe7iEmP2F8CGBZDzRbC5uk19GE5dKiufKOj1jRma4W
H5HdTcnC7gpsz5U5/FFs99pTP4YvP9cZEdvVhHJ+2NLtGasyNaf6yGLzwfKOFTPT+V8kfR7DFBde
g0YIM/E/7RSxyrn9ux9UEU4JBOlsGUqpsLC2IwotGB8z2T6HAi33SmeGoeR27dPmYLOlr0GLPU3I
pUecz8zvko70x5zod6ckK5GNf4cZ54hjCGMSahFs0qCghjrzexlhhjO4Wz2mFqaVGbTo/hNSF7Sx
lA9IxsOgzRhRqYAW6WLnOk35jrNnegm24TVMKD4fdU8TGCSa9ZfG81kqoV8z1Sc1B0IY26b+l4jy
30Az/iK5+o0Zo6+DjKwgSG5zhQsmLYN+eTGe3PrwbxRLgKh40p9iuKpvxg1j4VudlMGcx28bivWa
Kn4BjA7B8hmGGn1AxfMukqRa9XKaOo3WiXcWo2fo4k2PsVEQifFvt8mkXMfwY7WBroIeooPYpwmx
3TCnCYoLipF5fTYcjVOrG4Zecpcf6AKfgWH3x2GlsHiCuYtTaY9PGbC+ZcfsWoJJNpxSY9+TJVD3
YNQ2tc8iWFGTWYMNN2wvYyyGd257CMMxVy8ZgxTHeevuMPlL62DL0hdmLHsCUvkTIMAd9UcWIfAA
9OrHbdHNHVqb+AUR/uErbgL6zNoFRRrbnhoMC5D4I7MDIQYlSsrZf6G34sgmNeOzxlnehI4+i3V2
9f9L1VwMLQXKzJrbiivwBuQt3ISgLL/SfYnrJOmfl8wgOgWBtAW6krnykcmfXOqzKxEzThIkURVd
3H1hlXU+TiiSy9Q7RBlEGGPBgUCOmCzsGD0n7cmL6XUXncbJTe3TKAGkW7YZxGKDvD6+QPwGOT7Q
gbqzKA2u6cq6MsDewmkJmqEaItNgC2ndTt4tBx/h6d15H9SppO1/OLFbzGPVL+eRvVkswMRhPSxY
qiRZSB2mrbhGwxqfg42QujPTXiKI4TpORJVzT/L7sc0JlMDGYOkEq3OvPIrnGyG+Qz4JUinZsD8R
w+ACGEIs3NGoR0pj0uOibJCZN/b0AcaE7YmL4Md9E/6jGt/XMCf0NabzWIHxiMGjNL7apuBDbJgN
OD1KdBMY0ru8eQFnFLKdxcG5lng9qMAr2O8V9IXgDakZEJY27DjjAepRHSowYw0x4hRZaAZQF9Ok
6rLMXzeOD9HuiTy3jcOTDJtMS6oYV3ylQHp9nQe1X5YE3OnRJe7RsR/JIXYMqMZxRiEVdO/OIBnT
7yp/Is69Ql0IC4kxeozzvDEnb7v8fvNZeyNaT4dmG+EncE4eLRhWTxlxRKBwQ07WSrvmbtMbkHxb
R79EFwNu1eTk1vUE5nwdY5K1xj+XQsL5EXHVaTlgxnbE1JfiO1un+NrFTQcZtgFD3aXT30bFiAay
U4QCET4SAoe4Dxuwa5vhnCJE/ayF8mdHTHxDnDSgtDztpz8Or9UD/vAal1yE/j21GulNo17u9lSF
z2zR4694IPSyOUCcPYDQH3Hm6G8MyVJ4YJrp0GOSV8LehbsCimlcdR6h81A+23JrW3I/Z2AeAswz
QUFOIaZ22IC9kXnbjpiC8XrtGNbnBjDSpRkh5+02O2IKTT/kFEaPFl/KmehZXyWqm9cBlfxzLnr5
t7VkZ9ic72gVTiHQ7sMKP34Ei0unYZ2JnAgqHxj+uEE0+xcHfDpGHnJruTWLs6VtAOTrxyafq6Uf
RsTFiABKvgZ5o1twzMBe3R96A1tCEZmFXbwd+vttZf4v9bPGOyKR5mlX8yVDgf5imfPTsIc4GQew
v9u2ib/x1JsbcvCnA/yL2bO3WpUZxQOPKdPEd+jRSfLZEs7vpATqYrAeLX60IG63wIQ2xprWojd+
3BnHz+B4qqpddfLm6MYfkcEe3Zhqg2rq2FL3sT70YY+RHcTQ7Cjwe8Kbg8z4ohdb9mXidDpFCsJ1
Z8xP3MDkowACNSG/UlBdUe7Ny/4NZPZeYVqIYWk7t182YO4MDA97ZWLsFSJmYlcRojbMa3DwYiAN
jQ9qQBpaPAA5ZMAlE/96PLlRP6v7nuHLhC0uzr4SzFqfMBSdv0iXun9LbrOi78FFJSRLHrVkOOjF
1v7b0nh47vTEKmZAWMZIxV1yjldvBI6jxHnYH6YYZW6L6/42xgobOLu7jimV5zGNYZ3YhlR8+AWX
Tz7+5i1r1Y9yM54CIlzphEQ8ax43p4ENtYPLvW62fYGqFGBvYHEZNt0zfo+52Puw4ubMhxhPSdi8
jHm/vnlQZbGmAVVjqSc1pX/i1kFaCvC3t24bLznBOdwPWh5INES3OdFhCQ61hvUMNp4GavdXGOTt
/cosxkxDJ0uMfdmDoTEiToT8DLQUsujRoeBM5D75jqcReHQFnaXvLYcTq2NPLkKN1roWPG0QDbfH
Bba8g1GEvyi1wiLQBTAL5PjTaNZw1P8Ytw9qm/yBWvw4AehI5xX7qhUHpq0OBoFWnS30OmcN/+oH
DCFDPn60yxwUM06CoEQoWNJVIprFL9amy4fDZ1KzZMPtgP1iBKvBArRb2GqKLpiHI9D2X26QLUah
8leXse2I3Wn1OAinSpTg5ARcz3o/xil9Z4NWp7jbJ0zhKKSpbUWlr5Id/Y2MDuHS6JrZEU6PZHTl
5Fe41VqOeXiEYlYs+y+S7OlxD11zwBQnQ+ucsZr1O60AgR7gxse82OduO+RZgHmxy/Wd8kOKgQlm
Q22DCObIUV0IDG7+rg38dW4UAEbD+FN0I3ZafJ7xI202CF1hO9y1LLFToSltj4TGeCi7OalSlb8n
XYY3Affz+MmplA/Llv1JdShvxLU4FNQc4mYh4xvOfFvzFJqnfg0RAvUS7yukArnQc2PYCDY7G647
NLLbTDA11zOgKBB6/k1TOiGISk8353qB8rZHJqdz+sXBn4m5euLekw1w+dCFmG8gIhwLyQOEGjov
6s6TYa+ihqATbPDqA6rT4OHU00MSy088/uzs132r0LFNp21S4eeQNfayc4dxMoN3Sek2fOtlACfn
sD6jHFvL3ZEJnx8PHlyiwAQCwLOCQy1C4zcOGDPCDNs1uisQaIm+ulX49XtYOmXsf5nWeRiCUorX
Qs4148tS60yiX1vX/B6m//6gGarpANPtEgSgvzxbs6PNIVpxHk4nGlq4IlKjrimuoQWTNkeudnH9
bQUh/rkjewwy0daARd381zSaHDc+BLeNG/LVCIl/FHq/DcwmZ4417WMcdvw8yEUe18W2zwOoSigu
XBLcd8K6MrbU/tFTD3g8n+OXfCMCecPWw1/Du/XIGo8xvrR/MmpgIka3/9iO/b5ispxFt6Rl/f+Y
O5MluXEsXT8Ry0iABMGt0+eYR4W0oUmhDM7zzKfvz5Vd3ZJLFWF576bNapOVSsEJgsDBf/7Bnx06
UrW07KMN2ada523ffE1JZuUV9twjMs97TXuruCCZXd3i0wkxPzVe+nDOLruatqSwRb6pAwAnwx26
I1Gw4w7Ub75eEqNfh3lR+B0xay8yjNx1lJP7Ku25fciJvHmsx7zZjo20D1hyivXI2fA5HostjLfV
0JQD0Enk2zEsC8Ps7wHSgcFbaa96o6lvgslKN7FQIlzR0ObvLsvG7/KI7dASNzSAvof06zb2EA/b
KqphAucHGuHrUc/Ryl7a4lgtGCBFozk8DhmJYsYwx4/xAmnMDUX/qsGoAN2W5ljPlbNx54B/DGM6
ENQQ5cqZ7Gf+0/ZINlC6x9n5NYJFyXx2w04FcfZ1wRfvabTTbsvGEFw2/RBdEKbmYTghvY1akD3M
Vtp9teBVfDHsViu+nDZY54P53PNUO2bXvg/CsnnwFJHpq6rp401dLvU6mNp1OBn1Zi7y4MIasBoT
nZgfEErOeMjZcu3OWXHXWESSTmkFJ17UOrkJPe3ssUOj9m6s/ghxYbonSrpcJ9PcrQdRe1ctTalP
XJW5YUa2zF+NKUJyR75Wuq/Iptx7veguE2uYb7hBP7kyn3eYqTrYB4d9fRla41O1cK8V9VL7g9Rf
h9gRFw1+2LBgAJZpPKa0ImFFoja8x0Pni5OUrzoIE6CAGHwVswZgC1WNbyZR1+kqJc+KTbXo1txV
CzZ87hi49ZnfhBvIXV46ycGuvAppGy3DYCXCUNZ+3IqpwQae/zvLSmM/O2G61+RQXxtR8cUYZzig
Cx51e+XF5WUez/CiNEpHt2oTOstVQf/VuZOpim+toKTD5cbN3dwu02PsYlJX0a1DckfHPMrTcZcm
xpds0okPE8vZOxWtk/TkHbnDNTG8yLQTrWmKyrUM2RwwHR3qa/jLT7PhlLvGrrJDgW+mPxQLQu7F
+exAXbmI80G+kG+bw94Zoq03Bc8qm77FmPet0zy3NxAiEAOWLKkmkAEhVXpvOtfjAuFCxdUXQ+Xx
da2b4t5pFAelbtaQV6wlNtANRgse9bDeQ3oXK5UZN0tWxSD58lvFhkxm0PKWaLXtnF1Y35my7a5F
V7bXCnXi0qtwE7iwE3UYeVdmNn9rLatYW9UA2NsmmrOrLzhtwe2y3OWKU+RSv3o1TmyrzoVNFS22
2szSbLdTXOPLB06x6RxIoK0HGw+l1cvQlplP9Y/pjhm4xhrSr3pQbIE3ok2j2xoGxOckLpc3MZfF
ozAhYrhdb91D7EjZiPoCvN1wV0Y4JJ8co0X2Ce9voTw25jWke1iahtgHvVEdDY8b4KZwRHbXZRNc
IjDbmrZf4NbfPIE+FrpOtakgYe0tWrDwtGPMsks7hB6cEatotBwfY2nvZrSptLiM6jYCmjtMnoj3
cxmwnCOrvcQXnJKSQIKgHfOLLBvFRKsroO0ehuNDD/FuB9mLE2vMgo0HK/GxNstsTVU/76sgCX0L
rP0yis3QhzYB4jNwwVH0U1Y/TGoDA1gi9FIPiFZ+010A0OZaBjBiuhjezThRiI9h4u0IIey/1/RY
uY4vEJ3EkG7aIS6ea2WX8A8bsBC/J4Nw7aha7FARmPoi0intu4y7xVU6twRAILiMYdso5y52O85K
PB46bhNvLTD+dW8ncbIO1aDf3EJDUevh7QR0RHdBvqhrMu+BfuK4eBhzIfC/90Alu2T+5sFMPZYG
ckLynATdd+Q4QTIkTwPEKQCpYbzomgoiROCVaisaDLYswoF4EBjAxuw1Vy3MVaB4Aq+Q0br3rplD
KTEGsUom2HxUKuauEvUL4GO0Az3lLw2hkC/R8B1PkfybZ07dNXfw4CkH19p59VIeyyWdOM9iLiUV
C7SJ1bznRiR8S+bN0euLmIxGET0v8UJ8Qzt0nEMWZpqRCo+qTNvj0IyIAdwELsdEZPFOp3lIHFXh
fR0GUL1GtcHGzadmH6VUM+VQToRX0OE4LuMg9kg2BopXRT3jcUWLZjiUUxouCfCwrj83jr1sJvbC
lUri6dIlvBNnGLTSe4fygcAEupvSimEaRU73VyeMKfbttixfgKvz+6mF9lHGRnBRY3+0cSW93sUK
44eu6MfLqYdMiakompmcO4nsBo8eWKbuXSt6iMw62JlFQj8utz5DpOkTP+Uw1LIJ9jBmy10xBtah
q1wYXHYok1UZKvtBhrq+nGHMsfab1K/5jsB2HI9PnY5WFCiQfGNSqxEL4U985Ml1YEM+5ZKcP3ce
jgMrMaoZ/Ea30cbr5Xgj6iD8EvLv/UQP3IoTDs+yCrDxmOP+aOU62bRYBG8qL6zWeE+GfuaAaoQ4
s+FoxZ4LXv/gQG1f459JHzGM628tkRncB5JxH0Lc9i1j7i8Ga0G9Ho/pofB0u40Xb3pznYBvweME
3XH8VH7JUU5zdSRNw2gHNCltsoQb5Djsy22cAdWE86dWI30HH35dzL7fDBJmpSnDOfLxbTf2tqq/
RKKmbQnBaANxR1B1ZuGIRoT8DXBSJB5uPX0fnaVahSntz94donUyxtGu5gu8NpMFtVFvdi+0jLNN
maIIXbisHsxZq2NW6QQmQVB8SdPs82CZAJ0Re4jtIuoIyvmzYZQL0hjbgRveGn4Fn/c+RcGAhD7j
U54d10lhjxBWo8gnpVqu9d865X8UnvZY5vzvPA/tlwy13V/lKXOsPf9D/xdD007C9P8cmnZovta/
pKWd/vjfaWm2/hc5xcStas+1lcne/O+0NKn/RR6jsk2LisVCXvo/YWkkoklNcq3+979EOvffYWnC
+5dJvUD6oEN4p+u68p+EpcFP+0WE55KLSxa2qcBF+IWueR6PyYHrZHi50myNjHjxm6ZV+7Bw8NA5
wU4R9e8+KIOW2C23ttWqmtDS7J0lTKInFyEd3ZkpIpCD5npOo4GIjm5d6qKpqEyEFH7Ylqearm27
6ppqz0u2bjGTIGuiKw8ht8eROkaFk7tHtbQyUivaQLL+0qM0m++Dsqp63zESjzyOAiHzsz2j5KBD
Cg/ehmKFre0OtMr6bEIHS/2SNs+y7RoDOlSAMXpwRRFqjxuIpzgnh002SVKRM0QTfYr8UJOfDI8k
rgtUpV2G6CikMp+fopw/RO9lWSjk8WfmzxBECzlMjsFbohSO2EoqsiWHkz+q7Q9DWtVXTu/a6V0N
Fm4/kQLcIzura3gu9GPi0jDX+J6P45HoRKC4vCKi108E+h4K5XnALxoGorujwWc9xkgBAyh9LseS
wCnk2lgKuCFBD5EeguYcaX5zNN+02fyUpSf9QJMWyAarabixAG/mdYGKAElq18jR165RfreDEY56
y+XYT5ZKlRx8A62YwDEFeEtRDvmaZPGhws00tqJtW8PNYTLipIJatJR2tQsjezE2xNPWTzaoCHzR
ofSuhhNYf0iTNO02lQbweaNW7MVjVxHVspUdV2oCebJg2tToFGlWDG3c+0N90m65gTdcjaG0063T
2c28msKU5RSGfY5ztpczNKiShHXTAnmC7LZVcnAAIp8abkwLPXxO700oxbKATg0aGJGGyD1cfrPH
3kqrARlppr8H2NgiUkgQYeCeQxb6JUKz4j5KoJ9B65HBX5Oe5+d8DppuU/fYAu0Tj1xqv8knZKQg
8GW7sZ1cwDDt9efQNI29zBoz3wWFVpQPhjuhhAgVS0z0g4ecY5jSZIsKmAFy2aBKUVO0QPSbQoRe
3PbMtYSSNa17i2i4lVmDOkAiyPT9PCr3Sk5VRcZSKWiIyLCC79vPSQnPcYT3D6Mwym6yaE5gigd1
/blvct2vrQIizArvWIR7iZOTtTq5HfoIYu1hXrdjINyrGcL8vC4D3eQHSNTVV2ECOvvSCrs3DR4S
0pc5HUYIr4JPqpvpuFGHAkVGTt+CjFVguBjTjtdJ0njBioINMkY728GVbYVcs+ImgGRkRJ0jVhxR
c7CC3q7lKhdkggAyDvqrx+UyWpPwRYlOlRSfPnfVPmDWBaFuDBrbW2dQyavtINDRoqJj97ga+7GF
lg9FNaX5YtCgSlRpP3mJK9qN1LT5/bbxQDP7VlIrnpT2dM3HeXoNhBmF66iBtYNG1u5uUWh339AV
e99pdLizb5rDeFWzFDpml1viqjJCC0RgWMSnlKYt6p1UcKy3bjV/VnEN3TeEo8uijhQuvWY0lOtR
BQAAyeIF7IUcuLg+ZsnYI0uVvXWAx52A0jTAhPDQojreZrjo2Nsk4ResoO7lHq7Z3XIdo41D+tif
wtiMNjU7tJwhnVdHRAb4gq2afJ+X4UStxV7+aqPEz/3a6qsCCGzIEt+rQWopm9qciQ+9At4Duwfw
Z+ny3qRowC6NON+G4ILfaicvoViMtnxxS4/2jV56cTHD8JOo4ur23ubCZqzgKKTzyknmvFzLnK2Q
KzO5xxto2dZ9Brq+RmHT3bc47U9+KGO6TsmUAhc73OozQkGsZd8HCcT82cy4kHkmnTuauX0WQWvM
gxdHhCWOO8yaXIlUWoBEsmyp7zqbNScR4x2ExioTns2wEUl0U3BSxYCCyoLpvUIc9lTNsTwguOZC
KpJrSbv3ktcFnbsz71InHG8inOvDFHNHarD0HtD/Iktq0m80qWE2gmEUcfSoDRJRo4egYxGgGb/o
sO0ORvz34tawCY8fblHPbQoYgyp1yEgbQ7imPvs/zexIUjeaylqPFZ77gVMe7cY8RFwy114Lq3Al
22fOOED0LLjnNpU84SD9XIVTvEG/dQ/9Hj56338PIYNZuXg2HecQxBEtD3CTMQzUjRUEu9Rzvo3L
iEeOofxmmHkjgaj2g1r4ZAGhlzoJtmlr7OIl+Vaq9KmF4AUI3x1r0dp/Vda0ndlMriDKGccJMGBZ
9wC8L1TLhJpFw+x3kC8Oaowea/4GKw2cH+AKOW5BYtIJnQvWO1c9mpxRI69THBVWDXzL3LQvOPbY
5UoufHkI2YaW2lbGuULfM6dYJQ4QGQMx6TuvUGK/AI1zrkQGYZLmV9ddUn92S3QxbVnjcpldBGN5
7AaapXKgrIWfn8X5HYLgS4A9eFVj46Tf+8a5SiHMXixhPt25BScKQpgU5kx6O2KomfRx/5gPpVpb
+UxNPidPmAEUV7x2ZHRuqS5Riws/Yi/a6VP3wqh1cZOa9l1UoISCUjI7SM6anYDauocr+VTnWbYO
XE7eGCI5UQ/9BVEm0JFzb1/b6VUAt/2hHYZaAydZd1YvNBROeUfnzlvleiy+OALoX+e1vg0MjhOE
F7NfdBzVuWiQY3rEDYGmS4S+RdE9DGNVvDnuXF6iMLB26YD8a+5NRadzKm/Mpv0uklAeagRH5Vyw
7+C7n2d8enDCoqn+qy2tm1YApmwK28735hyWD+Bx0HgmM1tBPiiwBO7j2wTaW8hHRZJeWQPtVoBh
nK5dBXEuHm9TckzXMooemyn6ZJLIeoewrPc9JZpNHFefaM4Nq2wMX7Os+2LKmpJGKagQBsDaozIc
uQ3qVH53reApgZ79lOWw1EzTpn7B6Io0HrohJ6K1lY87OXjorKIs3YeV/JJRSqym3v6OxYmvULvU
FLIbfAqMBzfJOPUG2rfOjPDQSoLLSpjpYeroc0cuNSt4II0g5zpbuHsKOV21FkGcceR4yc5NpcQw
yzsYhADR6nLuoJMvyL2rcp21brIaRbbVlot/qwrFd0dm90hmXqCwv8W9MdwZII+PwkmTL2FXW0F/
gAhjYb7g1PipKVVUYlfD0S0OSWk6fblhQxXEgbRREXwLzLkyb4UFZnMlrH7Qoa+7dHLe6rBcppxd
MAb1JYISaXDeY5xw33QQXI8ib0YEWXY0eJgl1YbIQLmCZqRxRamwwJovzaQorutGR16+RVA3IJpN
U6MtXwfddFW8KbvZmvI1NYEs0mtIv70MVmkd5/mxrOYevjSphhZqSa3HPL3DL6KrIZxOxvTZyXNu
25DPqaPkkWipIQZXzqPSsh+bHKJ/datVjqb9MiRMrChutdAZGTZD6ok0OTVEwpoMnmAI3lB7uDGI
nFvyk9pKjV/sMJnggbbN4otJ4SiuB1tNu15W6p5AAMpls0kzHC30yEGuBkeb6F1hFD0lha5epBQo
+AqB9fynKqa9Wmx+XOX+0W32PwZ8/3KhfTcw/P/grfaUG/GfL7VI16ru51vt6Y//famV6l8EeWuu
c8JymGATD5e/I8BJAIfaYbvalkiILc6q/73VWuR8Ww5UCm1CePQc/qN/32qtf3mebUntWq5yTvfh
f3Kr/dWPiosUf4eytW1zq5bCcc9si0hRKK3GVqE/AndQw1I4ZceKxkuCpp04QDCgx58m5vZv05qf
M6p/dcn57xERvVqMKvn53P5/dsupcvD8hkaQn7r6Ak3CLocS//4QZ/HC/x6DmxeBZcpzz21GlQA9
DTz2i2qdYMfoY5Kq3oJjvI9XN9PqL54UustrszqCHn5gI/vD+up/rXp+jA3fwuWdOdo2eUG/Pt+M
U0+GGI9SoHmN2psM47RIVRcV53gIKcQ2ryH3+vn89sEznxz5fhlXS49V5piKwV08AX4dF/rIHKUm
43JMrvFn2BmNdY2m8UJhJyFRJCdo6TNnp9UHRl2nJfLrwLZSMFYkGAuv83yyOw2bCJ07mIJNgToh
JVtJt9pkw/CIinBcc5x95Er426rVtvK0FkyxsLT44TP1k+NSzL6Whz1DthXNmGkajm5CrlLUG7eD
6T7h5+LdE4X6kTvrH4b1GNPjmHNsdEJnS9ckXcMtY+J1S0AdawW5/FsKfwSySnoY0xEhxhE6mvH6
/pv97YPREDAcz5Y2VwHvtxdbW9rACg2zl4yGqcSXpss+zRl2Xx+4c53DW3yPLCB6x0paDq/ybCtQ
YaaaFoDHD4CNCMfeTrDUSrO4GNEFvP9IJwfBX5eMA5LnKBOLccWeeLZWUfRJ16kF/l8k2sXL9QTs
iznF+4P8Pm+nQTxYKlqap23g1w+iWuiDWobBTbGJt3F3kpuRj/L3gcdRFf5V/mE3++OTOEoIiWBG
OueTlk95QpNbotpBGLo10IqupqX6Cj09Wr//OH8aiXAFThLbdYAgzx6HZlYi+MZZBrDA2bf9jpYh
H98HD/SnWbMdh6PKFqyD08Hz8/bslom2RVUmPl2eR9dpHuqs+mAI649j8BUJDkVpyvNJM0bu4iYy
In9oiY5JAylIb63LPfSHh8Wk7CpGCumZkm8tDS/dN95Jx1v05j23AqrHqXO6zRTM5Qc/7A9TLICR
MepCGiCVefZ9U5wRDxzS1V5OZkwhkA3W6HbzkUXg78eTdjj5QKw1SDfdt7NxOqToHUZYqc+N6lsD
83kbdsmj6WEbb6aOsRFmia18qaglcfiFjBA3kBn69hg7ZnoJdSLe28nkHBAj0A/p5VtHGgJEKRmt
6bKY399feL/v744UUkOvFhJDEnm2IhS+6JgPQptZ5ods+u4G15kv7mb59P4wPw7Gs01Bwr63FC5f
GlT4bFOwvGXw0gmDLGdAJlgN43as8+kag9jE8IuGCHOkA5brrmYxjQp4t9n3qeg3jQFIzoWuVBif
1R9sir9v+dRsrkdj1eKscc+3/BwfO3PGrNYvsdXTMA1vJ2/4mnb73jl0+Wjsixqs7/2Z+MMylNLz
WIMmxZ/32+5o5OD+oGA+4tQN7MdsFcXFMSi7f5QSRaXCMrSpP+mRaKF+21GmuGoX06xTP12wLFl1
eTBu81IH9+8/zvnXjqSQM5otkpPTMoGaf91REovQmx5ehF/NoXHjRTIAchTtBw9zfnqdj3L6FT+V
BAugp0QowsOUtVhHMoSbSqLOBQ5HpHLmTf/Bwjh/Sefjnf79T+NFpheHA06JvtMA6l4s9bP10cT9
cQjJN+c6VPvqPLVHlWbfdB5DeNkloakAIzE44Yc2v6fd5ufvjiexbTpoNjGmwuF8+fVJTn2TNClM
vjsgwMtWGmqXBdX0eUC+d20Cnnxt29akBYxOPp9uW4vNESYvMcPvr5PzfebH77BM0z19bvT6zr7/
KZutotVzSiMs2g3YRKx00LP9Qe3ohDkgjS4/WDM/zszfHp1ChM3YM8H0z85U5KkSOjYOJjamYTsQ
5uAuP1mUBtgOr5Z4SB5o5znrGaObdS2HNUpBZBYQclILSZ2Jfrmo99K9syxVP3Z1cP3+jPxhAdC4
1BwTXM8czzxbYyevFkwORn5eMLavBgz1bem1HIVBAGng/2+s0/f103qutSwdQXqHj8LFn02Jj4wH
Xan84JFOL/G3Gf/pkc5m3FT5GI3QX/0RYt5lWFTHNMaESNk3CPwxEsGmtsO40G0gA73/gH/Yhmz7
x82ZWo3a/WzkJU47aECwMByFrd/UqPSiIYz1oyX129fE6UUCsMVl6PSY7tk8cgabXRgLypo8QomW
53t6uDixlKbvVAqTofCpHMO9FxTHoScnyIs+2Jh+u4BSuoNyKVN4rue6Wp/thFgjNGhc7Oak8Pju
dvZ1JrMHSFTI3vLoxmrgOWPZ18a0EZrg8P4k/7Ziz8Y+W7FdOXhm2uLf28jXcchWGMMgAtUfrNUf
btm/rKKzYc4mGWpSWZNj0fg1YQ+u2+9dI/7aAbGslKiOKg9RzM/YHPUH6RqYkhZFtLZwZnn/YU8r
5rdfgb0AlHxbS+f8goFxC36YLa+6w9e7joZjbBgbw0oeJJw2FJ3/eIPkqU/7gKYKM0FtziZXu8Gc
yslpoDsiOrPdHV6EWClucT/dTlj7vP90f5xk96TzYDlr6LlnEQCRMQxtG/Iu69HbR1V8jJzhDuuz
Y2HXd2SJXFWqOfW83csqpv1XzRiHzM1He/R5AXZaza6NmEVA4LDFeQGWolrqsQmAJgnZu3/sWsEe
tRite4NKwm6eC9mPFZJEsmq2UzZUzv3703C+ol0pJRQ23q5re1RLZ6djR7dHIkpCFJLfGPOFh52e
wrv4/UFO6/XnlXQahFfqOeA27gnS+HXzHey84MpxuuTEhxwfE8fcePjHuVPyQWn5p4FQk2GPq20K
W+9sb6gyYedoVhvfnupNaAQ4HqUNpltFfR8HyQebwR8Gc9hqeXuWxaXxvKDHoNsG2u4YDI9uMDDf
ldsWvnou5Qfz98PM/mwCHb4IG2dQsDdK518nEC+WOQQca/zhxbspgq1qnlAdVhFUgOYim7BUcA7K
Kj+Yzd+OFEASDQ4LsAt2YsMv+uXMLFrIFV3HvSTFfJQvEB22ir68vzT+sMmgcwQbdgG7gIrP1h9m
ElgnTjwZJtWfHaf3wyq61R0ycrN86YL5/+WRfhpO/PpIYxrJJQoT3NgMPB+XtD5OQ//w/iOdr4sT
tvTzI51N20QmGkDUwrpwEfSosVmPhYvIn536ZCT2zwbj09IanjtOfSxDYMNfHyhuvDA0A2CGjJ7S
Ompr89OEkyXO8zgNBWVifLDoz9fEaTzc1YVD4w5g8jycLpKjaAhhbxCp4cihF0wTetvavP9Qfx5E
KXBBuGHOeUaCg7FrO0Ih8F0LylVXpw5tR3v+4Ks6f088imfi03ZCQ9SpLv916nreUTtKpq7QN/lw
X4zf7ei+yZ7ff5az9FVX/D2Mh7aMg41OxNmxZqogT6tkqn2RyS1+P89tPH7N0Odhz3qUSXJLybiV
JiYNWR+sCP/bwze5FC6N1VE/iYJpxsp+9r3Su3XRs33w87gG8Jw/by4K0E1yMQJWlyD65z8wcGC6
ZzmmwQ0xnkjHZmGtnd4ymrd+UXOG6ZuhjXVLPh1U9i4oHzCLxbqjU70DiQ5LqRn7QuwDELnppLrR
eD1HnyJ4QNl1nGB9eaxmxPTYvqFLehCLO11no2W8QCJwL+RCUtqXtq2DaK06u7xBrwrKHldBibdV
kiQM3+p+j+qnudXunFd/FToWN4E5NOmTZ5GfREnSQ3KdvHs3SfSmdbGtc7WZ340C+7vLWLRkCagB
yRDN+MyN9u3YlneNCa/RslqICWoZpmdzhC98vSx6vrHNPD9MSjobsxbBG1Z00UuYhdWVKC0XdalT
4frWVXs7Td8cp13sQ4sJMPFYg2XhZRstYU0LVqEeaBBFb8hTC1EMCmAuvwAsqGGL4SM8N176NUt1
s409SxxxGKGrOjjQlACoo+HFrDzRrdDPXQZChXrl6ArZ0tDF8hY3pm0muuhidALMhKx02Gap3YKh
NeqTaaRLsyf2AjtJq7DvvCmX6zlZHlRadtd1DJVzXCKUWSk+BG0f0ZNPiuBgtahvA4EH4ThiuLU3
kDqM39Cyz/C1+3LcDrimrnNINTfN0InbLkirfpM70Kx6Xunamo2lfyCZSDw53dSO4N1x5awn7Xj5
YdDFchL4IxWqRc7EoZjHfBzJXYOHmmxN1Az5fBztpINr2q9qbda7HCe8F1Vm7VtjdnIzD82V1YbC
dysSKM25vs0x9F+xNLPVlE1vNJ2BD6I0h1IQFdAm63xXOfNRmPD8MQFU36scQwLsIEISLpdsbcSj
2rgLAiFMM0Ls0HJBhpxrmHe8r+5mimPTukI08M0x4RWavDQ05iE8IciIqoSXWB6lV7zJYYI9lmi8
9wCtS6MjOCgihq20hV/Upv0pbZdvyAvVZzzxi0uLUNdNUJx+YExWF6yU6hCX7mLhAwjDqRJvlbRx
vkhHPPyplTaQg1ZYG6zIEXxKJhwYVFUe4MaTFtYjJYv+8uZWFysznI2XySlvcF1FVLWkxFnM8nHB
NxIP3Lk6uhD9MEwxjH3uzuOxOd0myGrXFxV/1AkqnHFiD7eypSzRUPQRXIUJW110YTeKMtpvFUkq
Yw4+maF8prxaMvMxk/XQoqimFemEJ0wdAkgtp/hLgRENOm1oR1NQv0oTUl8dZ9WVZ1nLkXtZepPx
hX0fJ2i6vlSRfQyaLxgUXYD6W6PvQe70Xly0E2OQ3+Cy+ZQ7L3ijjj1qtJLlUdwJTbz1RqPj3xZZ
3O+jFodLPswifRgNusEr06rFQ2++2YvI1iYcEfRRa51FnxchvoYGy2yiolq5BlpRXn33mAIkXrRJ
mz3hRByvrTpRsBLoOh479rZ6wH68N+ptj3/7K4JntY3r1jvkIbsCmZr5ykytqwaHnRCXdbSsuLd4
zl/uEF+0mXMsonA7ztVm6Vo+IMTMkVZTvkFI24XY2uAMLK0yhwBSPoe43awVvBAoU/i1jwnsGoTf
wGSa/35cdnYU7W3dborFO0Q50Tam98XpxXZOsnVHhZEt8XZABjsk/afJxW44iRkuWWdomL/3OURs
EJB9a6lNZ1eojvp91e8TOeE6hjWmOa5alNqcBKRPlGO3HyolUW9Y07oo2hf2sbWnMnM4QiM6gqQ1
QFjLm9Idqk6YulXmPsN8Hq4TxbYQKkhANaKbamvRKPhmmeNIFSluDNYF5Dh7ucKUXNXbOKGyoJ4A
lSFjo31tk/pVh87dYmbZXicKzVGHcOUG47pgM2ABiy9noVGg8KbxA4hukn4xypUeceHqm6C+h3y4
8L4lbL8Svis8myzzcXtPvy04yByGOfiuW7xDsOVUz2YRZvtFRld2EVx2kfFcOPZLUmIPBnt1FWp9
qzBA3Lit3IfzUt866VDf14YrCdCY2F4LfGH9sJ6gnrph71kHp7aa/NjMk32XezQ58K9ryJon4mM1
u5wPSxZ86grccAJNwNcmL+pxOkIbK3beEO6Cic87gJXzZkNANzfJHM/RY9EV8y0e7tPOMHLjMlRZ
oHZLm7sXXZFGxnrWi0YnmdtXmX1Kq0nCS5Q7iO2gxVYkCnYR5JoRF0FUQdZr20+fzGFS1ZFupY1F
3Ri8engwQ82ezGW3OM5tJvMKODBP1xBxr2OJ8zp3ZsybpjVgxFqn85Fr2CpryCNAEixirPgHOLJ9
1U57RLUwV70mwEyp6XXpIzwwPyUZAu2jmWFid9+GUv7VWAQTwEXrN1yQNySdXEkzugJ/3bVBu1nI
zVvCVVBfx8N13NKWqHAfSrKoPGQZxp0/jBHRg6n6vpmb/phFzYjGAMIh341OXlA0ztmxjXA8XtlO
HVIBYHnbzN6EE9vAJ+oEtWgOjXOAP9c8e1OKd69rIv0yC1ETjlBk3sUUnoyzgT9XLGYz8bEJxTsf
Bzz0avbJGmjZR2O4POqhx1Y0q+oOz4ZxANCGN574iICLDc7Hyz4IsVWl9nkNTYk0vlyGlsDk6oWd
iqgfCBRd3pHt4U3efBcKY9wvKq+vM2NIcFgKTMRebYBvpyGzvESciy8/W0w6ZutmTqHHJRpLstkK
UjApo8SDbMajHCexJwOx+bhCBTXtM6938QnPx3Q1mbjy7QVGBKd8IwwikqXWX+qmGneT5ywER4bO
FK5Fq6FajVZhwbKLMQpCcVV+8orJTxL10mKOtEalgFu1GKZLJGkHp6ofJm2VX2LX6XYZpt/bShmW
y+yN46aLx/Eab4H5NircfBWb3ieZdPVV5Rr7qShJZ0FEku/cKsUZl3y6G2sinhTnrmaFZ2eyQhiN
8FOUS7U1i/ypdRJaqfVY4e9ee8lVl8flf3F3JsuRW2mWfpW22qMMwMVo1tULd/g8cSaDGxiDEbyY
cTEPT98fpFxIoTLJsntXi5SlMoNB0h1+h/Of8x2YplK+SbPkgBLGHmtoXu1VW0TJyrTnb9Y0XYux
8ZK9I8WerP8asFEMlZsb7l07eC120DH5zCcBvr3gDI4eDbvJCnduD/rNbquHMgKEN6EE0uZipfu8
i6Jz4Q2HNtIF/aAeGa05/1Yn3QEvf01aIL0HXUrVQtHc/NB9hQ0lV7IQ2xmXOGOH0cZNw+Rj4XDm
b7iFdZ+MRp/uFPvDmjUtvDap5e6tub/5efTokfUI8ok4KH+o11eqcPIHYXDGXeGnHXDUaa4GR9F6
SCqTMKWj6UfAeTVo0ah5y6bxQWbGPZSJV20Su8El0rIHwbIKM6igEBxwvxfS+aChSfSbsBak1Ogl
SO5EzGbThod6tvq7mABxSMRAA/WGlbb+PkRF9UoxSQ1M0dJvVVNwx2lm9dTN6gToOq+DclAP1Ev1
AYCinUhJ+EPoTb/mSN91YT2+KeXiW3VjJkFVZr1gphwRi8wPt4t/5vk8niNzlGrjx3Z4rN3uAq9o
2Bkjv0RZmIgwafwiRFkGddrlwTBiL8UQL1fdkJ2kXdo3SAnmjmwDLbg9x3FChVdSHLAPTXBCBhsb
987Hao6qgPzlCMRIuUFSxh8LO8gB2P5Vuw5KJIbYW955RxD+hF2cLerGGj7ExupKbdcmnAfonSjP
gwHVvAc6s3W8qNk7hlewD5PbJigCwGZgGQg0NS+fx3UZOXcTVSJ9alYXN3MyxtFplazsMW93fopA
MqiMjdvEV9KfBKhz0PB1uHNGx1xnRvs1EgypVvpUV82qHMmkpIKOqbXLpeSzkyQ4YEqZa6uKhvc6
5CRkx/K7Y479qguxPJdR8+D75XtRTTTL6XLOzxVdSQD4MLbzAYjSQ01BxaVSHLKith1v8MQWQimk
9C21IPjGO71PgxhqCUN+hhErP4z6jTIckPWMsq2Y9dQd65r8zhwWX6aItEM9UqjUJxWhEDJPUbtJ
4NKtch/2v1vFJViPXMdv0iYbI26+FxN39TaMX1MfVGFCXH47xdXiYo5o8M3qztqbrkwDpqTc9cp0
fCksoBP0BF3lmH6VZlffJw5Yva0Y/OwWx2yT+5ZlFC5UN3AONVo03oD0TklBR2UWH/Pg+9j8XRFK
qiVMVZzHwpzmkoO9KPJ9asf+gx8u/i/umHJJ8Xg9HXlQU9K9P3T1SNlAVVT0QbFnwrDMW5dRezj6
beAretxYrf3UeaiXbN+WcW5vBPGk+wc+9lN0Aj9Z0zttOAWAt6hohj1CqkftcdJqQeRCce/oCJte
4xqlZi3tgR8g0egsYzgsV6r1sAW3hU8I3dFF+GqWeR/vdCsaqp0RGUkNkM1VH5VDbGZFbgueomXr
2fNE1jXbDOM0PTM8pDGmUpMPIzzt4UlYrjr3iYju3CZrYVjI7hs8yLDYSMBb41kl/XDkTxra+yA9
me+SqPZeonwmUzCBLhTf8Yn7d1w7SlZllQhx40DiDi+wUopNKGOfBHmsTd5LDwkqvEWqb7yVVKMb
n5OucSTg/kmHHFhIYEU6OVa2pPasyghCaz08DEU5H7Sisvld6p81bup1BJatWamci9YKY00tjnla
VP5rWfRdd2LWlRVrTQl/l6a2v4Pp07X7cY7bAIWwWJkKzsSGzTt0eBr962S1wwWDz8dgJKdCM0BF
FYQqVoZWtJR1+336OdSyfo6NITorwoJcuYyCZbAjvGWXrTU+x72wh36nwifNf4wpBiAtwUU8YVUh
ykZxCDvJlo1P9dG1jHCqWj9jWT3WyRZyMFqOeeZqLo/spj0Gbm6x+s7Q7+2Ua/Eo9Wzc5LVw8z0x
MxtsVEy+KtMaIwgjkx5wu9ODxoy9czjNXrUtWmPTe2DFAl7oaxaHJxHbGwWTRdSvlvs+zf56ro14
Czm6vMq4Ftl9XZtOuE+AUnfrmVyZfW1ppr+nLjxw5zu+YflGHkRthz55T8HPgVgwuGpd5vAVXoKG
Tm6Np6mBdhYlNhJvUlfbKLG+I3ho6wGgMRCfmjquJj6DgmovdP1pjkcei1fJGVos/tQdrrWxHaCQ
6rt+nPWfDSPJbhXbMxxIBMz6KeMuQGYeyCDT7r4+6cRvH4RpVC8AkZ7VCUWwPrtdmbFbKv52uNRQ
jnKttc6maMFOrssCHgukrtQ0rk6VyILl3PG1rQJTamwzPQ1vsUN9mxmTY+PGTnyTw16kfTehsjvF
SIa/ndc6i2xBM0ECOHxKacEx6F7oC4fVPVNrigTX+sDpkFfIFbCMFf6Hg+3PVbaJayfXmNnDcl+l
xNiRKZ3oHs6b0LZWXUbtJbe1YwRIzZ8JuLkyS6ks0ih9kIMAXcEDyeXGLZwP4rKILmBABvi4nl2c
vTSGFqaNNGWYfOaC3qe8qAT80VxlSitqNwuQC02k8wNzcMs2XeVaT+00Ak+VZE7dQn0bU/3gUh/C
Ec7qxmFTSp74q0azyKrqyA3hYFWbwbV+NhZMF7d5bcla6vs8byMXySoCeI0X4moU8D4L9uZNyufk
iTOpfGh9tbXBqkEliUL7YBpIUPOgixslek1Nak5W3kpUeT8+0ZVDntBq4MMYXjgEjdtsdNk+jSQv
nO+doYfnJCUPOsyxDfIgMdbmDLcFfmvDegeUyC1C7dDZ2iVNG2NbRvVxKOmFJ4OK8uYfIYqoa6db
m2KpKpk6r0mprZ97GDydZtN1vCoHwRQm1+gQRQie26CVGo8UmMuLquqOWSbxSiMcljYdTtpHt6BJ
FLgGdl7EhFFbR3023voiZVX0aNWBb1d+ZVmUJfcF6vqjHzJ0XhvN3MQrPdNeCUdF51FzdRJKhT5x
ymvH8AAWsjbDVQ12UiNOC8ry2NuNfhb4N71NGJZQTcY64inL5MLC4oC7hUwJQtmf0+IpSv2B2kAn
ei0jkRTnJjJLikbSjLpd6ZjpcJuAqia7Ge7hdIRA9MTxadI2vgadhnbz0frS0ykfNk3K/bDXzCSg
NFEd/MJsP2nbHp4aNv0fGeENbddDeL6fEcA5mPahQWM96ZwVwbRxWWpyHPn0giKXZDuaROQnGA39
5BuJ3AO+QjUPacwSDvkUUwD/9IzN5BnMr7ZJ447U3CNeq9x+UK0bUU3AG++z39HKRCao/TYABeTm
pVljo7hBke9BpdI7iZPR2NJ7xF+BKSTVNCr9nBDLTKQUwoBdxNEdZyjrGVH8TjRzsU8Z8p0mvbFv
Y87FyOiEFrCHDslRtllG/RRPFrqEAXsn13sPiCU9fPbGrCZk+P2YwRCjmjClO6bSPiCsaWtNB6pK
4edIgRNtwFU27f9e6f9vxh2/uTIdWwc+QCnRn8cdhmnNAEgZqjRtHcTIXxNruOM/hePD33+jX0fa
POcYHT2H0Y3u4ehefpA/WG1McGe+BVKSIj2YeW4COTg3ktc0cl65tA4Bk2640L31744rf/u+NmEU
xlK6AI3w5+8bkTaR9OcwJKU3a6cDdL/mU6n+wQHz68By+S4wFwwGv67NP355GWWrtVGU8TJGlrMW
hbGmGrjazq63LXKnP7QAFP5f5lQexlRmpC5ew19GpFGbN9UClOWOaOR7RXg86CdVHGpsOgRjpf8P
D8oyMvzjPGiZApk4Ql3miZiY7V9+Q2NwRUmOivevgUktp3XmedcEkKropv0wtdspqr+3afb294/N
X59PC7u0xwnGoqGNucCf376YT2iVujXzc5XveHeDsY3WduM8hK33D/PF//ZbWTYpBwanPtmDP3+r
sahSanS4TeRIN8BYdQwnBlwP5x+elb9+EvBVYA3lYfRtg3fvz9+nQJL2G4UdAfpMwCglaDvFDGje
DHUUTNRysov9w8PyF5vxQhYR1m+mHRvvjv/Lp8AbHFFrLp++zrAEnR3Gro1InHNMYZylPzdG+q0p
m71Ee6x0zpQpN2vRPiQJ84a/f0P/8ttbDm6FJRFGAoJeuV9e5V4zmomAab22Y35bcV8OUFBp+xOQ
ZI1sX/xTauYvz+3y/WwGueRIXJa6X55b4CU8tKWJsrfJ7toTofYAu99ru/v7X+svCwDfZhmALwZ3
X1D78Mub6nDId9jb10hWYAXtakEBT0DjtSc2ipgi0T74//uO5p+/Ix2KXm4itK9hU9bk+/uM8hqy
wb4Gezf/R7PJ8jr94fOPGd5afB94clnEGcH/8gThVapa6WFkAXB+NJzwKqjppY274ApTyr05+1up
tG2krN8fmH8rXfk/ixUEAeEPb3Xw0X78r58FvOxpgR391388TnX88cdY5W9//l+wIPM/hYvjB3e0
q3s81bwNv+cqhf2fbEIgOaCVYCR2l/xFUdZt9F//sdCCDNxILl9pYHo2MRv8K1cp+PsM1iAsop4r
OAL4/06u0sCg9ufHhOcCD6gLzIDwls63+2W9bjq7HlEiCDsLLZfrWdDU0UahLn4Wv0W5QbCRgFI4
CPMPIy8aHVRZ0tE2KpNym3F4pmlCgfgAuZqWHOgZTHB3LceuxVuKtkuHAz/ACfCDztA3Ut6nN9J8
uR1rdEnq8zrCQRDbtLjl2mUDpTwIPQyfmaOnfkBMT0cZamdPkW+JIe3z7JKYJ/Tst5VRxZvJoKL6
08kLE0in+j0qbbQMHourkbtW9xi77UhBEfrx2G7M1nGIWcu2lPmX+D2A7Vc+cMJOtOMeX0HXPDDS
WqLaSUSZO+qZyUzQ/y3QDe1rSXebbTeml84fa/2OSrTwe+KSLahW9sRHkinvCEr0pcpyaItcIMH1
Ta1LjJxIO6GgzO9r4O9a56GecOGYiJyjXT1lidPcKqpjrS7kejOMcu8WRvTZaM4LmYFrK2nelKN9
NrN2N+n0DI/iZxdH9xXBcCTQAn206KjdIelBH2HrM4RMygtXxgHeS0NLitfUZ5/cw8ZmvI46p535
sV5DBOkIo0Z1QZo+9ok8ybb9GIfrpOQWQ+opzZ0gZbqw1r1wOsQKcGRtRe6D09pnXxZrx/TOVjYx
EbX2oBq2VQOhd07VCwO2i2KAYl6ogqmOQ93cEJesnvIgaAXuEN0Pski2MpsTAW6uO45jc51D0942
LqBXBk7dxhqn9I2K8PGKm9GistM4620HcX3sQ3di07cBGdPzY3TyxYkisa8jDZGeNMWqnyAMSj+E
rl3Xu3yEuIbFl5fWsp5bDSgw4xhu1mYU7vqlZqdqw2MGCIcvbMxLOmaOv49DoZ9dWTxy0ArMOn9R
aSsDxERYTHVnx6jFo2K+NKvoua/N8uhQzMO4t/Ko9JTRSfd/Oq4ng4IdL6e3GHxQOrBtQiqVMxKH
rplAckCaTldZOFwsSKJaT5SeaBL1BkZuYCC/rHweBCgT1ArZ9QOQf6aTblhs+3q8xi4FqD7vPrya
8toLHX2i9ZFk/HVJ1m8P9OKhJ7PmKqQwbnnFzvG5/2REaKSGdhfmwx3weLUq6Y9fc5/nWYgZH0N5
qA+IUbTgVkwoLkuvKf/jdIyybj7RkIxHsuMfbgNubwWM867TCEAd9Mq4CjiKKDYwANZGrL4bEGKp
Qou/12NKEsyPkh+u6mBBtxY97o0tzu2goEj7rjjGSyGR6yjr4iCIrax0BLMpqgzgcQX7Pp3NaE1J
o1rNaqi3TbEQKHNxSfCfwVrUwgsCnb+Gs2QzLvX8OzOWVr/xEwNtjuK+j9TIfuAVo1a6zY0rMcas
oGJOm840edKLkBUM56aIr64KRgbDQOnvoGmSai1ptpLbJLWsWs6wFIz7ITHbYVN0piG3pkgaGA9F
tZty+ilXVdF1rAQebN8AxrzooUDIvjsPGMXyW15pX1BAb02kvpzQoR1D4EMQd5QAcsPuvSCKxqfU
hUGDJWqR6Z/1ihSlx1p71hmZyNp6m9wi077noqLJbBG+vPKQMJVfxVimdLS1Qnw2fgundSi866jV
/oVIzZWiOdiQaFFgX0rtznKiYx0zE6Z++8R6Tk9lZt0ybF6Mgogf2BOqld5DZtN03k3pwJNUwvgq
ktIPnMxLV6KvftZDHn7Vkfue+dpG9H6/8gWn8VlXtJWN4WvYTxcj1TVYHtBCzIK8rh761SHpxbUk
4ZmuIzLZsCFVnn6UoVbcSFbKwLDzOKgtLukFIyutB3ova5OBgNdue1czthoZYwBdJd2VmKBWtAID
U6YbfqXsOlDpcDKS+dJYvUDgYDZiwmV9NSpyI5bfREBPZGWfsAUDhuMLO0UXjtuG9IYBk1MNUwEb
bCSc7M6jJ3ygpFxYyr4iubQHFbYNlvbIG/aKJomVM2hfIxgr1hw7mBs2DFni9KBK9DEU0Tc7HN5c
u3TPk//SEsWh5gAnPOSCJmvOMxodvq5D5zvdW56ENFL63aGoz/YMrbakM6m60dLJbjqgjwlca3NZ
vUjMVCcJX35tABbcRKY6jdjXqCL7ZKVDqIykfQF2az2I0ZI/RP8zU9lG8Kk2sSE26R01N/spze59
9FfbGHcYwc6uS2O8rqpbPGOPyihmeLeb6mHyC0rUxIPjfVBr0J+lvlSS1/t6Dm9V1Vz0smv22pSH
a6essq1lROV3X3Y35dpHRNZL3hpHPC33qXnQtRH7O1PB8AikbD2KgnNAiQ8MNT7uzojs3WKue54m
++oo7Va1Ec3lRX3ITfmTxXeQBzd08CjYEYMfK9vWfnL2tC9l3CMCU9qSbTkcvPb+TJu0k6iVCP3N
MqNhGJnurDzO4mCo0k/FOlmqJxMo75BA5gOHm/zoEJMkIB7OBlt9HNZ6faEbZD1iDmBQ8RRzbq5h
0fvMaxNilk1jMM+J904Lu4SeoPq16g70P+07tmof4Kmcf3qOtq5VButGC7qx2sIR20OxvTozi887
YuC6Y0VhGImZhvuHdyVkcOEje8d5ck0ccAWbeA+we0W6gG2AxRiGb9pA74v7Y2OOeyIHO8f9pOXn
5mEpjChdS4F/AvHjMQIPqn2zaa8XFlOxCpnBS7qA/Ool75ZV8TXN3ADkYpD5G9P6Uesm65QZ34FD
5/WSx7FUJMZnZwPIGmhjsyHif/YzNa5COWARK4G/3s9MM2keP2J02qI3rorRvykw/k2a7zvnjq67
BMZayd01SsxLUeKlJqnBs6Kb6p6pP2cRzsgLWKmmYTBhrOoRYd/rYX6Yxc5G+B97AROygWTN05JN
n6qUFFt0COVuCF/LswEpR+j0gHta3mzFNizn5h5JzjzY1gAyXLNjDD+cS72OtG7TXMqk5bNftG/Q
7sQhUaUL5sedIZjDh69p5YkfKFaETl3u+xx+TVfNN9NrTkbdn8x2UwsP1r5bAg1Pc5clskwfbFw2
L6Pwe/wIvAOAfpXPMCIPSuvLndI7HEYHyZfARvIDeoMeJScRmPR2t+8LSnijydjmaX1CDoK0q6az
p0ePlcj0wGa/4/OHVWZXtonAoIX3kP/QFFO80ZgbHYeh4em2GAJg/uXYk+gj3d5m9BGZzoHe0tdS
RhwPB/EYMheOYn8nKopA3eZg2dmTyXcu6hhnhqPvEtN7saib8+nnWM3m1WrvK3N54gUNN53Y0ly1
Zi8O8D6sh3KiykqfeH95YZbW00PkYu6gjzRX3j6Oy2lLhxgN9tVqQrn3GVk6dLVntN1HGbaikSPe
kON3pwJIafob9sogHRlyTeqRopYr8PuB7gLx3Oj16/JVTp29wCR6jAG7+3Z6cfv2QTP0r1brnwdK
fVY1RwJG1v0atzk8UU5St3koHtUUbumg2eZjBRndOGoiP9IzyV5P85w+mo+G1TyPkOhE+Z0KwB0i
MS9Hkp/0zOEJcN6NZvzmd8M3r3YvEiuXA5p6FSMza7QBFLF6HsvwanX2voOovE06xrWqLkButrp4
HlycR46jhRusiRNfi1Bu6yO6OcWrdpRmBzO2KLRgzkTdEFW3yqGVSkJdTGYcwxQWcimI1xV9R0QH
39s+rk84KKo9SmKgONEv+bJsgv1NNXPLbE+GR9SGb17IqIdnpR3lJg9BsToYNIrY3DhZ7W+T0jvK
ArdKrnBU+ePepsNgSjBWeszD7GJq9oXSYUqKYDQXT+4UeKyOCUN7KwQL3XxFrXWE+hRolf/hNtoT
npgnmdGxQAVukWN56Z3xu52eYKP5K0vhnDMNCu8j/+Yk/RiAH4QcOZ8SOv4kRrWjNqTJyUH+x+Sl
9r6gI5D1VyLutdgpVsJ+05mS+mramGa+dQflHlHCt647PcRujPfZuiJKn0PQLiEnFVaZTdWU71nq
bBQ7Ox0WuNOawO0phbWzswrtYzTfSl2tXOtNt/SNaL9kqW26ubiPKRWNVbeiuYLDXxuMvEZWcdNz
pkRU+AQ2J+Nw4FQldYp/nb1t93uL3S3F442tnEap5L3M6gumnZemvbnF+FjZ0aUB12DIj4HzZDBi
kpSOc8H3ECTt8FL2FCREGbvHnGrpE0k19gdR4ylucHU1i6M81r4cMW5MiJ/rvp63YSOnk2OMdhZA
EKXDoZ+q7DOVvtWdqbLnmKfTzR7uwpo4wEoKL3l1u9RlIbTGhcowl+En6Du819LrxvkhogB+XBeF
8q0ddgluPXM+6T/dJjE/jaGVDzXxNn5xI3Y+IlXn77Rt4hYUWZt/1UzawnWVELnLc+FPj6B9cVbi
aJ6qSwQL88BEdqoDTU5Fuu59G4eLqUP94mqTGreeO5wGyhovPzjQxe/MKav+0LkjcsqLvEygzzEo
h5EWNtqqzHpqtQ1SqwydQKi+Z16JiZ3iIP0o7AlAOCBvMJh+ZtLW5yWNpq/zqmvl1sUvsaEgaNy6
Tq0XNB8XNhPUiPmwM5avYp7EpTMj/V1UvkzXXa5z58/MGZw9fs6p3lQj/p+aQ/KSZqGrxssXZG9M
GzluPEDpBTaFOtwUGtPLU8GLy+mqZ8YSaEwknmWDV50QeyevdoyjPugEMEi2v6l+s/KOuXpeZ8Qo
THr2nG3ax/I8e8OIQ6FK4is/2PAktU6dB1MTKfyr2X3Ezc1DEzN9fEpGlT6llW8/gy8dvhhuDgra
Ru1nXO6KlDm1oecDOY/lZjGMOturndlJgbsn4wBnltbMyd2i4SioKreK1rLH/R24LBguATmum1yU
a8T8TNlPHlRzVhZiIcQ7FE0R56Sh/WrdjoxcmPIXS2ZKn/N0gzVh9OguiG28SIxIbhbtGnz6u869
eVWGfalApTxxsvTM9Www0Ydbz2a5trwpW9bxwW5XkorMRwMuvcWRAGsjJ/4SS3/j9fIjTnPtxSDS
JHeZi5/gcRhwRrHqWfo3qo0NrD1mUk/BoM2fZcxobt2neUyRGu0RNCUNyxThNwnw31JB/2cy5qBj
/J0auu/odqunP+qhv33F73qoacKZQ2/0FtocOqnDUOd3PdRw/tMgiLagZiyT/7Kw6f6lh0JcZ2dc
pErkbP6PRaT8lx5qLSoq2UbfZMxFrJKx2v/533/iIjW//PsfqW+Y1X+RzfVlygOyDuTN8p3ITf5Z
pS/LpOkKJB4Mv9r7cr6sskdmyu2e7hN7L1AMUFhyfetRX6Wb4bW3Iwoqc6p/EjdCEOFGu06L0mOO
nD+H5uSwUVH61LkJWy2KAi3EpaARYR42nSHFRQmz3Svb+RBenNzRSEEyfFYhfAHUVPwT32D4/ujd
Xd6FH3VjUh6gPD4pZTjfkQerjl7P4ZzOr+hkLsFuhFqDhjJv9I+mcOHAyBL7GgTn3ZyEND+MyyZs
39ma/55MKGdKzed4GM+aMeKTNFttFzka0RaCY9te08RldDSx0bWqhnFRzIQRvdDdZlmY7yK9Wei7
QG7XnZ94TzIqq43eNqiprJkvCBnhXtiJZQSiiXtcK04s8OXFnf6k0CVpGiu1J+Xh8sbUUBVry5Q9
MRvYVDiYuJbG8Ab3XsfVXnr4YlZjRcrkoFxfe+r4E8vLifC8Ge1IbDq9tUFGLp5E6nKG8BRrkRFg
igNAbOgs0q50JMpjPMBtImjA4SsqlsKNfle4bPlROal38g1yq7GnNBSZW9pCpnTTR0vSk7qigQFn
aMcE5zjpifQ3Gr8oHXFsyWeBoLA4VMF7I/TGG7weHmofzcTkAGWYMcObufQqz8iBp7vmaz+N3SGJ
pvxQcbXfjyr7FJP4WWbzpY25b2WlNeEe8W08kRoT4zJJqguRiJOhkC32CR1slEeB+ua+3a8j7IEL
xRcvqht101Ip3pxGxgcfGiXJyCioZSN5prgRu5nkAnV71iPs2OLQ9PZnVSmCCNq30Z0PMJ6/l6m8
pfW8Iza0z438gYWfXwBW76aiXu6uM33jZxM53JhLgmzg5XEfwJJnzMuJ1svQSUEzb5yKi1LiZbsO
NvedlbeBxwEKKsBmCvd0MXPXV4IeJkOrAhgq35mP7DlS6x+jr1n0IEa1pMPD9EGiMYk/WCwAXJpp
/CRdaU4vE3N0KMx6qm2JC2XnzBnrjZ5W9w0cMJzWyqMCt8nvx4mC3qK3PQznUJBajNlXv160WOxD
G4n0vdixphNxIxdc/c53a/Mw0keyScxYp3I2G5/rCn9QYrfxGXXM3dSVHh6cJpMHM8y8t14rxWXo
Sw2HHzSotd4qIKb1N7fzud8ovI606Mhw1XHBDwodPaBK23ViJW9qwP4v6srY+YnwgtxCxuck8Yzl
orqSZJGHzgyZfWYyW5ctrr8RV+3ZrfrPKevwpU04I1ZhsgQ1Jp2losGgAtyQwjGDz3WLnZTDDyTq
uDT0wMxKBzWjkQ/YzYazzXFoT09hcU7pgf7GLP9Ri0x33ZTJYxwVR5yULFRmXxwHVrWHcQqpO+D+
fcCTdisLf1dG/MJpy1EQg79qL0Xu9xsx0vvjdUN1yUHPxv5jWec+1aIOyYQQmrNF0HJOTOLTQ4F7
Cae37cnyFlb6udMHZ6eb1ngQs+s+xMzAVssKfVQs+zx+uMhsrtqXqoX6FzsssZJtu6CGk3twQpUL
qGpSafEO5vMuiykA03BxeIW4hC0ftWb4NJkCo/zZ22kpQsw7OYfrOeyB+EdnW91HmtWh2tSbuWMc
JOPcXY9eClO6JrQ8GT8rj/whv86xnzh7UydDFX2UqWfs09VKx96A3SGGhj3b28xIgZOG3rwlG1f+
IH2BdxM98g5BM9nrfaGebJ0wWDHis8a+DnubeVD+MlnQkyDHrZAej0WfbebC+EYAlFXCIxwEV5GS
Ka7ppkVebbQZ83CejJ/IwmQQ1wu9PVR2fhxJEdoFdjFzQOTC+xdi3vEs9IrefR6Lgr/ei7UNM2Pe
gxRVF/Uu4vUvLiRsqUVPs3Bv2TOmmOkHwaphp3cYOfi8kQUS82vfk1DrNfDfw1R1r8RCg16UvU3z
YUPRpu33d0mdf9iyw9ZdtmqTkHXdtLO9rvthPEb4bHGv5YCqSX22CAwUZOxbHD93xtRMd2EVg6o2
ils+e4+0ip5So+QH09F6mvhOC9W3gVwi17mIe7RZxW+2RPez4pxfkoVn7eZqbbo5am/HwyOaltij
1sDcnKrAmhHHeLGvC1tyNw1ivjAZGF96WbXkJuYDWmC6syNOs3mndwGiancElLMxMhKv3Zn7mIMD
dBF8iZsYu3DC5hxxw0QejBb5fB/haVgluaIojeuW1qJiNLV3LCZqpiKDLVPWuPyglje7suO4XVYU
9mZJcV80uEfJpBwBOVOdRydsrxr92E4zhk3j2pvJEHRzDxw7m9tNZCX6poSdcW4SbusFmTHq2NxV
UrYPotXsfTjxbNWt9hpRyxbwEBp7t9L9uy6dyOHHrTqwPVj7jNWD8azpk8GBs0zitXR2zgCqeq3V
JHVsTSZ8NYRznAvBbHcXPeet6Wr3WSTxTjjUa1gYu1HIwD9HN/qeftSmG1QNGb0u4mrJa8EUpP2G
i5A/myyiKnvM1pnj8K3S+uFBeux50OjtJSVk7LD5kT7SVYuGtHQulXUfrvKZ2xQ+wDneJCw3AQbL
fU7n0joasP36JU/TKLstK/rrUGFrao3dFGunWSXnMX2TOXtl8kYdzNWxs1s1ke8Yyx3lzHzYFlUb
X3cjXsdyeiwS+16m332ymMLPthKtJa+1ABS/H8aBKyj57d7Mjn11sUe25c3qxB4DK8MGb+BJGL2N
joCyIrLxMBC/O1aFE0iDwsPYrQ9OIl8tXeuDWHceqp5wNpdioo61uCtHeLg9LVsM8DYt4bwNDaGk
G7YlbAErfpsqe0v7W71DLPtgNHnTCX5nynzU/OFN6XSWW921aS2qNau7lgdmBruwamu/DBoxN4Tp
43oDg59qNt0+aJxYUdmnOIDeTa+2YchrFlEcr0wVNBrvkdcr1Ofi3UstZNvYe9fSwaSxi8fFa9kZ
+hJYUsVnbcS97+ZbNjEGFSmdaaGQhPAqOgGGtNhhbf02VxRaYKuaCUyEdxUIpL3lFAbGW0o76fB4
xGIq1in4wg3x6upB1fxdTqXkZ6zV71HUI9qAXNjIOrVPsNeJVmIZwLw8QbhZKjDq6EIfwM/Idy+1
TZ+vAz5fVPWPiRbECdnIHyPMAtE2pV5jqshIipjEoVh+LLeq3zir8XfoAEv+L3Vnshyp0m7ZV7kv
wDX6ZkoQnUJ9l5ImmDJTSeeA4+A48PS1wuwfVJVZDe6wzuDYsdMpFEG4f83eaw9ZFVMskau5fmDF
4XOssXHxoLVI7+Uv0Zh7wvX+APhkOImc3LLFD4WZvOmDwP3wlPdEijivSriEbbOVs1781nmKZ5YS
OKrzBzzjz0PpPOu8OyoOg7Fnnh9dnffB0h1XftDJtov+e0Wj+5KIYjlX9Y/uffaZ8SFfp+5uExQ8
SoQ7TYbCFx6Q9i7GaZQqKZOHVjSs9bd2eOY79Ri3bDqdek9iB8MSq7WxyjbLnkU0w54ZoUKmEM/f
ejlycu37wX6wi0vPZggIhB+9TMAk7DRocI/ElYx+J8wvWNOZ5pYxRJkhWSgwpjMNCAfyocqZOeLU
E5DmGBKZAkTwKaUUW+AGJRXb4Qd73dZ93hRUF0WJXd6Vt33fuPc0SRqIQPOp85wFU1h9YrC9jbjp
Jzmz15IU4GEphkvrjJhYSTzcwWsgMrL34Bsb7X97vXRPrQmvgmlsi1f7Po5rD6NiXcz8zdoMF8bA
r5brc++Hjt9eXPaflwoJ9t6JMGu7KtA3WNrUC6E+48Ock2Jj+1H7igy+ycJoIMivaHk7wE8mZ27L
4cJApThUSC+ZQFnJ3hMFujxyHr9iEl0PE6ZFFBljd9wM8ti5rUdEM/GMpB9TG8QBfSMFVsXBd78d
aZK/K98P5udErXZiwCfMEG1H3A+7Arv8JObRO1jhNWkoiLubFqahkxaRxu+qCudtccIt0z6BxsJK
1B83nwdCQ9ZLJ4nHSrvGSd6U5h6eE1JGfHuKbjy26FlPquo+xqidRi2uHs2rerfQWoIZGILoYSk5
klzjRGSdjz6LHBwCrMhz6wQXimnVtP4ij8chQ0yyQA0doR9qBrMnwu8+y60VpI8lcU0Iz8Dwj6jt
/EE1jbtXIlqPKyflfpLWdtdoYsicTbI2HzfvKzG9e9DhZG6cmmJgF/ucxIjX7V2iWG3ATt25c2iy
aevmg+7G4WZMEsRDMw2xO25vEVvmXwhOCKQZtXnfqLTf2YY6yMe1SjndW7ZFGL5QdGicepV4theS
gQjXGexLPmhWTB32cBXl451Y8yZbdO08DImLPj+q1b/ZI3YRtZB7p7zpWDnd85L8El1pQQNs36Oo
77+dss33INcsbvKcvHJLAHHohj8JG/YjhGp2cvma4ywoSjKg7cW7rdeAZdjo+I8ILz6HxAre+plp
1LIh6sDWVvxaXUlPE4RMtklGOeYMXvGCWaSllMNrrYI5VcYP8JtELU9r+zm1PF+5WrJV1eNNKIg+
c8eOiCNFaChpFNVuaZL3xpHNk/bs5YBelzWCXz2CFf6H44XSDkbpbR8Fyx2N+fI4zE6yn3T3gRkB
tYxf4ImamXF3rtk4jgpziWzu7dqQC7pvmyBnW7DVb3a/bvdirW3uWWr90cKSzA2ylcmyi2fXvzeO
yj9i3Q+nOZjIAZnz4JD0XDm2iaJTRE+4i6ISgnmYYHkCgmg51xi3OZxuZt8jUgcF55NXJOtpiOb2
2GPl7bJu2IIPd8B73Tu1+0yhFvzGSjTdLzYBMhSBxFMOnOmcRKX/1+qQY3rtfC48ORBRm7dPbfin
HE5FJR+HCY+3SbJ2OLsDs/FpF4cnb+p+k7qhblroGtB8ZHvCbjockohxceriAbhNSHJ9Em7PXqxp
5nfP56q1hqL7wxO5MENQwDsYWt6CTsl8q96eUX8WH7zx9WXxoubHzzFRrJaCgt8k4lUEKwdrzW51
sLdXd+poF0hgw4/nJB/d1UqV4Ib6XMiLPa+5V38pX8eUUrnDsYNISO2sqGXbrzFp9FgKZz2Iv31S
8yBMgQ/5qTAOiT1Kk0Wzt8o+UmmOmaz8JBskTEldmC4TpFrWRrFlo0NWow/rc/Gt54Wilr5uVsWH
7xdkurSB0J/FMrS4S+2lf+7Crn9s+B2PoqdshC6yNiSN+ibaBwjVHsjQtc+V16LwWeOhJfw7QDDg
LtL7FVZ1e78Id6F6cHwyzCEFgFIkwNS8ILEjC97jR5b7fiC8tnLEuyUd/9w61vbcjiOdKY4neWZT
i1RlKYf8tTSwt1JcodGjvzXBD3ijJROUxFxiMSRxdqhkx8xBHV0iEq2PGE2JYx+GMs5oRN3fgYhc
doW5heWmoHseXLkPBgtshLMRce4Sxu3VCYDrCASyLTUrZYYZQ3MJG4MNh+49+V0k22MLq+CtB7tz
Ay5ivEBRYVpDa5VyzSVRljMGC3dgRXB34OIFYCK28ejm8XcALmHWSc9mgzWysNBW+swAbkosu6xg
enlXAKg6B3q+WWoaptq6dKX3qpSDX9jFClUMh4l2RBdj/qTzCPQRtdeOtMBxp0dc5XpbeMlKXREU
R+XfyRbcbiW4IXP3id/i7AbThx9GabX6+xpdTKbD4UyU9a4GKhfOH4OZd3XkHNvE7HQOSKqKU+Ll
CkrXZxwzI1ZGGKMkq+HxA4HMtd4PQOkDLLwnbarOzWD+tHt2Kzt7eW9E+ASUKkPCeKjW+BWg074a
2O2a5WTED8lY4W72TRpW4XOADOGVznA+2kv8z46IYPKvkqU5DlAvaWLFmAAN2yUswxC1aRPuqro+
xHbxxxTlj+es661fNfCWAjJ1UYvtViKvUhQm70wvyPlippjWOQqQJF6PwVJ1Rxwsl86Get2WAT7E
4E88Xms68DJZByqXCt4mCoHWEz1M+9SUZJ6BL/6BQmXviGdon7mB95FcEcnVzAAjw94wkMw72LVG
pe+ypxIP7fXAC0SNujap2b92jk8cEXWeHcTfnsSoXbsEbI17zNZIBDcWUEpASsGkvUgA1siw1iJ4
Djo2jIxQQJSxQyRmaokethgsEm08KI63Lt/qnVX75bOiBQQl5X73CtvB9XnsoWvx41ZCOlZ6k5g1
KCFXlSCBofJ+Rv1kuesBNQI4psK+atGWvfD6PYP3Fx8/YHzFNYzBZUmKrwgtC2mR20C8VJS8bsCT
ENReHJMjqoFk1VLJRvKyxTM2izJ+y2UAncUpUoVT1EzWA5r3o+6Xb7ts7qD/MeUigoyF0t5fl6/w
SgupVyQioDHK9p4EKYWQLh2r/MYI9Uylet/4zId7EZKglcefA+uobFuvZ3rxPKOeJR4rgYWWu+d1
BVwGZDyr2DyhGd0yMVjHjvxClJ9OQrwwg5ReDf6ZW/+9zuUuZ+iYzct4W9vyedmyQrhnh76fHjEj
NAphDAiBXcVyAxjAxnTbJ+y7JO9yjm4Y1SD8VRHHjyLuweqa01RMN2HSc5/ZOWRp2e/AZnBez7s1
7k8m6m5DG2iv98jQkbLfLAfZc5vgak1XJLFpx1vDDGy6EQ39bThCJRmjcCdMt5zUCmBE4vCfWdTt
mPs9Qm8/jJB2MjYspMYh4WMGkTIoO8+ESzFof948+xgOFiQgfG4xjR7QgnpN/ka9OHo1nADR/EiF
pLnwt+kO7Ir9xM55zlB8c7QOwKsX8FLvSev6KGLcCl2n7niW0bbQB30LV/O1QYcV9tZd2HLgCQgv
8TxnCv8oAihbdzflMGRr4n8q9e6wk52T5IH4W6IEk0N0DRmYdXOACAaLJvX8l7y6Tao462dVobnJ
MxA5iSHSb/glnZ+4csAC8KUenUHtrTF+bDovPxfBcunFwBd+QOa6EOMa5fZjC9ikxkCecsj/7uzl
gQ7k3Brza1zUrb3+StzxGS86d+XWR3uDjvE0es0v8taPJW0KKA/2LOW4EzkucY2NnbjTN8u9qyzJ
OmPZKVtf7DZgkbxlW01sgT1lQXuL0fhsVfGpU1txUfx7Rp89ZwHj+dgW66Gfyc659ZlTUQT5N3HS
HXPxxtyBDfnbYIhM50SJthfH1Qz5J/h0x5m5KJZKSlAiZhmyLETW5218xzYFDNmlHn5xFIFEo0OE
B5aXCI0RHFORLr7J1nDFdus9hsFbDGvGcT+D9XczvrFpodmjHeQ+GDl3CT27qInMFHkY44/RtnaT
dNg+T2i6uCWm7n6ymLlpfJMdZxr95K8FZ/su7sWFXIiItW6yvI7+6pHh3jd7l0UN+/f4dS4T/9At
7rMf6fVuGBV9iJv3u2368ZcIHkC/9139IGjxDkmlmhtfsmagfsmsMnYuMhf4XZ37AZmyGiC3MIXm
IyNbjaZxGndlRMi2n6ts8wovq3V0Km3aUDfn+Fvjp3rzw31orUbyO9DfrWFxcR391QVeVTAv0+S8
ttOrbfziFE/Bess4yxdPSCN+uIKYfkRUMn6pb0naQL3fXE9yQBUPeT0tRzMmEtE8gw+OX5YZH8A8
ZuR72/hk7DcMSvcNAjphPL7LpRci0EzCM2IKRrj6xW+YDoe0NWhb04hld7blxcc0+ettZIIDtTWr
uvlDyjVNgjACbtvfuu7jprhp3SOQj/U0GqRMseeYvbNEr+XGVZN4F7u2H6R8N2i7kHm8NhYBltAj
3EnEaWc77Ab8g2lZrnXbdWg6tUMBddmfT4GI8wOj8PrUbQWQvXIM7317Cc/NJO8qwA/RKBF9ls+S
QS5jlqtgskueWshx9DLBwn9LKWYxcbc9eYrylplSYopdT4uEooUVxzhSaa1JLe6K/FK7iOjQgxT0
IflwSnSvnpwk+qirojoDpawzR1UAdyMwiygYsJnQWQSRjOACtmdQQw9leRi8lkWpE/+GZVukgSvs
o72JIQtc89ypqNsryxJ4Q5BQyai8+DGqhjK2syIY9zOE+DS/5hH3vX+efXGeB72XfpnvpD++M8t+
naa1xmVebu9WtML2WB2xI6NjOQwx9RKhfza1BtCKezDszesadhG3N9FQNHTPS518t8Y/Ou58a8K4
Om5+R7aSdc904a0JmpMVLCdHxk9bXfjZZGuGWFc4zxzcbGX85FHp6ZHNrdCEfE1etW9hW7VD+9hD
E9152+QzD66mXYuD+84ZJ3cf+IZ01nn5V1JVpxuqzNPWN7/LNadoDLjCZtgsR21X33X8HW3DUxSQ
5at98wp04g7R/VtM84g2rjlWHoVUgfHoQHsP7HwIzu3iIo3k7UEbO7zkxrqSochWvhmnpj0izv4j
YhZ7aDo7h8uxsF+2uDyDyWMT2lIc2ysPYN13sJ544PM+wypxi0wQkXRnWCu0VlfehHN9w9QtP0AC
AHg2IFlLBPi0wocyBPCiJOk5JHQVYZ42sBsHa7eJzX4r2hjOhQnvZ9um4AlRcV6blrnMnXTsFuac
bF53FcZ/GD1PXL5VWkq32uFQCI9DZ36kZmqhw7rH4+45h22EqKgaB5D1GgCxFt5DVZvpzEtDT4xb
6jwp2d4Ug8cRJBeNKEbp1Bu9CNLQ9JWXILKYYbiZgfeTWWN7WCznhe/jo6qY3jDaIlAbJMZ+2CY2
vRvDsRy43EcoqCiVWQ3NmxouRtj131D5QCcH8AgbwcOoaLTPUG91D5VTWVnQkGFRbboC1V6a87AE
4xlkx9V/Qn5o3wDXqLzaSd26JoZ2g37jYdnZwWoZMrtiHqsrUs1VYf9tluqX1VLmqbo+OjMKBNcz
qKCVVWVEiH8UbJEeXToQ4HNO8hwvPuSZiELBHYSVmVhbd97ms8LoZ6COELrTMalfVq1eybD+FNq+
sjO25JZqEYn3xCK8UuTn4YOhX7HDu56euIqVuliFpc6OF9ZvUHni21HLAAASI2580wydV/sR2XJy
v0nx0Idud4RC0/+dsI2dFlfZt+5QJL9XM155Dd3yQQ4m1MZer4xC4W1E7fAFMAa5Wr/dy7B8WEv3
2Zrd65yWFxD3W/+yDB5aT7BNbe1dtdED1Cgn+dtILyuTudtHroLLDe7sJCv8bgOXA54kdvFpX3OM
+CJGQ+Ca8LmofDdrI/kWJpQ4qHTRGvj5vB+XeDsVXbK+TgscuLhpxzfXGu9ax66+2Kuo04J+Hlv0
cteGvIe9Vx9n6D3nqIJ3VKv6TnfoWvKomlNPXsOk4XLJ1tu3U9eeSwJGM+WZ6tyX9aEHgXwdhN31
uVAPxujvPBjFHiEEJ9q44WMxJZUE7glMrZIgdft2LezviYFCefVrjCXAQcJ6FXS2lPj5xcX+53kp
W9mX0R71sScL7eTKyrv8z7VY/78lefr4rP/fSZ7ZT9v/Ud9T9ee/njlRfgv+ov/3X1P5818gbYr+
f1dfXf9P/wn5dP4bdVMIJIfHGrZ5iBn0P+Ir978dspwSJDURo7QwwQ79H/FVgIE1xl1PTiUwqsiJ
cbCOvb76VEka+28f26iXhFjnMJcG7v9IfQXh//9wo8bk+sUENIKP5Q+XYLz/22xOljMKygQX2rqY
PANbQAs76mqV/b+eR4Sbf5XMVHuvFYjKKehBnCrX/ZSseXH/hwanTysSRs+B7TV5lnOWneeJ+SuW
x1aoDO7gVh2pwRgDweP5DrUuXkpgIch/m8qifs8XtJG1Qhebqtx2sBJ60j4HpANHnPshstUaiwvs
H1awHg2RqW4JvJ2GdE70jJNoXdxflt8RvE48DBTaqEBP0mPNI5MBBSsYAWBH1gHSsirP2swTDJmy
dWEwhRuzR4Ann7zpU3zpm7Cx0qXrxd9cRQ22p74v7zQcWGKwmlBQd2+RuuErvUlomCH2QhUjyt+j
3caaYNSQv1Ve1f0BFr5hMwhQmCHE7xOHem4Sr2NvcgtaYaWxX4xW96V9umG8PY57tCd32tIFQMVB
LddvcBJM5sWCALumE3FPA9sQWqnBS8CGwigaMJ2NxH6mDl/xYj/ljoF1PgTreuxb6K+4Zhfk1Fg/
zIfpXDZHPuIDVstbJb5iH/thNruKnxOJ2f/HJHd7aN0rakk2fvG8CGvzT1OVyH8RqGj7ilSel/Mg
N6s7WbldbYdkZcK6o4HgbPF9LKNpPamAq410PN4Rt9Yv9tKh9UaDgwCtbgLIliB6KcWn+D2YS4JX
3L72cNuO458GfQRL6GixLxte/R9PFfP77C0rhYeCMJNCFnGf8K35fyM9Dw6uycIGRZz4V39sMONM
09Jb6/0294oJiGZzyASKBKancsrpXRCT+1ZOFwl7j1FYZSrAcqOwAZwSzMzMuR/smLSB2D4Qwyy9
44xw52uYlvXeBsm75UfkOGV3ItykWFORTzUs6ILbA73Uak93cWGB0Bz1VjAJg0jPOgx5He7WyFTs
hfIrOvMpH6MBQaDfdFx2pNgBoN0xvA3yezW5A4Be2+fPcTKs1XunEgXdbg6YA4Zu1fjwKvNkDb5W
lyj2feLDF9v3DQ/jZauTZL61uQu2c84S2j5IdwDG49BVN3tIbX3EXLXBLytjVunod0LvauKzmBCG
uWjsOwsuKytVmoniZfM6vCN5qH1EvCreUELkuEfeZiHCbTcTE51/CZRi7TsVmGvu7XIlyFY3Vh18
wMBMxKUzC87RVOpBJr/JRJX1s4i6uTwsoFf8Z5sLF+G9kfnA9HABbCqZ3s4X2QCPRWcHtps3LEEM
yeg8Nh4d/mqYbg0elECKIYQEXZ2rh5oPkR+Dermu0nzygk8BWKnY63Zwxqwbq/B367cSix1y6PCz
EFWJWqQ24t1Ybmh2rO+oZwuL6Bx6szW+XUOWs3WEsnHXGjbSZ5LH6HVRLsd3JmrQbhdYu/wdXNiF
yDrLpnLNOWamA6Wip79xW28veY0Dfse5W1fZIhJZ3aHW8PN9OA/t+Gx3zHWJoIv9pwhmf3MoMc88
hQsrdz73kkMJWQUWuXwKzG2VIw75VxBbfGDNyLe5QrvCJAuxBKveyfQaK6XlvnA/1e1LwILhuYKN
xMSCNhDkjA1eFBlQMWNnnoC8HWykqE/NuI5/tirWH35Tyj9VVNu4tILF/MZLYdsA9YxCRjLVVbl8
Di6aHuYnxOaevAbrLG5sD8ClDiteCdCmyNorU4kRKVZF7o/uIJyhGeymfDetFW+WhdRsOBQ5Gkq+
g8P6wDPAbq7SrLXg2vvtXekm14VNWG7RrivcqMsStP0PE6ybpmE8yG7pnyvLtjkyA4+XXVVcfZhz
LFqGaH0Vy+M82+KGtAicLLyffn7fdFPzFqIdVntAnxy6SW6HjxhTIopCeIqYexLLQ4RQVtXHNMze
J4vSq5kudOSnH9ZhsDcrG12c1gJH5mCXEn9oOKHqd9pw4QN0Ox8YHbu1TPB1fneGRK97Zy6VlWq3
Mp/kT0Qv1hSqkdTB2lnvwH819xVZcv/6sQqitIthH/fFNJrj4PDgnRD+YEDM47JACEA04mteRJ3O
qkUjaFHcOQkOMsYFO9+Z0eF03txjK7vKHiMweYyD6bYQt9VTxXw4YGHNoZPwKCGWcLtdmUsx7wlV
FWI/o0h9ItRh/QQ269b7sqkxtFCKUztXvmUXN7F3tS+pdsRtX3g0Jruy1MjZgLah91ojiLme5QEa
4sn1Tr01gpfeFs6zNCd4qd2XNZrtfWn19m0r2YGnfs3AYde5FW6Tyd1UeGoMVv6skujzsnYzFkuT
eQxlxkCdCCsivKNsqtGVun3D56fNmjwL1ul5Kpjz/RbczPAht5rjrM23/nFkTX419jre2yw3L04B
PI8PPBP2Vz0EFMgoBQjcGHk3flPRBNbBRNPyKTrT/r6CQUpuZNfwFnsDO2PdedZrOfrlB1k3yV88
LQYIIeVBSExRwYsIBsR2uyhpba7NMj7XoG6xtgh/CG5tFKx4mh3dzCkgELZsCSxinvulZTqOsr7b
t5VjBS+MECsDLNkpt9Qq8Gtl44KK9jYSXdHuFLu1n6YYsdIju2b0U0zML7ciNpiyfYe+PDYsJOek
7h8AZAQAKJqx4nRPevXgwjWMdzXXdbV3l1o/5lE+TEcWffT+8DwDJLY5bczeZd9ko+7kbFJTnw8M
WXrGFo3ltNgw586u9r70+Nfzij0BzSdRLGk1SOqUZlnK/FA0pbg1bOzkaWw0BZoJeaOPG3rP7n4D
Svo5Kxa+x2Cet3+ewlyQ+mPF1iIYoBrd0k+Fy/XZ225D5UnUm5X1q8nd4rVY8eWl8WSS37LrcRdy
Rq4/rR3leGp5MD/BvSftwWyWd6tyPc4kpUDGZxRDd8diYPv2lIb76iLknBDEeqyvttiuAcyttnzX
TsTns7pjdC9mLfWuWjhMdkaYQKelUvXFg8jmkr+AedoO5gHbHxEeTx3l7F9TtNc5DdT4l1GJ4SuZ
l/pvMS1Ate0ZgQetvld9DaYw7Ksq1b3pslt/ernKx9ogtgdhYSevKkqam+Ha11G+5nx+jlF/uJXV
Uy8RWO9mIhIg9ipZv1dB5fxz1bq9JP2wnQyID14xjtuv2bbaZ20516azF5jF1pLmxR8nULH+SD+N
ZB1NQySC70gXCZ++HrvfhKIoNIPNmtxOXkh9BTOSlFSqy/iThekEBh0QFnudmhFh7Rm0XN0kNkTR
titYgG8yvjXRClP8yp0YsqS3TLuzaZh/h8MA5m1tJGa0SWmJfWrBhV1ewdBdscSPymdsnBpXsQDy
ty15WemImUiN23p2OPKLtI4b84szzba4egRUyY6Dm6Hvxraexe6IdI9uHXG7vD4tgHOv/I+wEs0+
anE9YFFCmXZg7TL9SHdUXyzEITmGhszgPQEhfZ36LmrNfGnNHybA9mvNiSF3kB8AG1YU+W9r3Sgw
4Vut+0Myhdtp23KPYkH0SbFDt2Hlu3xawnUfBNMMMFiWFRPJHJAW3pLNTxAmYJUDr6maDmdaMyWn
qVaMk7cBDHC64Zmad6puGE0Hvc8kJl/9GMmPkNZrPuLG2DmWL2/4T/J3POhoyFzqLIuNZLeCYGzi
AoUebFD/DjEyEhuVbCFGb0uw+vDDOfyF8Gp0ECzPEsPcTMW+m6dWulfkOJc7Eqn+Z1nmMEGmSL2b
4XD0KVlRCWMADr36e+IpYXnBxEmxwpjtr8UydIBzKRHlNlY7sj7JoyneSZsfusfS4n3wOctHp0FW
o2Lg8Dutlbm3rER85JOrcZcyw4r3kx+XaCmKIT5Em1VuF3rLvs3owJjad01ufjab1S8vybHBX4xQ
tQ58XfQp7xMd7HNXGOJWugB6AKNKjPeKVq/HK+vTQOIxXbtdK9AdoWQSYXnwFzJysjkfaCxHtx15
jCbhylNst9DJ+2CysbI3XWSxOeSsOZDdUw9w34qFj6ZE8ZABXWrlcVwXhfzMmWBm1uw/0yCEcMTK
ZAVIHfvW4ALXRPd0bwXTOJDgObZ3JPXN7qEmg67fAS3N+7QNOMrg2a0Rzop5ARGsO596M5odMe6b
MCdmRwo27C/Cq4WbeVZBS4qjqSpOvddzTS15OElycpi3HtutQfsD6d+RqMLbsDtPsYg7CA4NLUJN
RqFJ7S1AIEneVKKzgJsFuaCHLP1IMTO+WjCkmps8vO7VPTTzHBmNQzSBkKwLs7kIgvsE4EucdYVB
ftJS2h5HpSGXrCEStju99teFehHzqzVQv//WysKUMUTXftiBOJAfYFtDZWcFMK43Dc706iT8aX4b
RKOto2Tcy+4zGV33hkV9UrzZyTDZuKoag3hwFYICFpw9uwcByzzj+1Im6TYiXsmgoqOLwTKKSWVk
J9kfYd/HJcPUubJ4c+OastMTPL++V2JOGslxsTJawiHPZpJ7/J3S8+zssBUg30HvKPKb0htLuh6k
nRLBSVSXWHTKIjoVXMz9fc5auz5tcSHbO5cM3urE/Y/rsaPOK/cJujVQJSSSsTTK1ygkge36T6dl
6cpD7JDSDkcDhcIjZTZbLZIRB/dvzrZAHmQIuYtVhL91eNILMdwvpcdN6Yh2q491YNryJOewdPa8
wKY/NMCyvf0WtDT6kw4mtW/GMZcZ2qzgX22bzTli3u2SDMtX4t2UvDQoY1sfxA+IT3txb0UV2+cF
sTBCUky21TkJVnabxbAi97e21a0QGZCQukPe18qnEfdIhTemQTImYzQnmZXYeX/0YYdF0As6isG0
cgfCsWaMtOZslj6CfytXe74XE+r7i8MZAf+kl6p6zaOrb2iq8tl8zkHB85hWDgEzz/NGs3mbeCIg
8cVgTjvMaMt/rXJW9Y3hqRbsIGUQHLykyvNXlvEQjKmlEQ6mmx66lf2ONSvadCYnex6oIUmXmt9/
R4rVpm+baXBYvAwe3gQBqSXe0cPLOhvacCpPbu1LZw/xSzKEF9c8g7GsnHEfhl1S/25kb33EUdsO
N7Iftzhj5tej+uMtbg9x1U3TrfLGdeJGrVYCDdbCA9M1aCOPSN7oMmN/q5lGyRn8qetEyNeG2nTO
3q+dK99ic+tyP06jhHM1kDBzxmSrxzMXvOZJC5RCxu75Zf2so+66cg82jCJR4w3OITCVRnzjXCU9
DiZhbm6Pt/LoEbNza8WLXjNsCMhsZFhUa4oeWT3Xoai/DRBpK5WjFBqrnKL0VeNm4S7QzBxY4Yvx
HuNK9Ggv6PrTdRb6K54cddyWcY6PhANZ4X5RG0yZjlfc7/suoCQse551g3P9pYIlHZPJUy9+trpi
4JPZYvlKSiWixNI4aG4ZP3brvmYgWO1VEyGcxEEVs1sG3/XIeICgp4DUqzOjt96AwyfUaLeOdfsZ
L0Ag2Fom03219e16sGh0PyC4JO+M+lfAPbA57F2u++jLqUgwWp0VTs1A4At9lrUGXBEzXBfHd3D5
NHjjNaclM0Su85ZedimRayETEatEE4U5QVgTW+HNCalWHIotrpI6JIhERT0an3WyWDZEalhv2OY7
6y9V0R+c16RY3rUmRIA3Xym6RsyilKLNbDTBM3XR6PqOLxPwdt5f8Oz3QiKcFMeqVyOFVG/TOXs7
Ddo5zEILpA46ExnStx0xjS7qxA5Pm3umW3Xx2uYLpcWjQlHl3Y+Wk5AHkLEfa+ShSVo5QevRAbNa
/ESjfLEbdhspGD027UFeN+YPlDzXmbjOgr5QWamwTxyRlw60kZ2G1/FK2FYw7GNvCTXLk4a8ryJm
XiQPPWrXHM2br4dVpGPpSp+lETRodjdzOVcHZCGW5gZIIHzAKchFBicNjQi94Lzt/YYGrkw9zVT8
6HeQqdWxhpfnfJPpkMzPorDb+MSCFypdtYVF9Nw19rr8jHhFr0tsoekqL4bsnP7IYMCmhWE7HnDz
0CCXHBeNZM31p8SAau5sqejswP3bmL8wECPsZ07XFq6XGuO62Ew1ELbhN4z9Nf+a3LDRr03eTgwv
KzunS0h1HzIYS1HyTTWK7i4J/A8K6nJ8DYotrnebS87aX7eyDKHAHN5L+BLJhOI7afuKaC1/SiqX
GaY/1w8Fj0b/zIWUB/jk/hd7Z7YbN5Ju61fZ6OtDIxgRZJDA7pucNM+SJfuGsDVwnmc+/f4oV58u
q6vLu87lQRcKBqpkKZWZzGDEv9b6VpNU1Y7bZLfXqOGniQrnBwjkEyoSXeyw6b3eXIpmHfAmRjK9
tPRyzNG/dne1tHqHfFGTnwTl4tZg2FEV6NqZ8FyD7MlexRzUr/iW7M+dTSXTJh5rUexVrdkexrUb
VSyuUwKOhepqQhx2sVgnOo2LYtdYnTk3VdfYp1nlo8rivgrQn2yNQwCslDcdESzGYxGSM13ZizYz
Fteq5rvW8jCKjW09djjh+6zZeLze7GHrlHarui7sfCUQkapoZ7sl3OgzTWI8JOon366iFyvJHJ9Z
UmrdVVFJgCeBVC73MxOmhTZVPtgnqMTRNTogcV/E7e6CMRGUirEeQcqPJXE4BpqTc13IUuLG7To8
dQ128Ym074gz1yumz+3ij9YupirO2wxWNPWsK21FYskE8ZvNFJSnYGAd8gY5E0MAOZEIQr0IW3IY
3vBcqw7fFtMyigS8oKOuIJnH5qksFOZxLxvkLRr0NOxsBL5njmlrmiFLb1E5I2BnXmRtls6tH/DF
QhfvF8cMu67DRc4gfdVWSNMmHqgwjza8tkPI5mrmND4puwb/Xi3mawkAHa5KKJvXweDp39ViSG9m
Q+383lsMl9kgluoY9sl4GxSGGjzyrMOt5oBS7jjkRa8dW8RbxiG8OkPXjHedP6/tGhatg7wkrXNN
+xIZHkyrAatuwid5y+4hiQ9V4/XzxoX2jmXGKsfH3BEuZ4yKljrfxGTV1uZ5sPU4guRmGRJOjWPE
6I8MbkzTZ0zkNt+mSeN9s2J/JCEpqvytDHHyDFRM7QKGRNRUsVCcW4HD7Ttu8oAzOoNobmUxLXKb
PPfSL7iMg3lHCw3T/hHj0H2A9BKd+DQfjMhQMUQMmiyScavp3QLWZuGU6UgGv3KOih1e3dI7z6ne
sDAr4pkh5UpHUFNU1rTygoCIZn4WvzmEiglMdwVyjVOBLt5rlbBPTkZbLLukErg1eGt1sou1W+s9
FTZs23BUWtFpg8GKLXLHAKnE9cUBU6SSoytro4Bdb9n3ITwfgRYdi+7g51hcNz7Lkt5UVshOHy2M
CC4TGuQg14MkCPTIYvDBodfF16HEZ68L/OWQLyq6UY2ouYqSBbpgxqTpJWVxZxyCGAxNu8RWQZVS
rsVpU1UEJqZ6erD5JOkN7QLtJa4KTK0Ge+BNtoRxzFy8nPtN2HaoXn0mg/tG2wH0uBAz71Y1xOY3
GPKtGONR4N1UU9mTUS8zvhN4nw9kibkvmXM3ByvVZ3X05NcTmeJ8UO7xEmBoPXgek2ECizVGhs6d
8UB0VDGCJRO9vOPkZk5xaYV63+rEgQURVLnhykKXo0MtIe+WUBmCJ7xWTfKlXcruLakHBHSRZ8OL
gbOS3rpdC6xTEgNh0BMHCEE0/fW3NMj41plrCrCvvjOZTa275MnNM3Ezcv7qjnSlm/i85fc7r73E
N+DhguWzRnaq8IdJbO4TKeM3XQEtoJlEsssg8N3Q0Wrs6HbI2/Ibvbh1Sm60bj/X/moGEVVWPv91
2f3/TwTKqlv/e3H+qP/Wvebfsp+Y0Ou3/FDhLc/7JFcmvwcGRaM0r0j1HzK85ctPklJu8Cj8iWt8
/dJvOrxtPiEqgqC3UcY1f+GfOjwyvIHzjUoPIsUWrnb+igzvmJ+Z0MBSfeOCZjH8bsy+PO9D13U6
5umARgVTrub0VVTs7hlMpDvIV9cixrfeQZVghQzfPJqh74VprEM3WDdTYI6TBMaTZCzDpIPhAXzU
+SRwUnAJqRnNxmsNOcDoCFYqRbxzyJSutNV3uUzFbtbYefp5/Mp6Q/8NJzjGKv25F9Ml5FhYlbUS
N6k3PBV5zoEoGNf0HOywdAjfzOQN+3qGhiDH+o24abYPE2i2TBO3CzWER0OV3TFVcQ4aEAA2AmT6
feMR3u4jSqs2reL+zfk2qo6Llux6N4r7kG3DRsVGAdfyvMfOrzHmZqEu4iMO3kgOBM6e567q8HrO
6sCX3QtMc/NNlVTgK1SbZMcQJJn1pzktEyO7oE0fx5emsi8nXssLKhmLA3Wrp0NtyFN7tdwhJLJP
qSPoFmPVnvWOFaPNMCPEStw4X+sAO3kjOnGR2M1lldgPtMaDMU5TOkQLK3zzHQu7Jns7/PoRI6+5
0hCLE/mFGhjybWUL2pUic3SVwiKjW9O/FY6EpOML3QIUI3HnPMw5nWG2L4/rUYQXRcSaR35szQRA
md7BItWoQA7IrbGjQ81eCNmO6dCeOlP2BY7D/OKYuj0nPOGetLY7P+Gta7/Lsv4mlrmg6AfnHyKR
qnELyGYajtJl7te1yR+5Eeej2SZYmU5Gx/KvfMCHm9qBH20gw27gfNf3tFOuZxcgYLHPaKOS2dOi
wUXiJWNGlKz9iO3ovoRsA6igctOXuOkxPiCr9Uj2LlLKRTfWSXfcTVRzj1065efB2FkJw1Naghci
QKDrpmAghEeaYuc7Itj2U1ivLYAgCB4DL0vBfM6yuKXfhu2+XFusCK3RAeiY7nwJHXXeF/2t7Uh0
hWGAMlIwOW9wY0IV9R7dMbv0vWkzW2oGlZg9SsRTmiCrz23gtzvVzHdWrfUdZsH0zKAsVev2lLFo
387c40Rk5vmxEkrX8Eey8sKplXfcoQaQqupb7NQj3BQ7NqDWk6QicWrRG96mwSmntZDwrjs/imBs
D4wiuzs2gsV5juh/L8rcP0osU8DrmByygg2xhT7xhgP1CPI2LZvsamrj/An3qvqekUI6NwJ69z7u
Z0QfOePk3BaUix+K0cMzhzJ53RfSIm0ga0Q3j1o5EiI5cbDBEutkur1pmulNBIOAwVXaW4OzhJ1E
n+3otsXHHKv+FKIxFsuI/uggeErFtLMGI44tUnwlk57J0emJy5D9uG7yVyqspq3rg5WtB3HIEwbf
eZH1O8XIG4XS9rfYLqZ7m5LMIqDT1dAYWeThAXaOdRvE4aVM2hfY990rpsnq0NPpHnE60kh+wxlB
nsh6SFtaIOPzho4ahhEVxxGQjiEFmcm8B1zuEEZwnUCu0fux6j9jETqjdU49KwKwL12QuU9OWbjX
lMPr0xrjSNd018tiOds+JNbObJ/jNF7Y4xop+hhZhOJPRRLyJomdZ0zEmI8mxE16JI6KiIR0pm0M
n2E0fG4jMPGFdcumbHbxS+Cu1KyPF33N8Yi4TnLue2n0JfG74ErVywAOJg8veux/9V7C7D6gFbuX
THiASLaWOjhIYBPepi4wRMOakn7T4ruc1Ykv8GcNLTOyVaaS8RSfBAHhacpId61Phx0BAMzQZjdW
VKet+4xtm0zTwUrr9LSsv2A5wUhKbDWssu6sgJZ+DfEOeiU1gVd+whbJInn4OTcYaqhww7mFq5sj
BkdEC+9R4xyo6KayS0wMrQNjSPXalMvuYZnvlmZ5ZlZ3MyELsNVS43BSITPsOAyot8E4eyvr3Y3V
D/PNumZuAdVdLNpgWV/sM94vUFrMgk7iImagXtdo1lNU3rtpfTCxa195pO6OISNNL9JJM84+rXuN
R80+nbr4rtU+psxmJoiGi2Vb9mOHGuFwVmjMuK9kEx7nzD/2XL+QvWMJwKXoxF3WWOXt0E5Yd6b6
SVhedtbVidmbMHxhnTow6QUahA/tezlhJQIslMst0d/lrrP9z/BPzMrpP7A7SGH7Zo9hBfuhRHHf
AeiYtzD+mutQTlyPCOIryJA4VXAOHW/+2i0gtr0wpLYhyDAaLSMdb2S3y6k7wsCV7SOSfFcd59hG
pg8a4Q6HM1p7U9fTgTYs79Byr7w3XfgQaKpUaF0ncJOau2FcnpZhTO8GCsCJNI7DOc6h/BhJHY1j
6iNwFkGxYw8ybx2NgtXgE44LugknQBa+zPd2Lb0zP6kAh8bTfNLJYj6LyJ5DLWIIFdBBwVUBdaMc
Z5rnfJPsY9gmrRGCQCNHFrTIG0/0DUsKAoxKgiuG/ZeE2c0e4M1w4EAUbDxDpyA1iNM2xwblNtjo
5i5ljDstMFz1E/W/oNkHqyb9i0zJGN9tpZPoUwUyGkiyihxAGPBzK6i6JIXMZyvD8m4p4s07mUZe
B+C+Kq5mv7wq4CNLthhpVnxm6QY9yESTEwXVjYiGxb5rcNhqMuNdMehHu5MOqZDoePL9C2nqm7Lg
oGhDUlfl6iAMI+6AGJ1TVpt43hUNVacix2Ybn4QN0is2lAL9tjgw0AWc+Mht9dsArDGReO6Ybrgb
huzX3jRum5m285D4Na6xy3YJKlbG6Mz155MiivcTZMt2aJ57AusX4eBPd4yQrtmK3sYMNw+Rsd1j
cvkIdtRHsInibodag7GcSQVas/KC9Lmm1vOu6tIDrXXs06Kk59AXOA/OiBeK5u55F5a9fzeCueAL
/qvj98VFb7csMpN+RjjPD+WECE3GBmmTaUZ1VaUJORpPYLPu9TDCM/BhuyU0qbLx3lfI7PAisWTE
ywWQBLJlHeja9FK3ShGb79s8SJhXT4k5sfAtwW6Jg5nR0hwlEOj8MfafZwAEVPH99QPRfZnz73+v
HMlnBPYmDqPunVD4z//6352Zjl7LtX6m/fijfvrJwA9/I1aurTU//QeuTBpsbvrXZr4lp5n9+C3C
13L9m//bL/7Wg3M/V/TgPJf4qNafFsZl8ZMDmQPGvz8u3TXxf51TX/nTcUnzLT+OS579Cb+LovRG
uI6mgoqD1I/TkvE/4T6jv8loDlHKcEz57azkf+LshB9L+pyxODNpKI7tD8+y8wlWCRZjwyHL18Y4
+i+dlX7yK9Os5Ch+KwzTrvSUKzl4/dfvS/KqgvqGYOinvd0Mzo3vTjVRLJsaFgSB8fC7V+W6hE1a
Fr+HU36oO/vxWDApfSFopsCQ/fNjxRNRzhiQ8N6kWbSjroegQUXWECteeJ0mYC/+/PHW3/3Hb3Hy
8ve//XhuqxmcDgTtaqFXr/bzt9u4CNu//83+P2ZyfXToatpTNEZWdNQka/I03+najL94qLWL6l8e
yrgcbNnKgP/88NR0bKxWYt7caz/wr22rbb73wdzfGypo7U3Nzu+iQSaZmfM1rOB//jz/6ME9mJ9k
PnyppPPhPZwY8rVzbU17SMDFsTKth6FzoZkzkXF5IRy7vRawDE8SeFk/JiQ/8Ud//5audvaPz9vn
xO7wNCRzgPUg/ruXWIa2sjieT/sA2PiFdCmcVqgtuz9/gjbm/Y8PY0sjfLz/XDt6rZP6/cOYbIYh
UXYks6F8npZDx6F6LJOjKq/lHdm2CeAdAN6NmwGqd1tw7zBv5mvcbP3wYwn8K88YGZLrySfVYbBM
/PyrBB2jrCkX074GjbCzSoCIY1SWF794xh8orutnxVZ48tgWkSlQ/oeHAcAzxYnHeyqxujGAtFP7
nDJOjPOAPeevTGUY1i0cv6NDt3B82OBADu9tL+vsX7z4H3rm3n8Tze+xEpJYjj4W+emw8Ye44zfx
4Tkfe0MeftbdqM8sTpTP8TiAC6C9+vbPn/8fXFe2BpAivfe4h7te8r+7rjwPraFa8L2LIOHN9cNX
G93v6K8/CG8gpSHal8yKPjyI3wFn8jJn2I8VqZ/Uxa/FevT/cMFIQwspOzfWVxb6n59K0+sqGjn2
7YkaRGd9TpquC9zsFxWPf/CCSe4gygFfyvXpfaD+Yr8O3AHxYj+lhEZaD+mpQWP9xQr+B9eCksz3
mNWtjYP+h89hQ7bBYUo9Epny1B7u2oBm18flw+wqeh4m6Luu0d0vrsD1p35YZJTkRkdRJMuM+Fhf
SQpmbQxoeQXHOT9o7PdQvVlzRJ6qX6zjtvrXx+JK0LbHh473yl1Xot9deFld6SJvl2HfxxYGLsb8
6hszbdQHb2mE2tiLroujySY2eWRlA2X1pZmTV+Be7RVl9vBOC+gq04lHYUj0i+v1D14H8s22j34K
Scz+eL1yQCepLRX1HU5nn+ajXxxsNp6no5bRL97o92Xs59ecN1JzR/O1cFiGPrzTGNSGFgkMxJYr
tpaqjri/3McW4r4Iz52RHBOcmT1hgLPUCn7V2PkvFzNmOqJc7JUgrQmI2T+/CQMNcrPt0dcyGodG
Pxnkewz+4S8uq/We/NNTdG0HwCjXk1KaufOHD+YAKcZ0MVxHDK+QiCvIAY3gTIs8MzLLtPZ/vtpI
+1/u0y53L59XU7qoE3xSf35a2BOYk4ik3GP4pgUlmzLQyII9xYC+30HBjrxIvlAwj+kW1h1VP3Zm
MEWJynBudmGpKfQirsYDZ/w5PJUwJSRUabc/z3IbC57fDeUzsxSySL3HeQLMNSBVhqsttv+Etgu9
75ygnyEZMnZDLifai15PG8IhKCJTH+lEG/BkToUKqshm3DCzhaxivFx8NonHNI1gfPSU9xlNgDLm
ZowZAoP9ocs42m5bW/UItY7XyoemwYeysTlgJjtDjEXtMI8k0XWB62c+WwoE/2tMOYHaz3isCHsR
PHqWDQvo3rhp8B2bG8UTSxSf1iJPnmjl6e/aCYB+SisIaDd7InY2WjhC7oohWW3aTOrVVyz78PYr
y2R4kLyBpaLyUDC3OrTpROzAGaO4OmN2hdqHO49QeHVdCMVA1oMF9C1DUTUrpbYQ9KryaCXkJZgz
jkm+IbvRR9EE8fzahvg9t4nI2tcAVx516Sy+zPRCHUUnVIPF50nv42fIec8Z2Si5oLeSPPKxi6YQ
9dIejvWlJNxUntWOastz0vzLKvp6sx/zLoNlyhiAN5qRKX1sGH/9QQ7YrZMq3+LNIAxunAoH5sgK
kJ4MVtAKeM5E4FwFXY4TcwpMtiLz9D0sWzs6sSvki33JvOSABVZ0p1SNy0sJ8fixg1TISISQbwKC
mgvmdvBrwueGOfWNZ6WuvSsDziYbbI7esPNaNiNAZNh7bFP8RiB7vLYfDh1MCupGvND/VrkETo6I
3aFaW5lHvGVwu9g6HdCoqYWC00XQvbODC10Mc3A2Mw9F+14y67TmRabZCnd+cvB1F5RniklruCN+
RbIcjLO+TsNQNaeWrJHnFa/m/ZwtU3nqFX0309OAzfisJAB9hRAA1TvM7TjcTcaqHonrzXLrZSFE
XHzT8gpeW3w+ZfQpAdjoizf2AvMji15EjtqJ2i/0fMAGrCvMdRv8tso9RGlQh0dN7sHCRzWOnzsP
PiMckLn7pmmUsLfgTziaB0vevGWsBD4uSXSb2J34GeQzEkmUI1qSYxN19cFpRe3eTYpk1rb2PGAi
suSt3Te6M9P1MjG+AasjS0pnOtXrg+9UlbWtGDt3XBGC2dVWeK2F1D7oHMpVXeID77TIPIggLjqE
YHEYtxM+Meuym/FBPZuwjvKHlqkMGR63rx4q/NrTUxQW7c00ePRydqyGrBmRYgqXVwEpJ8vhSt/i
rIh8bNUsYNvUdcSJ6nuHWlBcA925Zij7SObfhV4fJpl36JHZr94X0P8UUvxNswv59+OFX+ej+fYf
owbb++Rq5dqCf/iT3eA/Rg22/Yl7Kls2RWc0ezfN3fC3WQPaq+Au7nvc620p1ZpZ/m3WYDmfhCbE
5huPDDW3479U1ktLxk+3XE94wjfCSE/yI931JvjzHVBa7GoSdAnXnSnMDMs5vMBJq9T5REdccT40
FsuJt7Rpth/9JZpOJzk1T5HuWd9dhQIHpcLy1qDYOCe7ce0MoKXOAW8NnMotd30yz/4WFGh+N+eO
g1V1Tmqg2S35T2IWo7/FGTPN+1KOUb5TaRS8FVAjmgO9ffqe4WtpkFNNf9EpljzCuGpRxz2ytToy
upyHvZ46IHqJYYuwgwg2kSVYPYn9uz/Re/cq2u++RbD62AtrHFzH8t3ZOGBzQvVLLBZP8lrBV5p3
lmo3vnsiWdXxRy7vXkkRUw+3mZw8YhxaOPGF/+6sdGWP82l5d1wOvZV+z400XwU3VYFtycGdid/H
/7zESfxUNz3G3XDCyEk8gS4Oz8/stxKbjE3kbXV9+rp0sRSvXtAyLrPr6N0hqipJGaWqQhnvF20R
xA7H1VEalzEjZmc1msZImw1PCYLezlW1RU9Ely53YxyzTyxWs+oyOmW5H989rPa7nxWsHYZwUfXN
UYyv+WsbUzWxEsjMNe2hzWXx7o2t332y07tnNmvHtN9qoqBopKutluxuc1u+e23bd99tk43DvDOL
UecE93DmineXbv/DsRt5uHdV4Tf2oRGmBv9eM9SC8OQmye2Ezujewhke4+N43eeezL1lqpO2T+jW
hIycRvuwp/V0F9tzaa9oOrhP8t1lzDYfgi8cENzHA2eQ6giCvSa1EnaLdURNn+jO08zvu/PYTaz8
ELku1bC229Ce5CFSQXxNpfVUE/NMvntzItt9xO9BMszy8UhL260BodjpEB2HiQL8k797qvEarP7q
H15rKJCw3N892G1Mum5TUypY7euqwbxq5SOldWaAz4Rh7N3MvXR1aN2X5eg6hxBoaradZ6slbp2O
1mMMSmc6RPg8KcSA8B2fxxXs4du4r9v+gaQDvsWp6ubxC+x/2PRRBg7/PrOiMbkAzd+eTqMZ8rM4
7uSA+JEhtzQdI+mTeiSgfaiWtc8OrpkKnjrpp/qN39sqjwioeohtXEC0JUPQB0ZSyrK6cd4t8qFY
7fLRu3V+oj6m31VR2MUnduJhr2/KqF92uUtT2KXT5Ma7IpZKj1JUTJbCEhkCzMTXBukzWt37xim6
cbe6LtO9eDf4i5Sy230T51mJzLqGANL3QMCkOpEc4ZWPSvJk+dTAZhoo2MoCGgQu5RSycgXsI+VL
mRS0vOQi6LtrShswZ/fvoQSnploFdsAaVqjfgwsRkfjupHwPNFTF+lWpyjQ+JvZcMzDLxjY5HkXT
lpfSZuU5nlgsIphPY0ZgoluD45LrKDhtogF/eLFUo71NWqfWW/JkTbBLYzuHfPMeyChbTTgjwyOm
73TSr+yBWE8OutlMJ6KfkqPg3eebCkaEp8FUDPUuwiH5JZWmeavnwHnj2EH0pWjn8lGM66PnreJ/
WNFAaGwSKMvb3s4xXXsafy3rm1iTMpBnZq6hLuWd0LUPhtbL6FG1pu4K4qaNYLNU5jIaFvFS4YSu
j3PSbFRrBdSkbErqv19tWZvLFC86FnIacR8jt2zeOrGI4LjVunmbJ4schrQLdtDEzZxNQeaZD2uU
lY+e3VK65ZRt+RIQI+b9gkgAaBXQXbvpg4qzk1ocbLXVMn/xRwHABfoFDEg+v5NGjmbDsosx/8/o
rb3nnUgS1nCbKauOTxq2Zf1hKcDVwjiM6nM7j9P7qqOC/Ght/LRO8BpO5ZYbhlXtVKDVkyOcVFnH
jPBglWwakqnJls7U8ryfUwFpuQDPsdX0YIptJPLhIbc99RqPOqUektDz7WBaFC3w++G4DYNe3EeR
45y4gXTI3+Df8I+13QYXg9TqpekzVKoZkwqebbtrCdUyMANKp/uyBDKSdedwXZ1ia/tzXhyi1isv
+7HH5+w4syIunUGmHGhw8jcFwyuJvSBviBjj9Nz2Kp9vGmah+ghwRe9vTB2QgS3mSZmdPSlVnNWB
v3pUyTDe1zw8tK+cLroDJxl5FoTTOh1y/ZaS2DClP4hg5XJfETu68cgfPCZWjFeThKQ5xYsJozxA
lXxKC1uxmDVT+FWSvuD9xsNCJfJYI7Uav8Y4zBEnu6cTLgUhiX3wYDVJ86Vj/nkBnAPJUGVBegm3
u3ikJZvcY2bJJ0uQitgEWubXnPMIrblQROhdqCFLQKkIBzwE2GAfbKRrtVF2qspt4+UAHbBORCdw
oDABHenZEpYmWM2GeIOqiT9rqCTN7NWSO9CJ3US6W0zL5kXSkiXwp7jDzYAfBV6HgwmGDRBpTHzh
nB8Sb/Su2AR0zbFoo0ESMquJklRAUKMNHI1AbG2JN73HQhpt8ilubmH5ld/XTDCNo+4EWSlWCnOC
P8BbB/FKGpPryhDf6uzYfqQ5tnnOivWt1A10bFe7VooVvaTZeSjj6dYoLb7LcI4fstiP413hxbXa
EgGtBtgJC6xS5dvlZZkpXtm2jtodh8icaGvtNF+9WMCi6J3sXoYlXbTRBHnEB0e801NGaYyR1Hjn
ICL8TVVOigQgP7g+uH5WEiZrHP1Ysw7XBDDD9U12bfu4bERjbSkdb3PCO2s3emIPLUAFg+iOAQC7
Pz0fPkG/BE3tmAaQegWc6awkFt6h7MZUSgASzpNhZ+lkuK7lwMiD6yl8dRyChafZPESQBMYVMGcE
B+qKnRQbwXn24p3TuS1JBOFFz+1ArIDQsqWvO0oGufSRvqjqYOQPoVNNMMXsQSfdVoRZmzBzXZZy
s3AzOi0ry6Lxd6zWOBO1uvgAqkAfBxB9rsuqk+OBFCUoMbHeTjeC1CV+c4oGv9Dp5571CbCKTeNb
MVDNZU68o2ZcwaCWKROqOXNMXTgdwtocnIYM/U45VXZhhUQgD7Yux1vtFybbz4yAr2EIRe2ePp9Q
Q/IiVcMuJKY8nXtt+EQlvHprYJ7nOwAVU86FiU+eFhIrf2DjN14VbAuYSqXdfAEVn3lUx+yRvxaQ
TSEQXat8Ww8A3g+EqwJnE+VzSOqpGYtvMUOt/ARo7FjvhqzF4QBI33ytgkl/Tsqkt0AkJ5DhE15R
TvQ0s+x9AJkZfbEUVGyJa/lg3+xpfk06Yjh50vfBlgDnfFs6WfuscF5Driun4YmQELcPzJDYSZia
QORh08w+NXbltB62SVXCaXThzLVW/AyL3/lie1S4bFr2DHqXssCyz6aysdpPAed94Lm1lmcle80b
wllw6Ma85jDfKwIW20zV7k3YRuYLYOWBTZdwoxcRMcfc1cmwPNgiKh9g5Y0aZJMDREdE4ITweDTV
SxqbHszYPHIT8ocypQouCz1GcnNPOU3spfPXZPWtbCKv0EAzaCelatcp8tuw57a2CQUH/NUbkl5O
PjA4HjzCUAQZKls23pyzocfJrZ+ryQFhEjrlAIOjVcEGfEP1PHZNgIG/Tl1iGpA/l33DDY54n4XB
h6Sn50XbearyYhvAYILC7Ai8bwxf3NvWaaPvjZ8PX+dlDK89UiPLDclTAvnFMo7uJmIwRDO48Hu2
605X3MwMAspdhhpnc3ejC3rrCA3IGMFdQRFyxWnrUPlxBL9nJXuopel3NCeGN4pBLdEe2pCSrT2O
yXNcTeI1knPW4veYgKAyl6Vbh6IpwYU5TlR3Ece96AgVZAdXpe1d4s7xc1zYHErmIBs/u1XTPzIy
rL9jarUoVOfu/LnsG3z4ou/SOwoR18jLWvGwURB+H5Ol4EBkJVw6256N6o0ufAqejCLDn7qgApUP
8OVIdt7wxag5HYkK1xgSFwsQ1wZkZvlY18tEi1Olou8+JSHDhlp4hw5gGjLoaXd09y1v4/i7BcPk
OwzQ7imkqy4m5mF7VLUaJzm3m5CUHP+7uCWEUX3leENHXuGN/ZXT6PbJT8gxi13h89F46qlX7bgN
cHwDXZM3lD7rPH1Isdg9iKK0vgt/UJQvQEh5WqRHPiALwShtZqh7yYFxZX/blOkIAZXtzsU85vnb
Mk7T4zSEy3czEeHdc6JvX/sIugSOuoHaaSom0FezgRiNh9s3YiatzYqfF8MTBPjyqxASCrNh50ci
yo56j7BuTt1642QkvvKJ2+1+SQv3oSM2OV76iaE0NqkyH7Q7NNZ2N+OueRvpsQn3IrbsF85hVbYF
a6uTmwgEhqHndXDWBSwfDpQ6sh/M6VR7a7Bthhw9ZYY/GUBEzoahKx+107Nbp/zDD/etUOFzmw5E
LjXJ3ys2xVJeMlDlNQ76WCjM3bAz7vTIaYqsSFdnrD7MNjdKzkSUJMt2sYVcyQc3civYulVp7J7m
mdzdBzWcT4p0yxUMWbNR3ENFK4MLfylaXMApSf1be92u8pemSHzBvpuwl7JacBPDFvhPtmzHxisD
5phLKB9JWcXXYeXNxEwaB8ri+X8mat28mj88xlv/fqJ2D2Xw6Fv+Pf7JsbN+z28BhzWPgP6k+Jc+
VZfYwj/maBYtr5ACkTOl9vmaVqg8/wg4qE8UDbI8IpS/j9gQD38bpPEDBYYd6Rt0TOli3/orph1b
/qyQoVgZoXEBaURY5RG0+OC7qFBC5inLbuQUk3y32Cl8ZePu3ChuIzF+8yQoqitiuJ1/bwa/DbZT
W/v3AorHC6xQTLih8JJToCN0KbeZlz0q4FY4k6vEP8naUj0yGpcCHJLQOx8XGrOXJYVHUukxOq0b
y1jnND8Jzq5zHz/0nai/NvboDUeLZKjE7iRoa/DgEfPkMM/CettgNASHKwZ6GAJY+VNde1/92AOC
yxI21tuYNZMFpac7ZsP91KUbgq5Txn65mmnIHsYWIlMU6L3rxwW8l8aidXBm/WNLw3grYAteNGS8
Ym+B+FArUeDy9Na9jwie2yXDajsigQA7oCYg3IeFXQa7RHGs8WcPRL8/aXhkDBVYUlqX9YBb6tiT
20jbgTo5OeJ5pdksKfYwBIf7SnT6suvNojcs+eCnyn7Q/hZSCdGABsWGZCNy/ExAsbZoDtf0/cE3
m1FROj9Hi2DCvxtzXT+OnMkV57PaivcuUwQ2pWQz7P1CLoAiMDVQFGq8xlzG4Fo4dQSVBwNwDMR0
PJuE9sqZTGyyDT0S+seY6SPkvYF8/qAX+eLYEdFIX1dTtgvjBspGzfiBUwsbSizr1YjISpm0HDdI
fIYujbSPsx156uUe3vMs7M+tjBCk+oqR1GZYWISO7UavHlx4GTTbsLE5z8Zk6g5QrtNwm1Z+Pu6l
zPWlAJ90SnTRpttdcBhEU/AXDzNWJyOyN9wYiP2OJEj/s6j9WNSk+VOdYNs3356//UROff+O39Y0
F21AkdnCuIR7Y3UQ/t81zfU/2S6iNCN0RvQCV9M/1zT5iU0N+pvha45Dn8E/1zT70+pO9LFLsKah
Eai/sqatmsfv5Pj1R/MzsJLxJyub8T7I8XMsNPAaF96ClNbLUg/RJSJjV50NVSOO00G6u5JI4aGq
iCJhb6M4UiZn+M6NDwK8xpkcutQrYLygu6Qd1E1sAZZbbE4lG70apba6apu70B6aA3SoNQKQlObY
jnzaKgFIYK8fRHxCNRd9FSVRahPl8f+wd2a7UTTZvn+V/QLZynm4PDXbLgMGbDA3KQMm53nOp9+/
8DdQlc6vsqF1pNPS0e6LraZhVURGrIhY6z9sWeSOeVv7wU2EgumKTTo+8u7kPmA4HUg+uRo3lu1r
Bz1TEmMd6x17tGsbzOFDb0AQZ8BcaNfXbrMA+OEEmkyXpmkO4DAVRVtBZjpvpYwWhBcEtlREwY0r
zFluqLfeo6TfQ4lPyj+wC/83Wm/tc1k35fP/3D7l1f8gtvMdjd8s/a/A+EJNvHRrQL35Kf2fD83X
70FVl/R2zxHCL3/7j72mGXjEk9joC4He+Gub8d+aigZHB7VhBwyIwSf9qwWn/QvgNmg3A3wICG/7
5y7T1H9xvAPpEmrHv3RrUGWxJk4QL+gRczsBSwiyWDN1OvznaybIKbeDhYNhAKkZiKTJs9ZBQaXq
mivkH3eoch9HS/lk1Dya9WceQ812yKxbk39tm9XVjZGYhySL0AlM3kqSCRJTf6MY0Gu66CHIfaRL
x/u2hwFUF9Y1/bZ9W1YHuhngqFAJRAcRQMN7DNJ8vPCgvvEk/56gi5igCErN7YdpewEi9Um3j3kp
7OHuf7UguTzn6H/QHEFKAwNgp9kbRpG+MaTMuG5ttEE7xBGueozrVnJsNg91VBjc1uP+C/IM3DQ0
2hYSj8I7PzXx+3jC3jt765WU+fzc/JbLQb/xQ6p3Q1khY+907S41LP8tXRD/oIfYyOQ5uOlVXHv2
FUpeaBTXKMf0Q/TBwxbnmyV81RQP3KVEXntTh42xo2RGcaMsrMJfAyDBGjG1jYOcWp8KzHFXQ+Og
JajX7TqxY1KEUVK2kvN3pWddaaIc44ZFtLea8kMOLg7wROV/M7jilBn/m8rqrqnCeXfoj1zVRYbG
BQJyQcn7JYv2Tpvgvj5c4ei9cTFWHYzgYEU39NNu7DC9sjX0n5KHqqYnQQHClVOqp3i4GuObgCds
PuD4ELr+w+C1/A+yN76OO6ZTIpMR59VXRDB3qdq849M/9vkIbtJbK/bnnPIT3gaCknk1xvuKIqJk
fbASZy2hUWnCs3IYk45FSeiYR8WXYE71zTve3eljjuALNIvWwlUGL7b8W0WtfhMa/rhVyNdXippG
DxpazhsqmW+SPLoqx7jcIYT8pdc15d4d8g+VN8iH3g3Dt0V0q0nZNdorz3p7U0FIYbPtrBDynKRi
LlV7xgdaYxYL+FuJWvE71ciNA/Lc12GLJTfgE6SMWhT8mw7tvnbYwdPCS1dJv7MO8FewemXDz4p2
Kmz5mySO4fRZyJKpKBBWKFX2YC656w06Kv6Ir8Eihe9Re29R5QOTE/lIGTvdZ9fHteLXLz3/bQLx
QqL9n99o+/I5ffr+dJpjxV/46zKDELxlA3NVAPgrYO5JdX8y0E3oFjzOYBjQAIedZp080FT4FpaA
Fdoygu/gISaXGRO+uqGDBrTkX7rMCBzDz0QLsAD0KE4HL5gJVSXdnifawUEuL7do32ohzZ9KL8wt
L/zqAELW2pzMyrs//tFTBL5gzb+Kxc8luau6zLtwEgsBIdRsqEJvCsORbuMGz1jX1TELwWGXVna1
VmFbbP1exTjey9/FgRajPocEkz1wJ4dmF+LfUOy7ZvQx10x5YOHag2MHetddku2SNgvxhy5RcoUI
S48gqgAqoEOMvB3Wdb7AoznZeJvGtXZ3eWgzI9NN09BUMM0aL+sJXtJKPQgcLuFHSYl3NQfbWuHK
s1UNUY6RdHp0jWOuxiYxdpcjc9xO55TItsWj1LZALIs/P0EBm/3Y1o6LHY6ioAVvtEm6GWWkQC9H
Uc/h1C/LhFuCAWtD1UFMTc/jrKN33KBitOmMsC03pSHn2wg6/0amjo/lRqmhRBDavEWBWrvfaO15
j0M+fkI+arDWSiSZHyxpvLaGSIUKkdQ4nseZ9sPv7OCud0bUgxXqWEget5nnrKik489pK+GXsOyt
DaB1ZLuSzNRuaCLVCPkb/aeXAf7/a+OfrDFRaVLYb/+cxf5P6vFgPhfSEH/jrzSmQuYyWAhYV0DC
elHL+CuNaf+CMCTSFQwmVeYi+fdtEZQXLDKB2LJs/E1xr/iZxux/KfxrMMShavA+4CL5ws2DFfdn
LoFQ949clwnvRtDCNAgf9DAMxdAhrJOAT/fBmGAqCGQWxztNjjeGHHzygEdsMbP4ljn1V+wx75An
Uw6+GuXXVdsgiKGj+HoyYzMZboJFF7/CYBaA44usrukvqLKT3QhtFyJOR8um0WT5prFbwJ7wCsPw
I75rN4i5whQNLVwj0+wI2bJbgN0r020q4pNhoWPC4rAUWTzFTuI7Q5krVfMir2RjAKSDoVvDmy/e
5onhw+CWhXGRJuFBi4qnJeebwOaijapm1O26GDUlutB0fjzMeIRhEIgasxCexmVWHrjnorX669vu
7b/3DmMp/Bu0TbHh//6f/b/ByFTUi7WQ6+eyeh5OLw8vf+HPbaf+SwYhz2LhlOZs4Vn09+0B+RrY
LbrD7qGVo2k/d53usCEVTGbYDMJFxmIb/1nd5Y+oCONpQnWXv8dm/ZVdp4pddXJ7gA0KFhO5SkF3
oR6jTdZb6DZRQM+VhonMD6RPl1Vo4UpZvh30TsZ7NEujR8yZmgPgDKFiXyvUVgsl9KgLdv131l3x
CNWe7qiPF5tLu7tcoXpifnbpjzy4IPhodjpJ+dgV0pMO8fvbry/Af48D/N92ZxVZ+EK2bygMPMXn
bQXxV/5Yd2Tmfymyo1AFsMyX2sBfyw7KFgcBZX7guZTTgNT8newl/o7OUnR0uDgW9YGTS6uk06cQ
xFYuKtC+FI3L4SS9X0r35/ctSnm0KNBlojaokWfJtOd5zksy5Ev8Tj1ab3mzpaJJte4+Z1z6ou3J
tMykdHFz+7nCX0diK51m1NFzqVQZrXqMcPwIZNib2LyvUJ9R3mD1JvHavhxP7JhL8SY7qldGT441
4tXWW1CgV228cbFn/fUgPB5gEkLbtnCVOh9UriOjJnEaHmVFRwHwi5p8KxUcVDNtIZCYneloDAcG
tUEmQhx1MprEAnE2tJ56TCv7qgho79LBj/I/TpF/PPxnokDA1HkkmfwfsO3z4SCbpxlZkulHSvcd
3QAsgmM5sNAsrrTD5ZkTC2syIEJZ3PK5BbOUJ6EQng5TkGj6sehUe21ZMUrKSJMucGpnFoEFwB0+
uKZQ/haV7NNF19KOV0j5+jHtimCjtcbHxut8+ix2fju0lb7wlUSh79WoqLZZnDy6wM5NRoXTtFQg
gqYf4aY36lpKrOQ+QyQoXPVB7wXMpoaIIyhD2Dd218rXKPWXT02ZwKqqkPA2QF8bLvLxOg5O69bK
racmpOSyU4way1osS8OPCJ2MaNHI4Q+/wDZmA2KuffQCiyJNO3TOIcyjyNhGPX+4MLzJ3fBlD9PR
VLi88grXyWrn04kmtax7Y6MftUD2t7VSvAFj62188PkHGecZjObh4DQgf+rxOq6kalWUtvZHB/sf
F+nkbvjyKyDukk9lWTEF//78V9CBL8y6ZZJVLmAbFY15qCi3oS20VAaggXKxNXIaj4585UNl+41J
4Kxmi+AEh+Lcix3cydVQzzBsralYHVEExuHay4e7VHlfofm81es6PgahvuGIx8/BDK8iWpZvDWQJ
FloBM5+Cro0t2iZkHhbb5KFc0wgBN9EYR1WJis9mk7oHyiKPdCujQ6CiSjDEcoS2PDB5qajzreIG
yqHqY+nqF/cx9W6OMO7KLHrR6D7/GLnmVFpnZ0g/RoO5Hxyr/zAauOBdjvL6mxOGug6pyeTNDEH0
PIwG/FWr1Ea6QTTGcsfr3sq/O5GEYB0cBOhVqPkD9GK5Bbfeh8uxX2UqEZpLmVDnEB2vyUz3sHq7
0hulG1u5LhU6PeaXywFeJanzAFNS6jB6JRKmnXSjqncJwtflunGuZGMhFZ6/aNg1EF81gAOwXmEL
kXjPZzCLgaw4lePc1K2GtXVgfNClcheUargJQzc6eJSlt788sLOQk7WBgwjuR/Tfb6y3cfGoqPd2
dF9p95eDvEq5k3FNVkYX+V4LEci58eQvYBEN5aqLF4pSMx+Iy5uqyrLgo/OcO586butVhOOgf5Qk
FFLRu3fUZt17d63W7i4PZmatnUWafCSYAUgujb5/bBR3h9PAvgn+LND8Y/qcWQfiJir6N+hx8ig6
HwwEWbVPitA/ohzm79uxQIPQq2BHmjeRmw+3qPXLCylzblQc9jagGiqxujUZFerjTV3gmn3svHJf
wCspTevdr0/caYjJUqPhOtAWIURJAxZZxhJACNjCy0FeXWEB71v8fHIQLHVKNOdTp4xuU+Lp4eNE
fgd8/NqW9gPHec0ySJ0bu/hQY910OeTc0rMohUBVVyDRiQb+6QWmkYdCjTVCeuqt7Kli1UndHSTu
haHNfqKfcaZLXMlB5LVG5x/NCJRcB3/DH3DaujyYV48NMX/cKx1BSaSyMjm45dgtAwM5xaPy1ky3
qCQ3Q/y2DYe9DTa7WLqMzX6tk2iThY5UnjUG2eAfEw8yWJNcK6VM63HAKkXbuABZSmjHRrekzPNy
8p7dbCejnNwBlcFsJUS0WYr+exm/sArTGA+7ixC1bfVzi3RY5BkrRSlBDTb4l98gKu/5hwTEViB9
6crbJPjWgf0dvfrW62DJY9RkRrvEifaVZuz7rKYi760U6Cbl8BuZ7vQLiS94crepZauwkWz2j3nn
7xTuFEzhBorVykieLq+FuTR0GmmysDuQ940BjOnoN3elnL8pRh/1009e4KtIHVbry9FUsTVffRQA
JhR5gOShzXU+MFxuJaRONf/YGsFqtA9V9sOpvigj9MqhedRaG9Xw4BotQwn+nbFy47swB5tdDpts
tDZNSrPwzgwR6aZGb1s7z4gX9sbMMSYqSX//wMnMu2EDdBr3ymOTxc5O5oIJC0QGwDIOS8fy3F5H
YwcqOk8v3pSTjRHIvankjeIfoY2Vm8bQzRWGNsnV5Smfy1ynUSYzPkCyc2ujZxsET1VT3nbSl3rQ
rxM1WZi52eEAiTG5fPIgmN7Hw7gyIh7H/jGCNkVhtQWpdnkoc98G/vKfEaiZnC+eQA7HrmwZSo2C
RuRgRlDe/c49Brq1SSURtJZAoJ4HabJ6GMEY+0dXufMGDCFlIIhavvDsnh2KIa7qokUJbfQ8CsYZ
uClgfnAUS19qH/LxS5cvvE1mY4A7oyYCfuWVYpBqZqj7o2N9DNNbd8SyvsJ9qVg4GF8/gEiz9Cr+
jjKZL01DiN8uULXt1RTWUY3VPG0L/2oEUbANQhUES/4ZWdF15RmPRoWVJhoS/cKvmMtipz9issh7
AwsMlOH8I14+uOLEurPB+0kTTuB4u6GbKmfdUpFmNib0fUtULhD8n9ym0CKRgWzyCa+SoV21WQ97
Hn6a+nZ4f3nZz+7gk0Dq+VqBvN6UrSVSEtKYkvZkUBfikIKIvzCLS4EmV/hQvFra3vaPmfOhbjEN
spu1oV3beb69PKLZlWkB8H55q/I0PB8RZ5ujIZrtH1PpHm/ZbTncI1W+EGR2NC/FfNniA720lk7O
0EYttK6UQvRg1B8WkupRiG52vNFxer08GiHS8OpQA9KAppGoAlBLPh9O36T4XEItObYa3OOh3tjJ
vuhu068RgGRkAfs1/jSjgzvqrnKClbTw2WZmEyk1HRVCjVsxtZDz8JjDYtPci4E697V27/P+Wkol
c+/+sxiTpaEiG5/2uDJTUJP23IKtawg/23yHsslhKCr0uL5LtrrwBWfm1UbmnNxFiYWqwyS1NJba
cVGFF2+73R3Ot7D64Ehd/nizk8c1mDDgTyhlnU+eazW1hDtkcHTBjvE0lrRoW7rFwhKZHclJlEmu
aEwprHEWCo6+G68a9Gjw5fyNEFShcHlAyIN1KH7CyXLPAO3ClqyD42jfNmm581pzIcLMhuKhSnWd
rjhihOZkDTiYC3o1VuTHUn4I1Ftc8d776i3d6YXC4twnITXA47BRbmUHn48k0NA3jwuD9Ww+68l7
qbuHnbPw2WceJTRbfsaY7JmsovsRxnpw1HHSu/Ywnls3eJfuKelfJ7n1KXSq6E62i7sujJaeX0vj
m8xjPcoY2rfErux3TvsQGo+18+Pyqp5o6b1Umc7GN1kNox0ofV+ZwVG6wUZhbxxMfEZbxN4h5D/j
B7aylL3eQEDJ11ayNLlzC+V0csUEnCxFqGWI1HVacIxotQ/ptjDQupBXTvTt8ihn43B9Fu1ahizQ
Zqdx9LyxI9k3uER9NvunDomY4qMsv/+NIDR6gLoJSIY1mcms181QF4eiZh30aI9bnnWDbd1/FmQy
YybESV8bLQ7Ewem2RhW8N0sVB7oSlcWg1+3f2MmA5Li7cPbizjgJZ0W6hHoridXCoaDy8o1ZX8dF
ugkwDLg8sJlLEh0CYNcGFrcUnSbptUdqoyktzo0SRzxu1CpK5GbQQFQH/9TcXA42dxCfRZtkDmVw
3aIJiTaWG+tTIuE1H9/hcUCDya9geGurvL/vgO061tZDDWAALXr5J8zmFbpogAL5D8i58yWJNAlS
8RY5sveoF6BGYGKj0sGqhkW8KRUHy3f0ZDYlBNZ95ubVwmKdTS0n4SepBRNWpVbEdEvOgF2MhTXk
/WIZ9uU+M3nEUwcDxSk2OYrAk486Jr4tyQ0uUqGJ/aL0tsAPMuhvw+RzwPHmlJ+seyW74laEhE60
8KgRe/pVbOS1FIc+ImjSydJtZJOimN8Ex4cBNLcfIIuIRUqG1Umv7TTrN95pwhXp73AiBZ2kMmDw
cOiwgDnKPe6S1l1cPo/hw+U1M/fRTmNMHi8eYi2W2hMjb6+z7Clo7gZjYdbmtuFpiEmmtCXfx4lM
hABCdZviBC8dbLQUl2S/Z++JOhAdhwIK5CUhdXY6X66rtJo9sP4rv1lzJV5l3nsPyzvEB77j0XGU
09Fdp+1VHUVvLs/ifGhwuKwKcQuahs67WEPAh2M1yT3tykRuceV0Tb8JlNzeWzL6kZ5blHvqe8pR
K6tubyaJtzDPs+cu7xo6gTZNQWDS5+PH3DzAbkNm/OpdZg64GzcFzhra9yQobzU+gCaNV6JsqOXy
Npb2bYdfiLzQYppdUCc/YlLTk2t8C1AfCo6Fcot410qu7habZbP7EEVQCyAkL59podo2IHLjhcwF
qlSiNZwu88pA4BMXhdG4ivIGSathuJGNXF849GeXMvwZJPVooRlTKIGJlHzWxgSu8Xe5Vlp9HyoY
5tmp2W4sz7A3AdTPhRra/GcFiMkjhKwuv5Q1T9JAkw9tiLgGad2QMMW5j9qDqkHLqXeKhEPWgHLK
gxvp20CJt1SVtu3j5cU9934AHU/RFEsC+IKTZdXVtovMqXilhO6thYcW7amFk2t20ZyEmCwaOwxM
ExERMl32MOYFAny3mrmkLjy7an4GmZa9St+XMSEniJTkn7mdhtGH3mpW6DLctcG3OF5YK3MXRBan
LWCsGqKq04MKMH45ODljSq7HYVjF8TXVZj9ZOHVnlySQdewcwBfR0zvf9K0y2oVrsiR7e1gB40J/
4UtspBslWN53s0PCDBdwPlUNluJ5LCUOyyHuiRX2mEsH6rrOfiCDtDW6pVQ2uyAsnsQ4BlI9ebls
nax5Bxm0Oq9I5RkyIL373R92arOzjZsxdtdXjo3xpnMTAHSHE+pywzLTdtcN3y8v/KUfIf785Eek
tcVhoghR3/DJRy+rDq7H4OvlGLOLEmcMUQQAgCcw4qcxEjv3ZSAcwdHhembYhz5EP6V45+GLhOjc
uBBtfkQ/o00Wi+dGo1GUvNMNzFLLcpNUyir37y4PaTZfnAxpeqVAPDcKYr5djeCK6X7x8t/ayScR
JhnJ0oA3ZbC3jmmzRtLRS9yt74+7uIUE+1CO3kJ2evkIr+59J/Em6anpLZgTbkuNLXQRpHobRcUq
rN5mwZVoBcEiw6U1Whny+9BI9obWbKAGrjxWZLQE+VmY22lSQS6rC4OEkfvI5YTWnYun8OWvN7tE
IN0AswFgRV3qfEGiVO74+G6QJYPmR4XQwdVoGshwa9nCnWk2mZwEmqz8oiuwXTSZ1D56UvCojfFL
8xM4kG21MKSlSJNVr7ilDkaOSOloHAoVzejyDpjDJs2eLs/d7Nc5GdJk5dtp2iBm0ZEw0IlFwPQ5
CmAsXY6x9H0ma3/QEfosG2KM1j1izdu0+qpEyfY/CzJZ8GCELc2XWWY2HyVyf4A4WLzEzX8VXGEh
/Yv33OT7y6FeJXrPQkuUGFfVEfO8H4OM0lOwsNDmZ+xnoMnn17zUd3SPGUO37ybRnu3B3kqlvfBd
Zs9hm7s30FkdLrd2vm/yurOyQeXy3XsQo6GKYCKBAjAu68a2jAPlxsaVdSExzY/sZ8zJXs3iAvgo
7ByaM0+yMmxZcXmfLwSZPaFAOQJxhnuEVMNkYLLn87IfeVVkP1AsWZntQQ+eW3ldmoKOe/XrKw/y
0wv03cQJbbIqUmjUodM71Pr9VN7jIKhvcjfs9lWUxQuhJvyeP+qUNBB1hHvougLQPx9Z1USYtICJ
BJI0HipHweOXsmG8rfxsn+V7p96JR2QXVdvoRXP4zrCaD3WjX1dyvY6EZPVYD/vL45/bFYYOmhxU
FlByY7K9VbsdnSziNwXQ07nKKemPtJZWfbO9HGcuVeEuBqxIcNBQJjgfO0TCvO7tODzG3vvB+0ET
7PK/P7dqTv/9SSoMsZTHSjUJj1kKsscUypoY9n7Kh2ZdckCm0eZyvNkXONhu4JkKWiLyFNzhR4Ze
jLUYkIP3ZFlE+m6MTLT2esQ+PAQs0TtyELoxMWPIvT75PDhgdC//iLn9KPBtQMMoO5r2NG1aSIgZ
JoNWvAfVk9e0wiTz4XKMuQ+HjhTqIzBJSDPiz08upVE6NvWoZuExjdHz57W/Ah6W/0YyIyWjCyM0
YMAWnwcpAgypsyENj0WV6utG9tu1DBpo0+YQ9fOWwxrHuN/IM7RkTWiHVNSdacONunA5yNkQHgf5
1qvuWyNeR9mj4ibrJLnFiHJhiOJbTO90lkBuo38DmXLK2ghihx6F34RHKIQPudAofAzVQ58egt59
p+TveH8urI7ZiCYsQV0DQspT7XxSoVIGsRSb4bGtUA59ytB8XJlDvc50j5KpBU+w/1wY9u7yepm4
z4gsBz0c5gOMA3qZNLXOw1YGPrJ+79Go+GZhorQpkhslXjdf3WcqNL2ydvpjMez1bg0TocVF2qzW
PvAWb7Ec/3rlCp66AT8e5Dv1/0lq6wATxrlX+EdnODbyRkkXFtBMaZgA0GNMdAB4dr8oDZ1sjcGX
Cw0GBCCgjidHHWzGg1S679D2Akl93/XPQ5qjs1esNcl9MzTmwop6nfIIT2cSriDtQ4j55xNd5JY5
+GPlHzlrhI7jqqMj3yrlut7W+iN9xYV4r28cUMC4R5C/FcrRxmSTxhY2L2mT+CiyVeug/VIhKdt2
32LsSpJw4Viai2VAOYIFi8gdWIPzscW5lPhwyWlEtflWTT6MHyVrBAq9SvRfrh9iwqWADAWWBgBq
CoFyEEP3IyR/j5L+Iwq5RMXXShQsLJXXW1EHfioUp1QEdsjV58NJlBo9p4RSUB3QHknuiz5cO0+D
+SSlz+onp1t4Ec+sDMIJnR9OddFXPg9XJmpvVDiqHjNEu11JQi/8k+7u1Ai7MIcL1feFLa/y753n
NjG8n/HEn59sBMR+0MqreOYrZrzLXWXd5sZV7Ft7W2kfNHDDXv9jrL9IV3GAiOjXhehi8i5Fn0xu
6ePOaw+UTSRfOlh2v8rwknEtiOLIrUSoYjbGtsrtA9b16KlkmxwJFt4AC7tj5kLAJIgGEVwl9I9e
kctwWc4MUVkxnf5KrZE4l78M4cMQB/sqRtJVexzgraOSuhD49SWATYmIJJVp0Rae0r/cRFY8BzH/
o4ORt+1A2y0b+txLS3imKAGMHrCjICRQX5yuYcq1GLjHoN3H4bu892W8EoZ1pCM8pOP2kazu0Y7f
j+0BHnpWLTQ7Z9IBaZbiOxK4dOJezpyTBSYSRDF4AVUr6xvSHAhzfyzLZ6SuwyWj0bnPeBZqcqey
rUa3JWxG4Ag+hcNzZrwJEgw/vffWuNfNa9feZdmnhRUs9sdkBZ/GnFZZdLSwcpop7FdET6o3vnEI
spvQ3fdf6/K9j2MG/9GRgi4XsuzsYGkhUXWh6Mkje3JEei62A3bP1vHjo94+y8VT9Ixy7drDFcWu
P+q2t0ukpcf+6ycH6ESov3xKGJJCzu8sW7iZUjZDz/u4L7eisOvaDoTcca2mC2lwpkV+Hmlyd0VC
ZlSx1uDJPzZrWIxS9Skt1S1PLs2BM7vOJDxK5Bs/99+hJImNx3t36H8Z4MNvEDglmCjs05dPcLJ0
+8odQ1mMtpUkZV1KyKgi5SRjLoC/1cI6mksFvEm4gYHhYEVNZnZw8bFLlCGASosWv1Yf4vytl9DK
PRS6Hq10+0FB5D223I2lJ1vRJVTj6OiHKHWr7v3lHzNz5DHun79lMvem2iJ6irnsMaVkmOOn4TpP
kVWuTBM/WXTxQz9YL1a3lyZA/PnJZDvQssRznhysRPdObm+61NrZ3fNvDA25EnhZwOh4tZxHqXLT
gETisF1H5VDae61xNnVtbmy9fA7tzahr67CRD5eDztxmeRrR3oH5xVVz2vHN0rYxZV+h9hJDk2hx
LFonmtYsHCZze/M0ikjEJxOoZpKHJS7FF1WK97WvHpriTusoPCzhAGYDKSRumMl0z6daJ0lv4L7Z
SCwPCmlb4HzI8BnWD50NuFMqz1645c3OHpdlrFbhAFHvOR9XPRp2V+BvcVQHEDLj3ZA1m8vfZ3ZA
gnkoJHZgfEyWXtRUICklcnhSoBNq3GLKsJW868Xq4mzOFt2wvwKJH3LyiZpBSkesuLls+cbRSvxt
4avrsG+v6BJslKo1V8HY72Qn/EbZ4fE/G+RkeeD/5ZW1OIfN8RCOuyJ+l2dYVHhLilWzn0vITSNH
wUYzJnFsDAx9F7OhI/epNWQdLRm3l0cyc0WGWwETUTyeEFCbHPNaXHYxVBGYDyomJ8l7l5uyqXyO
62CX0262+oWjVnz+6REPlwNdTjD0hJssDy0uIv5rmANhvR1MILEHXGwuD2kpxGRhDJLWhtA4g+NQ
vw/bflN5aP/g13M5yuw6PxnI5NNoRiqrUgYToMPoLVpZ1h10jjF/uhxF/CuXpmtyMcm57KI4wFh6
tVxFcbEt+puof9OHDdZ2C0thaUSTpZA4KQ1hYOXHJq9uMce8zvznvvikhuX7y4OaDYSOClVWMEPy
FDrfRFKLyx27p5CHjV48KIN2W8kb/L4WLgKzK+Ek0OSAAsZVGp54blZKzt1cES9Ax/jipoWxcCrN
fif4qcCgHMEUFRv5JBmVSa44acR3QhdgPWjXEV3Cj3VIW03P/B+Xp292y57EmmwhBeBoP4bgQiy9
Gt92qSvvk8F+W1sKIk1WsE+T4aspj9nCzp39aqjeCPl7aq3TyrVSoTHuN4AQLLnOtpYHVyRL3Q+p
jtFG4Yf9wv6aTX1IgBkWtpWkvskoq1Ee9MIgXGxRazUQUd+1UPgW1vzcCqFybfNWRfGN/+f8u+EL
mVt5Hv8B9WMP19rdchZfCjLZWEFkJ60tUDaRcl0bOLA5t2a2pA8yN1+COEGljxIOF6Pzkbh5ATbf
odZRWVrxQWkLFLOlMFt4gM70bnRAvT/DTD5L6DV6PaQ9p67jZIc0LDSwdvGXuAwT3K+dEFSxMmy8
cmy2OEhj0aFis9Zi6bVJ0UPftrgarLrY1NABD5BI9EfvGumYReqKuMdM8+bpzxSL+WQ/9p5q/gEC
Quk3MztQA/W29xCq0IyDrV837o3mRGtee/VijWv+awPaQjkPEekpskQp8J5yAjpa1RaitT3s0vvL
+38u11Cp+zvAZGwa9qtaMFJl4sJzA8TQ3pZ6ukXeKaG846N9Gyzs/Nmrlrif2opQP+Q2cj6b3UDL
zhu4DeOH7Gzx8Mo2SSdnKyntom2klui0N/h845mD7Uud5Y+lgffh5VHPTiuZgBuf/pIVzn9DHHZm
47sqp5PyBe4kMtorP/p6OcZcZqVaDz0TkLHQejyPkXoogahuRBPQ2sjqdaFhVM3LP/0CYsGrFtrj
L9XHV2v0JNpkVhUHU8RUI/cEqoybw1oesKzwhjuaQNu2zhGK/oIXB5eyZotF29Xloc6mCwMtF6qx
aBsIAfTTDYIQau6nOjkpbfelvcbD7j/79yeDc1tMQmSJf793ExwGcGvDa+9yCJE2X83fyRAm+0Dq
R2mwOk4IHaukCANTVbmphuYQyh8z7cHoV4uX19mddxJR/PlJVqmNLpS0kUGF+re4x/YKN0a0epGP
GvznUNldHt/sij+JNjmbEllS7W5kNYaAl8eifCsOjcYrf6Mww5mOP4VCVYatdT4oV7FbOXxhL0RP
Rfg1DK9/hxHCqUFR2ETsHtG8qcoOB0PUlAMpa8TdNnr6mNqbovqIGejlGZvdUryUAISLMvArv+sG
GEXsyxS64rC5qbNsHSYfRxPAbm2uYgtzGq1DTsGnRBE0+yGxl4rDc5+MQh7dW43Er8uTT4absB5k
Ha95Q/0Rg3SiidIQ+vIoZ7IU/zqfilsLfbVpNta0JBBWY9BrMMrRNByxmn0canjZS5vMz1ZdupAr
ZjYaAXmrgUbhBJhekoCNDJar0JUGAodaffhWlzlRVWQEB+fBMILrRr6uraW2rdi+k+0N0hVWPoB6
IUg9yVClZJZFYxbhsXSo3Zmm9LEKottaKvDTla34148XkiGQdgCh6JYYk8IIHgl9rPfRCy4jpkWZ
K7edfXf5w82kj7MY6vlOM8IUEgCy+ceaBuWgu9eRNaz8/rZrHsrA3lwONrtKRJ8CtTSaIdMupdtx
h9O8Njzq40sfH7/XwtD9nerK8S6Tuyep8PBc6c3ny3FntgB42p9xJ5+t1u14tPG1Okr1WvduZfup
WhIUmQvBsFCUFRJKr14iGW8s2cEE6eh0NpbR9Q0V87ZfgEKL3zldfgiEQjigqQJjbjKOymwb2fEI
YqmgdJ4za4lBPre+IRdAeHUEfnyad3ulMiBIWuFR3BKRaAh2JgjM1H1/+XvMLbrTMJNTstJSl4cb
6IcgRr4m3qn4LR9w3t3o4efLkeZW3GmkyelI2a3QSiyyjtawk9oSZ2lZ/twb2GlhMZba21j7dUoj
lhMnUyh+0cl5nOKcmsuyHh4158nANgX7IGw6Idr8ZwMT+fEkjGMNdcVtMTx6ypXeoZwkZUdR7Ike
ogL/77xcyLez6/vnsKatkrDVjNpyNdb3SJfWcqt1JTQem+TH5XHNHZfMH41EiEuU46ZAvDEynCiV
XJAxKQgtK3lUNfVK7so3YVZ/K9pdKz+Xz4ZPSXDM5CVhl9nlArIBDCpyaIAOzme1dFtM6zQJpJo9
4BubpxtTSaHhhxjAWJDVRjScvl0e8FLIST0IoS137BJCdoryNm64i6SIM4YoeVTVlR7nW9/LfiPn
C/zGX6OcpBH0OtO8VaPoiFf1OvdNb1cmGk7hnSKtSj8+JF0bLYScXT7c5sRDHS2baV8xHxGMLQWI
WI23DW32kPJkZS40EmaDwMEW5Cg4vlNtNITgc4gqtGH05gnMpt/cL7YtZ78Wz07Bf0IwyZzs7jj3
Q0RxefEFnbqOBshl8lc359UJrFE9qO7CDWB+N5zEm2zzSMr8NC2IlwfhnVd0qzG/tsdbJdi1arWV
XXWVaFdR/Jgvva9n5/Jn4CmtDpdrGSEHjYK1cpXqcBRNe0vz/93lxT8fBWihODLZb5PptOvErYLe
BHtDPdzKrsu4RHpqfznI3KmJVKMsmEocnVPiPPJ9VlAnBMHg6RiV8U2ru0+XQ8yNQwDqKLYie4KC
9nneMFW/o+pCiAiM/JA+6c49qny/EQMBJTgF/OJXzerUSLLGCAJuvPW1BNMvGcpVSPX9cpS5GwB4
47+jKOcjsb0WrRrTI8+Xd6k2bnvMkJXk2pCMhQNl4lnzgkUUyOa/I01yrdnHLmrjNQel75VXUmzg
PQ6Q7FA3fr8tg7zceFpt3ckSioqFnpjvQjW+q7ru0eosvMO8sd9nihesct3ONv6Ac5U8NuMKT11k
lUv7k2160OwzmPWV5jlXRRjA7wtif2/1dXPEMl5HupOHUOtVSyors8uB+62AydPvn2JG3FxDiob6
83EMw7UV11tu7oG1dFhNrGP+nEHotbxfhT/jVOhMc0feYx4wZyPeAXe+drRhjcW54IGY20EN79X4
g6oL1DMor/LON8MHjLDXrflOS7/ibb0Zu+yqwnxZvkrsO0D1O1m99yR1baTbOn4joXO2YlHvLq+w
uXKtJi6xiBTTKudOcb7EkhCFCdnnNm7mN2GX3AUt6N4xuzL8cCMP43EI/ds6ASOeFr6zanEB07Nm
X1TVKrOCDXaX10Og/i9pX9Ybt65s/YsIaB5eKfVot9pjYudFSGJH8zzr13+L/u7ZW83WbeLkAjvY
Dw24RLJIFqtWrQWd5UkSnLary7b4MG4XJ1BVLxsdkG2jG50xLml0bDR/f3v4IiPs92XgNsZQT1GB
2W7SyCHfqvEztwTZk9UDD53JQGszuiK+YbKCljn8pUZsOD7FduxIkuC4Wz0kFga4MYRN1UwkgoEh
dUF9CvdSlOck+HZ7ptZeCZBS/mcY7CsWM1XEfZE3MR7bo3XI++MwHsHpkHpxK3DItTt9aYd7I9Sy
ZcOZcBApumcSdwT6GoSgNbFRN/iAB94e1VriGnhgEAMAdoQNwK9ON1uQPajgZQiFVAVi3yb6Z8cM
gKenpnHjWr7DI78nogcDixT4t+PSLLdmhU/kYh6QMKnDjQUaSw0BLS3n0ZFDkzYqNPpGmXZyJcLW
r67iYrjcKkZDZKUJS2Ko/lkC8gkDk9EQp9ubGhH17bldtYUOa9bEw8gZuctratBpMulYyR7Kk23i
00RGV37a7xs/QsJXRP/LpuxqShfmuBssNvWo12o4qB38RF0JRAOvRSa49VcjQDRCgNoQ2E5oPXAR
oF1nml6M6E1Q/NFw5DI8zpYjzz99dFxD7RJMWJD9It9AmpvX8evfzOc/tvl7LJ8hhD0OsD2kD/7U
7FutcYAEoqX1aUd/k+1aDPRLEWex3cMeIpSliZ4PglcQniVpsYOyW/KYJ3P2F7hcaHSAS4l1PKHS
yl1BmhwWdTEgEXVX6pWjlGAclkZBLWXVGRc2uNtk7sAumA0yDnqpo21rOVP206hjdwAtPcp9t1dq
1RUXxtjvi8nDdpgKEGnH95lZfpehIu7r5odkG+5tM+uHF7qfwakClgHJ4naz0VVBG9ZoSSvVmk56
ei59/a7Mjn1RHEgye2V+LG0n+yUwyzbu1U6DNBq0GRExAs5wObyxg2xqNsNs5TduEZtOVr6CY6vt
X8aSKYcWVEUJcDdXIszd6lWKKgESzHhXXomfEQQw8QyVDagqZKZjRuN4gOp6s7s9PpEVbni+jD7n
WmFWwFcL3dRycv0Ex9dtK6s+AiQIo0mFdgFfSQTqs0vHGhePCc7abmMzsulZUItn63+1UAsbnB9q
FbobshGPFDUOFZab1505lXDJTaEzoifp/zgkzh1b5NkMo8GQVP9oDT9lN0lELa/rIwKRFirNyO4a
bJsvdlbSjXqoTjAhQc5E/aODqKx9ifPsL1yAJeKBp0NN+0t9fWlmgr56NAy4S9J2BlThMIXa5r9f
/qUFzsmUIFYTRWnwWjB/Fw0QD/65qoTRzZorAzEKFBUwMuBe5q4rEo0kJQOu+7o5ohN5DFwrTlyU
dl0Nr7HJGdOTnO2JVG/z4CnLvdyvBT6xdu6ixQ3FIdCQgiiHfeFiwaZk7qHyggXT4OBgsAf/WKdt
OkN388hwZz15/Yt5XdjjXT61W7vNYI9k1gG9647alSdSTIJ3wwr1j4bWPSjMQVhFRtjItV1VQRql
2YiHQ9eXbm2e7GGiZXVEUg1MgD2IFEOLZni/qblLRtCTv3Qi7QE2En5zL7+AC6+iWCr7fMIXWPm3
rta3M9SdrVjEybvqQYtxcn5aJFEymi2sGPo2gnSyJLiXRaPg7n61nGvADNg81h66/3FHDiQX+OD6
GIBJA22GjiQH54O90hM9afHEtXz1VxgYlhOW8uz+jeP9a4RzvBisDLnPGnOREIoq5WjpUIfNBW63
Plv/GuFO2ERvcnWYWYwblXs/sNxylPdCxPmqlS+UGOgZwYfAnmiLPWv1VVxYEmK/wqjA+tGBQq/p
QW45E5Jtb8/a6vGApnom3AH4usVto1IuyimIYSqUjY35RqaEjsVeH4KN9ldzB8AVnJnJ8/GUvmlY
6EhrzaxGLTl58IPBzptMkPReu58Yqus/RrhNqWotJCklRH62EhlUngeozQ2TuVW1LAc3mCpC5K7O
n85kCpG+YR0Cl0sVmVYNOTAJrm0QGQnINnbQQRNuiZzUbm5rKJlEQybIzKw1LqvolP7HKnetaGFW
zm2N8tPc1EelmR1DlnaTDGqrIt/MvX0wp95Vfmq9vR0j+wPdIZ6pB/dG/DAn8VEljwytxBhlbjvT
qt+iBxb1BuBPZT5/DShApcy2hbAb2bfE3NVa4FiomP7frHCD19OmmfTKxo0m4a2HSqn9akyiLPmq
HwFn8KVNiTZYzsgQ5FKGSDe5LxTLBfujL4F6zZ6cuRc47Pqc/ccQRMsuHcgv0Jk0ERJ/5cqTXjtK
ZkshMvg3p+M/4wEs5dIMHpFS3PQYT2mPrhLYe0NL3FRIMczc/epOXJjhbiutiQkDvoAdwVe2KMg+
oG3ejiOna0+sYRA9H39xfYFWEnwPYCtAKyt3fWV+EkskwX4PJW98kjOM6S/cbWmBu7zKYQirWcKx
FQ7P4fw59acuEuWu15wA3SNMMA/tOCj3Xq6OUpSJBbJrBKN5vA8LbY8+61gPBT6wtjjAZqL7GYE7
I3e4tEKI2QRdEif3UTNR8FBvEiAAUM2QoRZNqpnGsWBx1g5HnalYsl5cU9fYsBf3mIpuX3X22wT9
P11E827yP4I5Mh2r6i2ntCEtoPjy35zIwHVBj4S144Cr/NKoP6a21Q9Zcq9pb2W+xWW6I9/00Inq
cnf7IFqdz4UlzjP0Ia/HPKiTe78ftqwHNfS3tdWDvgJnnl0NwV5SRd64bhPPL3SioUGfJ8Hpq0Ep
1HlI7rsKmGkUZotd2arpYbYTaFIlo7TB430TJbEhyKKv5jpAW/OPZe5EnAp/LHPQi95P9YQWXzkA
ong6dZ0MaUEH6LCQKlByquNfQHYL7ru17YHghOUwQQyFxvXLJc1TtMYqhZ5A5SD5PubTdNCm5C2a
jEBwGK8OEn13NohWIEkMLOSlpakKrSKNEKmqQ7kpfITcodMnxVb/1ajGXV9+ywbbbayP2460tk8W
VnkKCWXyrT7TELoW8ils7/KSAGn8PAZHADUFU7l2ry1NcfdANiggw2RVhAyQkQaQtqo+NVGAouDr
7TF9iZ3yV8HSEncVEIxJShg6qy5oHqWbKgLAaMw+AXBLfGSozH6bSCnVJtQh/eGty3bxeCyGn3PR
e4Noq7KtePUxwNGA9gD8KoA9XK5rZwaZGRZI3Rp16ULfaszK7e3xrvkolEb+scBNbITSGMhkYAGc
o26XmBtMrPBhsO6f6ANEmRCx5lUTk+SbiCmjETF0qO9SdKQXEpqJEHP6vjvMPS3UUaFt192RVNSy
veqkC9PcJrRqOSr8GS+FOt3KOL+DkUIvHeTxrTMYQmoetiDXC/bvQLm7yjIzHaE84urQfgV+1TGC
aNs2CbQLFWnXaLthBKGlLZ3bmAju+1VXQbMlKqcqREGvAMJ+bCqBzqBdwU/L/xMEgo2xugMXf587
YsoIqjRJDUQc9G/Kuj6b+U4Piw3YoQUDWTfEpCyB9kTlnbsI4ymxx3RCxl1Tis2YzhCsk3dzviXA
49/2/VXXQAQGxijGFsfjPXQtRmTJ0HdtJjmskAv17U3UWJtK1d1a1AKyutMW1jhHDNUmQYESE0js
k28B+QEufePH7RFdUYiAxBq8KJg1FEUsPFc5/7OtSA1kq7I8Uu2NNtqTamP4T+n0hCbiyN5BlySP
//iqU4Ph41PrnCkRHNRXCS7+C9ikL4KnCgFaqk615YXpj8LcNk136COZEn1r6rQfHmfd6+bPMk1o
VhxGETPkl8rdcgPCPBo/8VAAaxPr4udm2erSnhR9a3lKpFC1VrZdNj+jUxJQiOdYPSv+SQk2Qfy7
zf7o6ks8HKbfc9BQPXWb+F2KkNosqaw2tEadsRoQ+isf7XsGWumNYKV4N//6UKQAkViyUQzRuf3U
oYTaB1Vjeb79hmIcGG/dHthZK69P+pQBAZJQO77LWid8UO3cKf39BKGHdgANtCDc5U+Ory/B6xe9
2mhUvCJb6AM5i0roLHvDPFMzP6ZC9hV2iVwtCs59dAQhsr2SJgwDtSiNRre8FtK3pmvvSfso66e4
cZLqsTQ0WjV3US0oYvD77f8P61+jnCMOXdRUfq5Znp2/6PavwfAh6boVrCI7jK5GhgBPRQ0SDxSN
ze3C2+ElfWkVxPICKa5cI7NnqmVatTXq4jVvfdMB70K8HREUo497jPdWU9cnKe6sR8MkSPSUtgi1
xB9qX8OG/zM9W1OT+cxOo1Q5yLCwmi05ydXOfyD6XQq+BBFLOR/RMzvIl4OwH0kaxNfc9DZtFWug
ZLS8JGsogECuktx1zR40JMEc0HB4uT3Ta6u5NMc+ZzHRk1yAe6VWLc+KTq3ys4xOeiRq7xcNiduS
NoHQwDxhSOiBb0FJZJVbuQaPYLUx7+PevT2gtf0Pch5UAYA3RDcy5zmW0qZJpxW2l/UECIcXlbWG
kDfozIlOZBax8j66tMQdidpQosc5z22vUcrvqf4UTSnNa23X+FtzaO7AV2ZWP5uOQhEVvKS3R3kV
Tn+5ic5arQECBxyciy/lQoVQblTZnrLT5l2SPKTmU+53jqqcExm8ndVB755a+1iqLySAZPmrmiS0
29/+irW5ZgccXvPAUqHqfek82qSpUaM3ttcPidN2gTPrOdQ+8XywBBX8td1noEVLZ+EL3mGcpbxQ
ojYG4bbHSC+QupwyoAbiA6j7reHb7UGt7Yh/TV3lpfO4jUe7D3wvk45AxlAgIc3GEq3f9Z7AuaYg
741eKQOaedw2L/wonkgM54nSZ0jm5amjd29yg1bzCDLGh9SicnQYsh8mAetStbH9vd/tCswyiOIE
4dr1KkKJBUlaCf/DRcJDrtIBGMzewI5JS+m9kJmoL9h5iDlsU7URiZtfPVlwI+MIRYIOITUg7zzp
m1TJUQvFbKykrDstQFb1bjb3ugnHiUpnAsqSaqKi2fWSwiYeD9JXP5zCSy8OCdrWxjb2vbataNBu
OyV0hvNtt1kf2MIIF183rTJJkRX6XpP+ieMne5vndNrNxqGefxNVcnO8x26bXPEhSEyw1A8wC9f8
eWBrmSQfYmheqD7Fiv9eRIZXB9quDz/S/L4hggNvbRbZqkFoAv3HqNpc7vZeK0PgEWPbk9Ij1HeP
4AqtYkFwsTqLSyPcodqo5mzVamh7mt5tZBWqFvvGtClYCXd5/Dja3w3/YyKlYM9f4ciYVyq4LwxG
Roz0JLd4aE+0GqBsbW/IvUKJj75duWof0frQdQWtze0Qous6iIBPElzAK0+LS9PctNpAedsWqW2v
Tgo6Jq+PeLLL+9ENO+rHu9y1Puw2pVa/NUHLpIusX4eQzDr6e3UAjhHdc+eQqUUI7UM233Le0Xz4
jLttc1KVfT7jNpsdWXJUvHkbaObedl71+vq0EUeBKERD6z5uavb7IvIw9LKtwb1pe21En15CR6aF
89t00OnrEgfFTdrvySagP0B374xO5OzqJ3e6s92B5s60dxJRjmFtNy2/h3OBuMrUPmDfY7zqAyAR
gaOA/WLI8FR51wrBzamsjh5JaagEoSMOce7l6IOo6QrDarGZrGHjR3gQRfqukt4G397WdehY9dbX
cFjJllP7AKlPdFRP5jjjeac3zhS5UvcBmIiZEkD0gVjZmdHD7QVifncZ3mB9sBXxkGIy4TzPGUqq
SWCEs+2BBuQhJGFAoVf1dNvG9bUOG8hHoGkD7exXnAaFnLbNMOEysFOJNhXBQJ+aoqcV3rairPFV
lZTtcXQ/AW+AjJ8Fgt7LKYcqUGEFgY6N1kBlG407NW7aFknzgjZKTuOupCo5SxCPJCMlyuhYBsjt
58dwTDaNZYKE8CWAOtHtGVi5fJFbBhsfqiLoQefJ8bS0DoFt8nEdqltDv/N735GVQ9S0gu0mssPt
806pm7mSEECRTkOGN9/boXLU8HQTFXlEhtg2W2zrqA51OQY83JvGjW7TFuSUoZMJrolV31zMGhcO
RnKRlTbwzJ7RJz+tMIno2Davt1dm9SpaLA2fhtfwZEnmEiOBFp4/OLa2C+A3r7/N2A26B4AIbttT
2AFzteEshrmFR7AmvcuZ081YSuUp872EkmfJsWn4gtqs09CXw0hbqlFzB04Eem8evd57/rhtfW0n
ohkCu9EAegpkz5fG0UmvBZUO4yYEj3LEfqjQqfl3qVFo+N/WuNlGXNriTtq2Aa9Xn+UIx4adqf2o
ssdKF1Ru1g5zhHuM9AoHGIo3l8OJGj/1gTvzvXB8NhVovwG9P9756kFWj4Zo5Zi38QunA+2LxmYk
yYAOuDRmVLkclnMDpvRMukdwgqYm0wWl86cRoT3WUu6V4XctEv4SGOWROm3URqUxlb7XTajaVuHe
sO9qCS8/O6ftjLL3ZNpOqISioHPVLjTaALdHdRosh5eDhS5WWSR17XvQqDy2JTY4nSfHl93mqIve
l2sRJ2At/9jiLknWiZvFEiY2yP+UyYulfVREcJKs7vKlDXaeLc4rtFgGRIsxHt1oaHZUDvVGU+k4
/YiTE+hli0DUF3FFvv/l/otRcUexir49u1Bg0fDHc9+eNHC3S2iBhzZrUDyVyClLd5Cvuh+HbAvc
syDyWEkkY/cBsA18EoTYIeZyOeAiM8p5ymDeimPWwbaZsl+l/FMNHu3yGehTu1WppNI0OSaT6uZ/
ceMvrH8tx2K65zlOp6FsfW8APqoC5Esfzb05uNkJ72TBnbd2S4CtAf+pgB2gqe5ypDFIthI5wLMv
Dd3YdMPd7SNzdSdA50dnEiPQU+GKiBMOAr3TcYxFiOYcs23cMdJNp+j9Xd9vxrcW/Ty6LDC6kvjB
8rE//SUMgajpclDNUEHTL5PhPREEMbIdsrwJ2Y+zmwIcr1VvrbUtgW4IfoCw3tiCqbmqvneQVrg9
9iuC6i8nXnwG58SSVJgJNH5xWXUq8Em0M57nchNspq2+G92qcFDTlRWCDLQ7EoEPrR3u6GAykKzQ
LBbJcVNgRWCJjnC4TzG4SN9BDEZVcOqgOxpKuQU6ZQVjXbuYQVQIYkMWC4PY5tJeHJp5PABN6umS
4YxG9tprB1Dlar7hFPl9C/5I0Luh1z3ZlKjFSNoh7/7iOsMbHyEi+vYZVdHlF+TlBFjTjMPe0CVH
jrd2uSuNO79yFeXeElHxrZ26S2Pc3WmhE2LQZWZsfh0G9Mae2iAUzamCL+bvzKUR9vviHADlzBRk
BEc7wg0f+oqJ8iNVO6+Wv0fQsZEBlsnCUqLdMG/BM5GPqWgfrS0qnAfzifYfAF65Y9Dv1CYNM9P3
YuQuU82Zg8rV8bwqwIjnZ3dtv+3SX1Z5yiN7D6Yyk3y77VVrp8fCPn9/x8hDyGZq+B6pN2mDx+aY
PlXgdN+Wev8s4fEfiWDXq3vW0ixsHbA823h2Xs75JMUx6RUb+2Ywdlni6crvuf5e+3dSke586NoU
vekmqSO3v6og3kD8+WTYwsw1s8KvPGJchA4QRUAGgDvAlFZqS2nMCI7NcWNPz2F3sIA2mywoP7el
U4w9NRs0tauxVxTy8+1Z/2oI5KyjJgAwKuhDVRBqc3cC+NmqBmc68UCv83PejluwUyDdggWoHNtL
dtYh2kA3QBm2uVPtRe+WtWgDfG1gD0K/FMAEV2183dDUiaIR5vZGmrhhtM20p36TnO2E9uDeFDzi
/xeDGm5ApFkgfsOdlSMY+9MkVYjXmJLTVmQj9xQ4rR7FJcvfmeUfyR4cVbi7VhYZ4/zXLPcKlDPQ
9WP1iFekz6P8oHTJNkEnL6mpDNUdMjqIWxu3DiPRucJOwqv1BQkEeG8AOL5KZoOjFP3zZYc7X4mQ
U6HZQMHA3VoUSPb2rtMUaojg18xhr02C5xJ0fEAI8E+nCFtttGqYnEhFbTDoowlKDfS7rggPt713
5eIDQQyanRi/FbpeuUOzLbrBiAku3b6wDhayFFZ0l2XWHgInjqx+NwdhmWLllIJFdIHKgGwiac+t
YxmPDbAVCo5pgjIICkvTsAl9OhqHyMqc2X9U5N6ZSLqR0ebembVjgnJfQwYHUbUbK2958KwEr6oo
AliLoRm1KbLQYH5jrNSXR1kY6JGi5jHx+jR8h1frOf7dxyoOLrz55JyCVnIXNDslGzZVIVIWZZuG
X/GldW4ddDkIuqYLiWf6cwYmopwOumeUtOp1kPmJsNqrq47uSiTj0OJpfEEzFldllNbKYFUlrI3b
OIzh1lm3n9QIYQaoeUG6Q5GVFz2LVmJnsPGyfjtw+SBhxj298rYjHdaTAO8xRSAwgBDhGTKPhX/O
fdBIdzYkIJE3A0lwU9wp1TnP7opRcEWuDhz8hQir0Ili8mUbNRlS6CzkxBuNnVW1W7OKXBMlY+zm
Wv1QUDK6vb1WAh90MVoA0jKYD7pSLp2qMWaSjsj4eGViSK5dooATEXRR9GYh5L1cO6cgXGMAi4V9
jDTTpa12lPwgCRrYQq7CgS/vSSiNBwCngFVJi1NggwogSQv9OBRQK0I7jugiXp1dBs/CGwJbnE+H
kilMpy6UiOfDc+0UWYMQJau7zp7AP/Uept9vT+7qTQRrYOxWQNCDsufliGd05IFZFqvZZHc+uh6b
P1Ak11v9nKM7T08ont+SqNq4tlGXNrkVTUB71KkybAKZaMygOt50PR3TXyImqrW5BO0VziEE4FhR
bmxD3fct0W3i1Yb/nlfFtky12K1nmv5oYkdrA0HJds0eiuGovOPtybStLueySGSlyxKsXWc6cRvt
yLnZyZ3iSNXLmO1vL9zaSbC0xR21SRRJfsH8ZBhnGnUVkk2Cfbd2gS4tcMdpBfn4vC0n4n0LW2Vj
OE1ENiQWoVDWrjKAJXBbIMGJTB2344waPOeZjdDLqIzTaO2D8cXyD2WVUFmucIFsROruq8MCCk2T
oRfFag6Xi6RrBTjMAVrw8tl2Y2I7rd97qSrtpHB7e4nWDi4U1NG1hzQH+os596s6uVTyDEFeqX8b
jPvcfAv9P7dNrN64SxvcVqpSeGONxK3nQ4Pa3zTfAJs2EwdTmFPTjdRP+9MSleQE4+Jp1karTf25
h00b5LzdH8s+l/27YFxrB/FiXPwxaKgEiRQD7q3iDJLSOxlMVKon+Xvki+vP4Ptc/7esCUidAEKK
lgKGp4QYJReSoxOkjTpLCs5mOkjurOoTnaGH7ggGtjZ5SNKCygAJAyDE2e+LsCGLfCWowf7u9W5F
QwcVRhpRc1Nu3l9LJ9lKe5HFNX9fGmS/LwxWjQ8BRRWQliq3dxmkkexffS07rWw//sXQmIynZCLr
DkwQN4NWGbaWFRko1aLFJDGSbTT/rI6F6eVDhIDomNSn0N7OuGTQBAmCSnQ6vmfzk+Ar1i6X5Vdw
u04vQnsmoQkIVvbZBSf/2L7V9iueH05cjBTc/tKWGO5YeGPk+Mo9voR09zNaAW5/x9q0A/kPXl0m
Ywm+7MtpTyXdMNDG4XsgSqZlAhhofKpmUIMlreCcXksdsyaD/5jirx0jmK0stWZAXKZgY2k0Ai7h
mBvxPq7082Cjx1R5SnKJjpZ80rWnuhNgbNauIoNVx7D2hnEFVmgYAVme4/3TSKeJhGBiFpwGK0uK
jclQZgxjhgv2ci57wyxMa86DcwNiMCUKcCDgzkt+hBWedI0wCFxZOrTAg4gMZDEAAvCP87SEXlin
puE5+6MdZ5ec04N1zDbJaXwqIuo/BwfLjWmpbG97DPOIi+eLgbiHIaKgXmYjvOc8JpjAPV71ZnhO
UTdVXYY60BqqtVQHc425rQZBtCKw9xUZLg+Gac6HFnTMZznKT7X9I4RgMpnOdvMNzcNunR/r+OH2
CK/WESOE4KbG6P8gfqNxW7OT26AYfC049w06jXJtXw+7NHmsbO3VJ+5tW1eLyGwBNwRUFJDe4O67
9JmsKv/HFlBYgMrsqgLQRJPshJgRkSHuQLfGrAtiNIaeO/+hAiu+jwdYmym0Sl7+YkR4bsEhGQ6Z
F4SzkKGq8WIIzmOvutChBWj+IZ7tQ6H8um3o+kBhc4ctgB4+1DPw3rycuzSWgjAfwvBsZF49xIzZ
10WSw9Wy4jiq0V2aAtum0N4gDnxEKn4Ix7rmm8sv4CZVQo6u6MYkPAN/MfrJgfTHxogOIIp0kyZx
+hRaGMHn7WGvLSRYtaBFDdgTigpc9G6qZZOqdhaeJTwu2/xNGyrH8A/C2ua6HZOJ+uKJeaVU2Dc+
OFFHJjCT7qXgs0XOr0heoBV6ezhrmw3P83/McIdmXAV9aLQw0wfTpgSPqJ7odEjAgV1JGxi8be36
HQmfwbOVJbBB+4+y3qXPlFWpZ3iFwVw7OTLOsPc4GqgfeoHVb/TXibwlsewKjF7lM5lRXQf0Efk3
AFeVS6PoMa3adMJJXWy0HdmjHfs+PISNp+4MUWmNnU386QwKKqTocSmwDPmlqaps+zGUh/BMNDSp
3AfYCCc/eiXKLhQ54lc7/JUt5hsgLGOQXG7pAqJb/dT24fnu7Qd4Djfns0zPNv3Ybs+H7Taj5+2Z
Pm2eDgGlT0+xu/18CYDSQzjpvnxuHl5+PHjfP1va03tvokfPefc2D7PjhZuPP4/f7MPj3eTsTdrR
473svO+fHz/25uHReX50NkfBAq364GIg3IGfFiUeR2wggac9tLTea2BHEYQ/bOJvTRZ3bSbqHIFL
bYSNIEbsY3QGAr1AFBR8BVHXZnA1I24HQJwnA28gelwnQYfbEjJtRvGz1yJ0cgN9N/0m0nHWIkfJ
xh3E5ZGXq4Z9O9fohpwcKXmpjae8K52BFGgIU11gvna3twE7DG99GueaaIEB3orUOLiOspv/FOQc
V+cXnEB4LmtfTNGXjm+QMY1ieQ7PSX5nJCkNS8FBtWYALYlo+WUBHm7sSwPdkGj9UNjYWamOo73C
URVO9X+rgoIoAI07rAABQWDEqNzpbhQJ4O2+haDuiT7ojiLwwjX/uPj7fD7Gj5DPa9nfN2MHqsnU
yuWN2Z5RMKDm/rM0XywZLDPfSJZ64JEfNbecaFIeJPlPmKaIGv4CKsoNmTsd+7bTK2vCxPboWz9b
pS4fVH8Q9WBevdSZFeTBJYxPY8Xwy+UL+7yPUOTCVY2+XwVMSOo+hGij+qgmFDq/Dli/b7v7NUSZ
s8hlcAZQqKWyD4vzb8CR6Yvlvvw6PyRO4jTOG6EBxTOPtsfv9++b0dl8WM6R/tyrIgHW695L7jO4
bTdYc5uEqh+e1eReskY8TBQ6I5HJ6k1VagAbftKm2E3NjpqddSer4W5sgXC9I9ZHKxeOPv0qlfcw
eBlGNGru+tjt9PRLxhqnBE4gQfC9coFdrBO3zeJsGPrAIHDQ6s4qJTcGlLCTauSYvxdpBTXtYnN7
nVYO/wuDLA5avC+SLGikTMP8oMT3ENq+20h3th+6pBC44EqwCEMa6ETQDgz8CXcDqEOjRGGXROdJ
eq96QDJzV5UnbCk3Uw3H1N/1+e320K5r9mzt4e/g34XYL1RtLsemGXUe1+CgOKv1m2zhZJfbHhVG
ZQcpW4f49oEAP26T8WBErxohYNZ5mBUAg4Zhf/tLVg5PtHlBeU5iRSGLL5w3US01RYCxj6YcugCq
+lTPShGZ0+pSLqxwvtPm0pS3TRCd+/gHyIn1XRd+a/NNUz/fHs3aSkKUEJOLPhaIoXPxQtThTdJ2
U3xuZ3R5eUVw9Pscohv9rzwLQWRgzw7ePbdtru2LpU3Oe3zDj0hGYNNG/Iim1422CbpTEepOagha
j9dMAWGL3jzZAuadb7IyKhD+D6BRP4ONoZ+24NgHUrPSHvz2RIRpodVjEsx0qBOirAOMATewvu9l
2+9aWMukDdFC2sesNji8kHLnByD3h+pZ1dPaeCThtgLGAjxDkx29jDGmfBi8qv8ciPo7+6XdQ3mq
Hn8qFq2i7x0KjSOCnxjcZMbelO+j9hArP2JNJMS65nQACWK+GOUSqo2XeywyoIxAQIJyhkbnDoUw
ANmM7D6TK6cVVfDXdhFUU8GwZqOPHsijS1N+GyUpsdP4rEQfSDDHojT9ml8bKNkCIfiVJuP+flNF
ExSCsBQ2AlPSz4d4PlUpdEctCkzi0A7opBIRS7A9yUWFaBCBXg6yICwpx93LUCLs/GLu43NuoGVI
7UEcdURiVLB7VmduYYW7izW8iFATGjBzRmzTrLU+kKlPBDfJ6vQtjHA3LSYth+x6F4OL/c+YnXTb
lfNvkrUPjYRaxXss6r5eeaGDwB/qv0hnAvbP05XJgzohnMPUyYELMrYUkhKm1kOlVcQotubiS0Pc
wNpRbyRdgSHFfJb0ZiObuP/Pkdlsc829fcytmkIZirGxI4XKYxXRJTxGZG6wm9raVfonu0Ohlzh2
/S0mn7dNXbftIeOGwhomTgbeB+nvy+0kJbZZGAneSqBoecimfG/VEkUS6dFPpk3iz66qU312LPIa
RSIc98rawTbUHNGuj+3GZ8m0VBtSosB2rz6V5T7XqYYj3djdHuLKbF5Y4c4mIxiJjUx+eO4suaAl
kKcQhlPHlI6z8ZRoh9vWrpsRGVkFhqOhlo3mNF4yfFIiLUVmPTp3UIu886Ff70qpOTlFmXebQErT
jT4M826Uq5LWEDq7gwxpfAoN09+itSpHmbMovk0DXp6t2UUCz1rZnRD8RvIfZzR7X3EHTWMEso9Q
GOGXHewaEF0grf7RalDGydAKrvqu3LQ/tEb+eXtSVs43MIGyVgck7ZBv4peAxGapgVr4PIzlS5Jk
z7kpUVUVRbFriS3Q7jM9egbtAknzpTPrShO0sZmkZxBIT9A6tSvazXFN9cAjABEobYCAD+RZUDpC
5FkSwdm3MkzQJ2MPAZMCD+BvwV5V1AyKBum5jnOajI7xPoMT7PZUXleRwTW4NMLcfRmqz6ZJWrtL
z6BnriaaUY3Q3MsqGv8s3Oa7sg0Fo1rZPzCIHlf0WmoaigKXBmMpj3wf/TDnuraSDZxFOjUg7QJk
Lg/fTLmpHgItMwXD5I0iPQn0ITpqwT6FEJOvx4eG5GcRaC/Og9IDx7szA08HCK0yzF2sCrImVzl0
ZgwtMgbOW4g2AFp6OUKVhMbcqjAWSO9lN24BbqUKeP8nsNtYZ9t0e/m9q90hk6hvyk5iCIpyvN8w
+7ph40XAMKZI3lzaHw3fHvPaT8+qD/L3/G0ETCTR/8YIY1/BMuqo7HDLmKH4YSdAjJ9rvaGG/n2s
W0qiWLBuq0NZWOFuyQCU3aaURNl5Qv1mwPwVjLtjEqmhXj3q2JThH6Dn7PGB5eOmTBuaeGjl9Jwk
8raxRkLD/BUNTpBTko+mvJP0/CBn1lYjLQ3txrPw1BQp3ly1w359BKRngCuEEBbI0y8/QpZr0ncW
phQIRsttfXfcqE7rAP1OyfH54+NPdh6A7Lh9AKztDBsbAuEpo5zgK8goqwaZlcJZijZ8kuYjEp3w
T38rp5tCEiF+VrcGyEbBcQqicTT8clvDTJRQUms2xPnc/D/OrmxJUlzJfpHM2JdXIFYicq3MWl6w
W9VVCBC7QKCvn0POzO0IAgssq627H7qsw5Hkcvl6TlcFPdwrJP2mIjlDUqLNhkPiDl6NmETWbF/R
P7lcK5ovrhgE9bihYG5Hfup6m01WRHUT0fxRwRviOwLPagz3aAMidO5FVQuSmnJI9ve3+WZKCIc7
wfvjsuBJQR55pslAgpCRcCDVBBoLiX6Ucq8N5Xem+a4Atod1ZCJo1Bfd/amYeeCB3wlDi3jUzJWM
yc3qpzI6mp9Q54JLgSrD9eqVrowYRa/qs6MTBYyMim918eDLUcZIUJk9xoTyz/KFoLlmokX/IAGe
kF9ntoKYlAyZ7ibPJR9p0FJNRV+9JlcellvlmsSoADDAuQL2Y97GYzQTIJcBMQBu4eI3r0DtParb
goMWuAJMgfha85Am/YObPiT1A2d8xSbeZII/FnrxBXPLi442U3AnebYYkGpYQMawz06mUX1HNazr
VQ/lRQburFb7NWCoAXO9x64C2Jnlce1Moj3Ga/S1b5o29zIYnBjVgMk6bTsQEzHVfn3glSS9nXc4
cJGr5SEpU7HLmKoe9QgD2nXc6J5MWxVNrSr3MmFa56wqecDbRNsqTZo/GdSZZnU5F0fJVem5WcR8
UrWo/uLxDqqcv1PT+Em6KvdqN0k3lCIZdv/2zD37CaAG3z+BJE4jX/OTnThF2Wgxfu7UqNsUhmIF
PV4gAJKmcQBm5lWve1EgGsJghjGKBL253jRTUkoIr/mZonxV5C8Of9HgHfXNS98Mnt3/aIR6IIXY
RV/bg6BhZ/6E+ZLU9u8v/CMvdHl608qBAwIwDoDJY2hy9iGx2xeOKFt+1izlEKtHLr7qhd8EXU39
OE42Rg1Ivyh0e9urwRYu+6eYbqIn1v2MzX5bxefCsPZl8x2zhxT/IcYcT98+ju8Aw9+JceUtuRmY
//hacL/jYxCpAEvoetuGBDk7zgZ+RkrnOJSe2xkHptneyDof+Mtx1vlq+9vC0AnSw0e9kJuWm4Gh
Bbl1ENUxbxrfzB9oa/qFfMB4x6s5DpjCXWvW/Yh457uKWYWPBi049nPSZqVpuKLZrDszG0D9XiPM
6rlQ21bxNUk79FDFSmIErLGY63WxTUNtZEnk1YPTeUqCSreDkVnAFhqNlnypK7RRe1ZnOMe0joZi
0+WN+pBmHWY86ygt0BVFnPyXTGO0r1dxl/6qa/A3eKrTVOcBAcUPmjUKkregQBwCo+CO3BZ6pqND
QOZrYGyTBbpZOfJdeO0xk4MZyusTMowEsFMmso6tYXgVaObM/k+h/uCgnWmaE5hJ7+vv/LWZFALM
mZg7UsFkbH6Y7IvoQpVjZ8U2xKFdK6qhqcHWw1nfF3KzpgkwGOlZB6QGCNbmAHOWOkiu0JKc4yQ6
5yyC9jVH25RhRs5GxhE7RerX+yJv7ANEoqKowvsELASC0ettpDLWG1R0ydlKj6j1HgQ/DwgRE+Pt
vpzJK7g6LsjBgUwrAzw7Bvyv5ahd3PcZNOch873PIk1PjyVaGiaKMhhVRPDXv90Nbm1bIyIhIsHA
7jT7pj6aubPpqzUuoLkXP5c0c2zzCkDsLbPiB+lIXyNS8Yjg/xDuPN3frRttm61oZn5YW/cxKkWQ
Y3TgG9CDqohDM84xCpz+Ys1a+WB6Oa8PZ8IMwCQMuN81AO5Nn3Oh3GNlZHZcYQOrE5yZ8xAFwFYx
3xAb9Or2/spuVfxa1Myx6PVS7yhAsoE1Gx3Fi15vou6c5T/g4cF7WFHuNWEzjwHEm7jTCEQeZJEc
HQkvHTiXFajRsKNl10oPIKb3l7dwcJc7Oc9QWnEnAcYGiUb+mmSokDhRIAF/gOFbGv+5L+v26l5t
5TzK6q2OGFnlxg8KGjMS4Rv9qUCkMa5xDy4o/dWaZso4JK3dGwxyZPkd3QF+VmpbdQ3U/CZ9g6t1
JWVmiOBLD8BUgBRBviaW87WP8vci0kLtC3uujYDEyYtWYAbOlF0grBUMyFvrdC18+vOLCyDLytUb
NYJW2m+u+D3mn4xVPhY3Nf5itA+e60fAfPH7VhlFIpckfgBnWekPqpm8dpYm/Fhtqm1fV+VD3Q1r
WeSlcwOoALoa0G4JNNGZWexzIkeRcPogmCK8FJ3tx9weCzzJypqoJQOC9Mnk3CGDAjf9ev8sq0kQ
FLT0gRt1SjbApoA3C6479P0imHpibR43wJesy2FXgytyEylxv4YhuHAdpmjJRlsTch8Yvb/+hhzc
zno8JtlDLETyTU9c9Ot3kdioAyf+WDXtSiH0JqmKQwXhrYv2PUz9oPYwW3RpM1cOLs8ehr7wNS0C
9iNSm83gx43YZDLbpVHkd1byoAF07f7VX5aNpjpMecBTQNfR9WLrdjRMaarZA/CN2XvqApx/1Osi
xHdmoPqrVGBFqGRTu+QbV4UI6rqM9/e/YcG4wo1HNhJZcxut7bPlc7tKNTLo2UPp9nW+HaQ0X9u+
QR+Q49Ky3lLLUJivF3WRBFGS0bUJniX5eCbBm4TPwGTl7Ly5HRXEKmT6oIw6UPrTmu3Mru3fFC3G
EAri81ChhO9sK9fWxmwWVA3DL6jpTh43ALVmNwskPaOadV3+wFs1fiyB4LZzeRMFRels+6b+LEMU
FG1KNuByAdtAQS72+rDHtNNau6mLh1gWQCNDOFvmnV/DFGO+SF1Rrfna0ISC4FSfxv8QqQFp/1qY
1Nyi7QcbWP7pK1cCXf+RJsc1fuO5vbgWgqLAtZBpIpdWBPRdYD4gzVkH9h0QEdPhNxiq90RPPQZM
9/vqepMZ/ZAJYDdMRBioP80HMNKooI3QI9APDl+E+UT0JnCbxkNDylaXqQeI18GjjV1tzFK3fcr9
vKg3lVO0xyr/7GDNx7fA43anHBbu7+z6RiRVM97iWxK4dFwm5/KDWQOdVYjL7q97/rTNRU3nffH0
VKPosi4Dh1mq0F2LXqlWXQMOmjs9HyLAwqagXqkCpWyun25FhTWgyKy3Z406wFRHAsWSPnoukQ98
v7+eRWG4dUjD6cgnfBzzxXpcp+sJOsIz8JzS98E6cqPZkrjbkezgVN1a/8b8Df1YGqpzQJCEX4wS
1vXuoT7c88yFNJI/R5hJxEQJk/rKlVs8IrydKIsCEQEY7ddCGlG1mWkn2Snn5IeZ2uOTYqOF//6+
Ld1rjB/BkgBhFxDfMz2gNKnNTK/Q5gcjkuZnzA7AvY8pqn5rs1RLm2bDoZq6VPH+zJNcrSujKk3B
VmUc1cgvfqyREyypwOXvTy/DhQoINIeRVNTZyVYDReq7AiBcDhuPFTC/BEu39zdueTXg6HBQoMWq
Zqfj1qw3iw62alAsEGBghDN1/b5YhYKabN5lEDapGjzD/8qZqRra02KSqSAbYeyUla1HFe7b7dc6
BipDlG+RZPGG6nebrRnGRcUAQChKvyifwqG53s2esbziFLaowHyKaH1af6X5P0ymwf19XNJy+185
c3e06UnJzRiGqECpLXls18qxi+eEWjoyxGiORvXpeh1OhvQMOgayU62eq6zZuOxI3bWJrEXVuxAy
/fmF6vUULLlajauaFWAK/4e67FXNAC/QkaPgygo01wfb2I1KXEibKTogDYToxsnWjdsCXLkUFcos
9tXvVbuzSu00SueRKa8Wk34snik3/LatD5W7kVQLgNOWN895dwA4jquCLOdFKdEsa3NvqM2X+2e7
9J5P9SCMvsMbVJzZtiQYnLRaA3sPsHmX/NAsQKYgLyJsj5BDq7/F2fN9gYuHfSFwtjOOaA1MSWSw
ZnC7uFsFKfrRi3ElLFw87Qsps6sBYmd7SBRI4d3vIsaQbbZX3C8m+qEr8Te3YxodwMAMSFfmeTid
joAGHmGeezv65Wb7vh1+/c2W/Sthup8XqptGA4L3Gqx6oio3FejoAz2qAPFgJpv7ghYNioU0Jho+
pmLNdHYXgmjeOkmrgYvRTX9EYOTMxFGAPiJduR3q4ulcyJldeKVMRGwSPDPggB164Rd9OCQhULh2
VdNvRuZH7CfV3roOoN5D6IrqbKfxM6/AeIJk/FC2Kxu89j2zS9DUpqZyCxs8BDZN98K0X0vSogQM
uCCOgd/7u7x4AzACguAeTdM30WfWN5FF+hJXzmUe6MibXnqoPNwXMo+xPt6kqQkN7S0TiPbsAhR6
5QoJZHBQ14tvNTWeQcqxLcFtV6JuAwhIG0CR9yXe5IEmkYBRA4wLUtJoCJ/dbJkhNW71EBk7OuaN
9n1+jMAbYYNSvg6tsgwMcGA5LbwW37K/3xe+pLlwwyYWrg9ExNlyS+GOOWEFZJMnIvuDW3LQmXV+
oXQrecL7km4CIMsgLWkUnJ4q6yMtyNZpnoVrPiFyWdGTNUkz9wUUjBx4l5DkMh7q7vjIYnRqI35U
QPe+cnhLOvnv/iE3cH3zXXSwJZQw0L4C4V+QH43zNBT/+YszQoMeplsnJOsbGSrYFfMctwwIz4ZB
w7g9Z2XtM9muWOSPBML89Z0Qm/5fkn69GrMhJFY0lL2H0fFBheh6pQ22lICA80ttrX9iMZ7Z0Ozc
PH8aU83P7eLZZuUTBbavKpV9C4Ye9palKFbGGOVQ7V0mvlMh96PSuh5gsQ/IT0hUz8CjKJU1t275
IiE/YdqAsrituIgiZnmX4PMLId9SU/e6ZIdBP9UBA4DptwTcT6bxgDpJSGPuYZphxT4vKh4qZqib
wSFDn9z19nVlVwkU7nCZQJ28U1PHOvRlrr/rUq0fGlJ9lonlw3CgTxy9cUgkYzj/Wp5qWUOKIVso
H2i7A0PprC0vkIEUVa3t7+vgTfrtQxYgNqfJmQlzaqbovTWC3x3Z91MZPfUYRZC2U/olq17BxnNU
nPHNiRuw+PVbPW+f7stecqNRzP+v6JlWcsqHaqxVdHSrbonBoN72h15bYzFdvMloFUXe+KPxbnZ4
KB6n8PXAg2tW9XSTO35WVhmGlzQEGQM0WKPVZcLeuD4xGSnwR8oI7m3BD9IuDigf75FXA36kaq8A
RSxtG9isVOA2ApbM0mfeT5npbW0XBIG8lr3aoDPVyvazPX6TVlzKmGmgxklhUTGtJ259QG5zCXjZ
NZ90cdMm1wrTNwqmi2ZCnDrXcpO5sEp82LL4RwUKX5p02xRQ35/XNKBP/1fS7HhGF0dhRg4k6X8c
VPyV/s99AUtKdilgpmRVbWDcMsZ+JcoO6TgvSxR/1YVZ26+ZP9FRO41sG6vg5KwzJIma89hvNaXY
/sViUEK3gJE1+S8zOaYoOVcqLMZtnkuw3Tfj2yop76ISX8iY+SdR7GQACoASF+StbxPMEK21FC7u
lm2ZOBaUg+057VrfctY4eYaxnqzcNC3fcf25zvgmttaihJt5ANwWxDoYVkIWFIDj83gdSDwx0Jw6
mJgWIAsahUNHSAayTLN30aalxVkIqjTFp6whgRHxbxhoOXcsbUKzz5KgVICla5vCaxxifV4xrz5t
ppg2GYZ0bBHlK33ji+HIMQkrnJUQdnkD0FoNrEbQJML+XZs/kInm3dCR9KSgWhaXxj6N3wRgzXUA
IUTvoD63hiOxe/TnVn5iIb8QpkLxqLY2wLNwDTH2jDACngb6Z+d8f4mt9opdIssATM4tJxs303y9
fPv09bgSMnsxxyJ2Prh7TyNSW4k+bhIHI7W2svIyL+ivgeoFsNtNTMDBvbjeU0aHBOyXOcw8UPm7
At3PQ0Cgynq+tmtLklxwlU0DtPBv5r06EbiSGotAEr5jUxMKUi1wT9qhCZDv+1s3ffPMD0XZDrMb
KK2iB3JuWWI0rXPCEU8jI54EGjeOdtGXAKFovyMZVvp9UsWb+yKXVOJS5MzQuJWVc1NFNmIECXEV
jS8T5mS8in2yuIcWOpjRaapPA0/Xp5U1alxIdcRpCU1gipB2+7rf0+7RNAGb/hdLAgMOZp4xsIHs
xLWsaATQLQgbkJQe3/iemV/WaloLxnlinsGgIvocEafNBKhFzzqTx+zEqFV4BQBf/MFt1uLjhZO5
kjJTcIVVNaB9EgafaTt0g5fBbPKhXAlPF6XgVFBVnZoL58UCs25qVZUpO0Uq0oryBQzzDq9XPNnp
RZzptYny8X+FzJaiMZrkGBLAW1PaYiNF9qqIxgzoBMKbGCXbcNIBpEymKxHk8uKQ6wYUDibSjJkH
ndKuk72LLLuiDiA7q9tNyVEit9eYFRa0G+v7V87MvmMYN06sHptYVOneLd6pLTy3HHy7XzF6CwYC
goDpA9OHJrj5kLRAxVkmTcNOYHTdRzmHkTAeNKbte6KqQCdfmzRe3EB96sQGTsHEWX59lXS3a6jd
FAwk7NoWgXFAuj8tW8N6WMrvYXoVGMYWJrvgsc88KqBPS421WJYYYhhxNfY4hgTtTDlTNfNGoKIL
56dI7W8xj3wuj9Tqt1nKvOyLq25IW705xdrKF4/04pNmKzddakbIn7DT0GxAr6NkxX56x/ruL3ju
L9c+b2lUy94ZRyDMnfrobYiMvdoKpLtKvxi2ebfGGLiUKgB2LXpbQWQzOfwz00W1lmNrK3YqR8Lf
u5ylh1qo1O8x4OOTPC+encrpXgo97jeAvkwDR9X+Ywgjfa77wv32aUONpmoNZGGgrkO9aHZtrFxl
ZSqhXZqpfSHgAfUqGxSnWRzcl3MzyAIHFMGgrWBUCNNlaHW4VmMHYBbSJdjjSDIxjSV2MDxm0YAk
9rlBO4+StqCu6Ha9ofuRsjOyPzmKwNlrxp4HumILl67UxbfM+wZ12WdsAL/0KW0R1aEtgQ7lpsxX
XM4lQ3EpRb1eMYAWtHIscM5K9hV4H2ic7o2dbn5fq5ov9Vpcbu282b8ccorcPNABQAyNxq9m97sC
s6Tm6ZgdfLUrr4uCP9GKWV+6m5eLm5l1Q2/zVndgLpRK3+SoAuQgq6/BqIOOpBXNmfyS+cv1ARY0
tV+h2Wy2jzy13JgoOK2+frbbADVTGCRpHtX0oLUBJa/E3mSqn/avK4IXasT/i1L0f4JnDlOlC7yn
icC+DtEWeIKi20hwJA1bi38UBDEz7/U1W7kpi8o5YSP9n9TZzlZdw2IKLtdTmVpAfmi9KAK4xlo8
tCgFVBcAtrLQRThvZ43bfGx7zMqdmCyDGLTYrngj4m9uAArd6HECJzUacK5vQN82pLEy3PlO/UH1
Zpch0mmBykEA3b4G6nYDITAZGDB3YKIcHVUqqnrXwjDClZMeQzcnx+g2XFMP6JLZx3LLrVdXOUSi
38RAB69/pPwvDswCfjHAL6dRozn2XgL/PbaTNj9F1YOIUXoDewdbE7JkTCYJU8f91FAyc9/MRs2t
1nbzU2Nb/3RC+dJW/XbItS8V+reGZM0lvfEWYagnWk4AqaiAzryBDxiQaSZpPIQ2+MxBpKOoWwr/
t1XDGO1/cTus7OGSPCwNjwxwIJBqM64Pz8k5SwcxiFDr3PJXYSeY6FEVYGmgtrftC/M/KF85e+Cw
S3/lkk/W48q6YKVo7ERAhJktQAPMXmOlBnlfowgR8s5Kn3KTZi9DZn1NDOnuiyx7VPT6nw5jPyew
lPQnCuzmg6sXa2BwN8eLr4BtA8b3dF0QU1+vXxSgOeGEDiFG7pCP/VEAhYK59c6tQgWF/vtrvrHd
ExGIA65moK/hyZ8zPza9mVVxZuNwhwe9TzeZYZ7RELNPCmslsrl99acmKPQqoE0NQedNno4VMc1G
G6L4N+MozsS3/eQtfsvOAKJ9IMfmrfzZ/hxfPr0+CJ3wksCOiDGLya5flMR1Ioe8sZ0hHNHvN4rS
d4EYoBEwLtO1DpWFrYTRmeBfP+YM53HuKFunK3M+hkPWe259ZJx6lXousvf7S5r0f6al5oRxNYHL
IIflzpZk56WlojN1DLX0a1x/S9fy3LfWEweFFkmkPJBTVW6sp4vSWq5nzhiWTbIl9nuqFj761wCM
WZwcVgQU2ISksn2pfROWs/v86iYmMTigyPAgqJ8dmNJJVmKAO0Swr/k8ztEOyurBuy9l4awstH+i
QgZE5Ft8Zz6oSYNO5SFsFXNjceW5SZRz2Tap1yB1dV/Wgj0Dnj3yYlANVUd+93pFmFIuZN3G2E6r
6gPeW3XQV6JBz7KW/0zsRDmVOI49nChlc1/yzcMO/CYkxRFYoH0O48zTl10oP5V2Mo65OYQV6z2K
4VyoI3gy/kKIjSoSJujwus8Tf4pOwPit0TFUsgh036YPIZr2WRdzWslE+ztBA+HkZisZVa7oWZeM
Ycd+ZwA7UxGcgOPMWdmwBdOLpNiEVfrRhTDPJJVabDRdrYwhs37ZZGuiKsbYEfPgvtOvtZFMijy7
xrhaU5gFjHG0kUyHd3E4pk54BL5fGaKwsMur+Esv8+Oo/0kVzdc0X23eOmtYccKWFEI30YaK0iJ6
YubTMIMoSI1PgQm2Ui8ynguHBciVrCj80i7C3AKsDEUy8wY6zkXPES0TewwrNMhkZFO1+m82Vg9d
ZYeCFStntmAOp7IikJwBYAizNTOHpWI0TdZIGRZJ1/wGlwFANNGX53z+IZmQqTGJOk3B4wm7Pq52
YFaZGuYYJrQF+ipgQJ4bjEc89hmsPQbftZXBpSWrgaFxF/+gQoASwbU8nRvCjWxdhmqR75Uq1Cn5
1TdeY2fbtpbb1kxWvJ8FfYQvMGXlgIqNVc7MVJt2rp0ZVAmlyTdUlZsiQwuV/m61u1zbAHEW1akV
kQtWGCJt9JQD0B8maiaSd2lL8hQiaU233M03YL8r6t96vbKXCwqJIWKgokzg23jUZldtlDaSWFYH
7KtWBRTKmBo/SlAXbCuLOjvCDKAzyaheecgWDnAqg6BtGW1VEyPD9QGOlpm0ha3JMBmenbbbRiwE
OIbnRibCRurlxf6+HV7azEt5M4WpEIMbZgGFMUGQuJHRhu/StadsaSMvZWizNY2Y8Y1KQ4a9ebDZ
M6AHN662s9i54mtskwum6oNDzVamwWWkxq5FFUBxKMoxH0P0Ue1Ii67ivN80IlqZJVvYNYRQsIZT
29vUvnwthg81L0ajGsNxUFMviZrnQdmkXR/yaq22uSRq4jdEvg/GCn1B16LyLGuSIi/whk1TUtkb
AW6VZ7Za4Jhr6ARLm3cpanaxSnvU9E6FKGa+qJnq4WWJ5IpBXNAF9OuhDGcCPQ0NijMZwKlRFJ4O
Y2h1ALA1Ho1fXY9+CBv4BCsB4YKFh2lHwQCGAqg3xkzrcqyAgn5gDKNK9wg6TDX5+/7duW0rQsgI
58xCzhstiPBlrs+GcKqpg6FiMXH1XCZPUbwH2ESlHBqRbPqaeol9zJQv96UunRKGomD7oHcwuDNX
Fzop85xqeFJMMgL5Su51PUs88FA+/4UgAN2hG80Bm938LqV6qsfCxuqgDjEIptMGkbybbu5LWd5E
EyKm4HUiXbzeRMcSzWgRnFNVpsFI/mTRf8Q2eSz87tCTh3GtS2bBwKLkAv8WmjG9yjNxPEZCziZM
huhwCGIFzaq5RzKgsWnHZhyPVF8D01u4wBCIqMEBmgJmEGcCI6WUlLWVDA0gb27LsnxLKBomIvRY
bCup/VrZzinOnzmI01CtA3BS+B2Qeb2drhZTuxtaGda1IY76RMI6oGro2xlwoCuMTHmjkdZe0lAn
zJJB3+tKUjxa4J9uvGR0eZjlslh5sReuIkrvcILQ9gyW5/lUlqZKMmqcw9kCyyR8VDAqYYj6s+Cz
cOIgBRoERuupcDy7jUgfF3FcdzIUR+V5/Cfy7u/sgqfjwoUzgCYyUfjNk3RccQDxUAq4VpG9ayLM
Fb047Bezs4OImII5D54d9KFcue0L9hLzsvBAbGTuwPc7u+2kgymx7BFbZw1AFwcD6fiSF3gKWhl0
8uf9JS7F8JfS5mUs0XSakRc9dPVof6vfh8Qrtk4wfnM6vzysUv4s7ihyOvgbRgaW9FpVo6GGDrfY
0cbmYaUpe0wQ7uvI+jJ2vxh7NKM3TDWd9TawZVBXIShkNJGeMLvM3djPzZdcoco+AeT//V1YurBI
XYJRE4EW0lyTNl+EWFRaEhO10CNdfzG0cypSz5APaf75zQaTMgYu8D5hIFw3tWs5sdPoaICFJbLE
m+G+2qjZ1+xcNn9Mlb+nieGD5DCyjiT6fAwJwSjXAZMSTJEYlJwJzmWX2WaNU25/1i641uHeOr1v
mb+bH9T0aLs2K3d70GjimMj5kMoA7t18wmRUrIFldQMnUykeYCNRgO1wgtWpA2VVLQ5ppYqAmWuk
Dbcv5SR26iCZHAFUpa/XKVwpCpvDFFrsK9F33H2VyYq5vX1NpvYU2FoFEHvIY8y2sukY5ssoRJTF
ZhyTYBS6Z7jv7ijRflluo0/3+dqQB4cDw41IcgGZ4npJnc1aYhowBwrTtH1poPKLCIb+UKtkJUFz
W87/EAViOCSTJ3bKmafGR2kMeEpkWP0CJsAuJ13QGe2p4YPHaxqIHiFlXGDAioZD+yB4/ZzLk2Uw
vwR2EMr9ADhha8PuS4oEhXVwX9CEh7+ul58hmaRSAGeFav4dMyfeuO1QE9X2bXziSDSuZLmX9Afm
HoxkSHwgBzfTHxnXjpVaigyjEignfzCg2K0V0W5fRoTOFyJmC0L5pYkyQ8Umi6+9/Kl/Ph7CMBCm
clAMxKSfNkdk5bllFfUUK6MDfWvqOq4e7d6JnXx28AjKgkonjCZSlhiRn9kyDgwyI4sTxOTobrZ2
HfpMDlXzMOxi6/m+db59EK8lTf7PhXWWjg1bWkOSRjUvVbut6yYBZo/CMaZB5K54Lkv3+3Jds7fA
QPZQHXtIS8nxN8g0Yt03wWxGdvcXtaRpaDDDtDLyGoDbm921ZjRzkzuTGhRpELEqqFD+G8Y13Kjb
xpHpmDAgg7zJVFExZho9VGYDHwbZBQKTYSWe0DuAv49AqaB1IOg/hdu8qkP1KLJ4pxOvTdyVt/UG
KhO8IVdfMFN43N0igjuDp4CnW0Lb02Q13dg9jtkWUQxT+DtLqm0SBRrbAJBpUNZaThf3GuzP2Ge0
Xt3gmkdda4ieYw+U6sFBr0FpnsgaHueiDJCjwI1AFg5l0GslNUnPwN2GjIcl/lPIF8w8rSbQlywH
zhHdDNAXVF1m90AoBed4J+ClBP2+ebuvj7cuEE7p4sdnap8bACCXDn6ck2NWvlT0LC3Ma27uS1m8
ymhJQ4oNPhASAte7pMUoV1ZJBN+22UfgJiKhKL208TuxvS9o6dlA/Iozn+Z10ZJ7LUgZ7UjlFQSh
rnMmVD6yKPuN2f53XdtHUf9FQ3Tv2WsUQUtKgDQHrjUsyFQvupaaEtZnQsmUsAIBYtqcifZYoD/+
L5Z2IWS2h6aSoo/GTJVw6N13YDxuyqHfAprArxzNdzJt09j2Ni+zFYO1ZBcRx02VS/ScYnXXa0vG
Fsl6UcPeN18s+8mqO083HrGzaYp4ofl6f5FLO4mxLZRXUNpD2XlmNDRWjVBWSHP58K0lcUiG9pST
9HBfzJLWX4qZLapwKa9rWilhUmyAR5ynYVogn/1+X8qSMqJR4GOKAm/l3AbHbqaj4twA+3nP1Aet
9qxx22/ARVvsYrpibhc3bgpXURlF3/u8o2WsDasWGp4vU0PumMZgVf3q4nm5v6LFfXOtCQ5uAiKa
d5a4XVG3GI1QQifZj5jS6vVHG5W2PlvJui6tBnA1AOFBugiw4bPXq4n0OG3aHs4MjIRBC0/Fhqnp
z8+v5lLKTNmaAtwHHRVKKJ679rdqfyPjTvv03A6eQXjWiOuRCXVuQLkTtG/2rFSUcNSO47jjih91
u6Rb2bAlAwsFQ10GM3sogk4beuErEZx+NY66gsnRhwJrMLrWH2Lf7cfNemVysjTXiSdA8k8w4/j3
hIU6SzwVg4YE10D6UEq4zHzIUi8tmuH1/uncYmygJqNh3gnPBjTBmLee4NsBDj1GfVjnYW1/E8U2
KsOiOjnad6K+g8IxSo/jb+NJpLu8CBNAfbDx5Lwm5Ej3JQaTMi/yjZ96F7Rs5ZVZyGRef9psu5Wx
bV1wIPQhmDoPLHiRu3H7XTmZ3+9vwZIPdbUF0328ONY0cwuQSkIOB1KBPIs49fQysN1NoYOI1nO/
i+zZACPi26o9+XBcbg/5392fvaQZjl4XPUQ3QPRWQO24Mwuknj1NPZrtPk+/gpNU/UYokJejbZT7
yZeSPFVbQNU0hHnui7SQbY1P2V4aG839zbVdY50aeY7xP5ceOD/e0pcq9gpe71tyLBwMb0svKlYM
1kfC4d4yZrrq2KJv9N7tQ6BSiwSk429OpHqaeOOq5WWotNggRUK+qaNbKXw6/i7PbV5uY/KSpLsM
HeRpeXCGb2ZFDwZwXr+p9VNRBKZReLwyMBEXMJn5ZucVzltK/rTAXE6AKpGuvP0fFch7y5iemgtF
sOhgu/UQi9AonlAcHKpA6pZnxfsJfAY0lX75Rn/lXnOwgWoKe9kBkfjRLH0Lp1CHDD0ydJ/YD8TP
4q+jE/TuAby5QZa+l4pfWyF/TJ6HQ3zUNgYQ3txug03zcCzNUc1fy235REBAOT4az477nKdvGXkY
lF3lidfhvVa9JHvsH0CWVWregLE/7aREjy5g292NuwqvONnkm41AZxMAmT4YLGbnWY0OaQekHEIg
ZqHlb8zbjdXU8pADRtF3hkIL05LlXqxbj2zMxZe87VJ/GMa1QfMP2JfrD/lge0EOGjCDSJzM7ofK
+rrrAe4aSqgLejB91ey/9Mh3I7Pqy4aHzu/aNsB/l3plrW6Ya2105eCOPzLT9VKhbwbTG5FjAaUJ
S3wmsg0wxvZTspfRzKsVr+6Iz3ed1eydKbOPOVknD3lr7RVrpfy9upbZpmpdqdWVS9HXSI4j9e1v
5p7gWpSPehhnmyF20IO7GYa92wVJDqgtimwxSpPlIVMf00fdBqHPPtkk/a7M/EgL+vKfckuPSDDa
+jN4i/BceOanPThsP7rP4OxMrA9zjElalcDGtnIR/jAOT/rTp+3u9a/PNiTRKYJKhl8HixDOotnm
2o476FsHDzaqGUR9cHu54WP+vdNPLSDwpUXXcrcfg+83GobpGsCmIqCB/3195520SZW8SwU6SsZH
opAn4IF5paBPZWYei0R6ldageRlmrETBYNQCpfajiO1KzX3pHPlK+/EX8ndn2jiFx/r23NfRHlWb
lyjOcah+oupBjNlFsnUHdV9IseH6VndCu3sRBdqhbcuPPwsFC6i+CdBcx9gkKK1vmkgqRe9z5hQi
BO0DeiDToMx7FDs2EWoe98/wIzC52b4LUbMLWjWqUTdxI+A7WC9NXGBoFz0rpfUMVJA33UwCVhD0
fduBoo/nXrBv/f+QdmU7ciLb9ouQmAlegSTJzBpMDa6yX5BdtpkCiGCGr7+LOud0Z0aiRN1X/WC1
SspNROzYsce1cuaVT23ymzatA7SZoCcLWcaPoT5qhe6qxrhXi2DjK699KWzI0mEAJweFUUM45Cju
SdUk83CKaWr5k9T7JVgCvCI2Ta+U2uyukqIH9IzD5uf6rpMM7rU6yHylZrLBA1wq7txIOi5e1/kc
DSW+DhiKuyQuAT4xluUu5QR810WBPMtsImRsTb9R9fbp9jKueIU+zxW+NLrpAU0BzIhLXcXgA2Ax
7GY4VQB9tFSAPnbACZUq46DP/b4xDoTsx+mHDkrA5J7bmU9sp1QGnyjTgcGTGfIfKp83Hv9FqKAB
6K5BEQ9FEMwUirybmJAD8PGMdu2BRE+lvW+rUIl1v2uKAG2pvD8lc7vhGa4cJ0RiDnQpTcJlVS/3
YeSYN7ZzGSLz2p2zI+Aj/82iwHsIvji8Kmi4v5TAWmuQwH8xnEo4AEmyb9UHS6Vu0+8pas7dsZo2
+rKvQwswjZ0JFDQUI5IA964gcABXVOoQjBAY+8nY9Vs3dqUmuUgCCR0uAqpyYi92DUbjgY7YPMUK
sioL4GPdGw+x/NB81F97CrZBZcNILHb8SkPOJAoRYERJVMwxJKZZ0LjVB/rNDyBZuX05VoXAZUGD
7WfdWtCJLtZzYlbKAF7syCmm73Yk+WnxpCX9oSu+91uFgFWtPxMnKEipFzOrEqyJHoZ72QQdXHOQ
MtAAbSHqXycDcFxnggTFmFR94vkEQX32qlYFvNFflnQHkK6NO7USbV0KEqKtDrwOhUVgI7X3Yt/9
jr4VrvZHx3yn02wUN9ZV8GxNQsBF1bnFDDlEZV/qLxpIJHadX3imXx/xgFgbV3lrA4UXakbelVkj
hE1u8YQx/uERKBK3dW8lgrzcO8GTyTTUFqx62bvH5EvfOu3P/q3zkqPsdwc0tHVvG/Ku/fNLecJD
kCdG3VTwJU6tj+EA/lrstb18lzjSwUBH8RbUw3We6EKaWLcr+WhXujUNqDEEfffQjNDFrSaBtbft
XM/F5oW071o7lXF/wdrDU7cIQLdTzt58UsGSdETknZykPfFlx7P6XfJ9w/yuLhE6h1oOGsExBHxp
76UxLUspgvnFNMKRNrD0o+KUW4OE63pyJkbQRTsrilSScJnj0wwKjt9t5Y3INPR+P/h2ErsTh+VP
dsC3cjdcoK0FChpqSaqSZcuTqec7ku0TY0/maesarF41ZJRRDQPQFIagL3eRFV2ctb2KcKE8gGL+
TjtV1DHd7LFuQavkVAe6k0HBHOr1RuS+blGWmTEQpcO5FmfGWqCrgLBYg4oiG9Krc9C920a1s8oT
yQegvmLqiH0DZpo76NGGffnsOReftwXABhOOy3SJGKPSuW1YGxl43ngS6nTfmG8W7fd6eTfLj4YG
0Nn4Z607egY0LPVeSVNPj09dsx/ql2n5OPubbPuxHvxzkFhQegKjAIUXzA+hH0iwElFa9YCIpRg8
SZ/Y8Eeav0/D1w1LtKZXf8u4ahLL1DRp0XcDvvU7wwyArefTU/JgOmMAuKnQfHaGg7a/LXNV5OJs
Av0LbSIibpAslSDrUbCsafzRqA9jtdet8LaINWcCTfh/iVg+4SwRZGm9yjtMYJ2iV92dg9axH8Zj
suWKrfkQ51IEo2MAVArBRz7C5D1bdu6YmbSfKRpezH0tH5o22AQD+6TlFHUVdQuEDsj5L4TUlwtT
2VCUQJUYTwDL2FVBvEN5wXrg98bRduugP45H60v6c/bNffyoHW5v6pp1OJctWAerKIkxzyVmyvY9
qieYzjuar7dFXA/eLyqPqv/SQQRCFrGOViABpOgNZNQe+q0Dckj3bZDvLZft9SfJL3yyURJY3K+r
DT0TKPiBhZzrY8sgcHBHZwv5aHXHzn5c8P0arRisrC2wY8WAEXf+qIw/E6l/wAlu3KnP7qNb6xA0
fqyjKQKPy3iSnn3+xF6aXfwDGEuH3iGHOUiP3MuP5oEfxj0N1PfswfoWPUyn5suGa7h6t9FWA1gV
wJtiWk/QzyzSWzXHig2gez9QyXAUVm49U8uZXK1VA8cGOAfQ/SSWrwn6EZm2nJntp6/ts34kOwBO
B+ld/dAcut7f0MnlUb8lTnh6tczMq6pkmHL80wT2c4ubp/npTjmxYPgyvCcP9Mcz8r8bD/6q7pwt
UjD+eTnT1LQXxQRc/7BDu6Rb8Je820jibYj5jCrOLGUhj2VXmRDTk0Cqn/v5cdYfpq3M/FqaCW0Z
fx2Z2KgGoHfM91gVxPCgKDyyZweTO07pgW3DU47Ns+6A+y7/YuxAFRv2R+VI/n/7Kfo2UwwqYdJx
7Kf5Lo/7JFGcHAyiVN9wJ1ZvwCeEKwYg0HCybPjZhmJaVLZBEzqe+LxHEynq2NPWQOqqzToTIXih
IMGSmwgJ/tNoZ+hOfVCwlRs6v9jya51fgGj/swpB56uU9dlEsIoiHLhTfjNUh5b3Zf+Errnfpoyp
UXTMbwi9Iu1FegxK8rdQQeVNKzYV2mJdyJ7HjvZzvpt+kH0dAAXPt+7lDzi85kcWHLVvCCck5mxB
NKy0g51/ALrML89Ob7sxt5saHzA9gkv92LjmL505zYBkjoPJ9x/dFkD5bW1BRuxS4tTUvZwy7DMg
IYi0T1PwsG68cOvmC6qogGoUmETCURaxZOq1AfNFMNFhfi3iZ/4FWMPOZg1/1YnHLf5LknB+csSH
JmpwxfKvwxFouL56YEEUMBc4Jf/KKMP5Al0aWveQ5bvcuKiZE9nsOhgU1XvUemeuHO19eJjf7Ngx
76zj8Mvs3Oij8hDplvFWuLL6Ap1JFy55HCWlLlnQ1KxwQeJS/QFZGznEv3PVQZaRPPNfTblZzFkN
VADW89eahXuf1kzlPVp+0KeOyqYd34EGUmsO2eOoyS6htUOmsLQPMX1LzJ92koAh2o+GQ9p+5HH5
Fpev2dg/tJMWTFtDRMvJXpmLsy8TdIwDfKvS2XIa9ZuuSsBJ2s2Wo36UaRhTN/93ker5VgiqVqXA
5J6VHqoW7TTuKXiVuXtAGR7PJSo9ThncscJLX+zDvzGMf69UzKUokZ7Nc4SVZvxAv9RTjFG6N7P2
4/6lVn5x+r1X4HKRsN3sNVj3jc9EC7aik2wMSmU4fjmM7s2wcYHm7rLd4BGHe+OxdtQNy7H6zpwJ
XB6Js6estQ05jQZ5PMWkUjwujZhKjCRtI3Wz6oGcSRE88FRV6KRmA5aVBbXqKIgt7Pyob0a6y/bc
0FGxUGhMVZ7H3WJqgRxxUPtvhfzYKbqTRY7GzKUsX0mP2tRvvGqL6t8SKxgq+Dy6PFEsD7hJuWs/
RD4Jptbhb7cVc+0hwUw26FFQVDExWHJ5VkVUJxlt5/FUTalrjvuewWvcgoFZFYJxFQzvAeEKki6F
jCCkLbNGQ+SuHm2mgMIvVI2t4ZgtIYKVSyrAqRiRihBX+xp3xJHNQ1s+3d6tNc0Ge/1fCxHsVcb0
Pm5UyCDRc5T9lED0dlvAmkE8FyAcx1APmJNQIAD9VWRyO3DvsJ3JDxgUGSsMq208SKvrQe4KA44o
gmNo8fJgMtYonVJBHDtI7hY0xOqBnP24cCBjYmR5BW7QUx6gJPgubUQgnxPb4g1ZhoX+9/HCYSzZ
yHHk+H31vnDC8XEEPZHDw+yHEsYvrfsH/+PfPp1VU3ouUjweQsjQWgoiyPQVOEBozIuOrcXdrjA8
0gAhqvkNuLNyema8RougDHTVunOm+NvGdyxbJywdYyjLwpHkszHrfXludRTrbWbpuFA0LSy3NzT2
g5A0OWbguY93OjXMyUkHGU1lCpWL5yhhOtArMkUZD3lt2UGPOWXqSTqXc8CyFeRoGOV41xp2F6NN
jG318a997zJTitOCrbmagSIZoVI7LGrdYEy47Arpo+IgLlVje3LLyEhO1qxtDYOsCl2sDVilMOQk
FjxHdZRTIL4joupf1eGH3Rw40xH3/GL68+3zWNH0ZY4cIQgg09B2sfz97MHrwc1CBwpJ+ajpns4T
M8jUunIRGNgbWr+yKGB3ATUdgLeIfcWTjzUmdbqMrlpwv8g8xzznfAdSrki6n8zi5fayVp4gNLui
mQSpkmWMQdD2ya71qNEjNN738hsyr2i1sh+WkTytepCz2QOQRnhb4sqbjhErUAEuqBOaLQJj96gU
YbxdkTHJYMd+Mee2R0Bud+gAAdeA32T/L8QtG4mEMsZmxdg+KUlZDSW6h21AZmookkitvs9l8ju2
6q3naeXgMJe0zLJoGGG/Ql1NSQFOtYEqJ72KAB5cu8k4uzkm2U19fqnbrZLT2tkpANJDwwhGhTCn
f6mSnCWW2aKhHVhKs59OQdvUtpeCo5rE1rGxynduKr//+W4uAC/YSfSVAyD0UmRvxbIcFUQ+5X+0
QvtTtBx0Ex+Kavz5F3JwZGg6UTALL+Z627S2wGjbKacC9AT59AOD6q3iNA3feBxXbjVMByJfAAMr
GH0VHExF5UaZtz2AFqvk3bKZP8yGB/jTDSVcK8BjehjjtcBs0BCVCkdVNXljoiFJOakSm0PDKFqv
QBTmK6My7ojdW7tpbJvfxM4kwOT28aE3yBbq44p2LhTBCxgW+KWuwBU6NR/jFLXCE0F7apv3PiXM
J3F839rqLsl/3T7BtYj/QpxgWRQ9qXTQVygnK5NdhqIks7injz9hQm2a7008QKYeu2Np+gmISP+5
kwXpwPlHiyN6G3UhIBonJeIl8FhPlVI5VoQnb472g03QLn3P2J7K+i8qsY0h2JULifcaWDfL3A0I
eQShRNeaBrsPrS2TFzDqlm9lrx0k+aUyqK+ZbKPrdO1ADfQ1AsACAgEsfXkZiVImkd2jYRfATl6Z
obk8Yncpz/2iiUGoakQbCfy15cFxxQjuQjIkiyi2aj6rcgXK8VOcuLOMSijaAWN+38dAjq7vMjSw
3Fah1fWBRgVjYQBiRxX2cn3tNHVmhZrzqZo7ZwE+tu8MmgYFurILdQuca9kswd3CRM5fwsRktzkP
I+FWo566HrM/vcIx0ISgtkjT5Evbb/EpCk75UpsAl6gOfxwTYXgKBTuqgA8vbXoah1PVNsHc1H/y
Odb/WYy+CMGzDtOGGWOQhokD8IRn0iDZJAkfd8Htk1n5/ItfVi9PRpZsBVUl/LLkKO5GzC+imF59
tmCTrRYYn3CNknBK3zDNdzD0R+kdEOYlcOJtOvuafjDyF5Y8lPHkqvV9rGKiz3RrYvu3VymoxOeH
wCMC5iKmLjF9tujnmcsnK0XTZEmTha2eBUlK811dt8xlmoXZgHSLKXtFmm6BwdrAWAiYij9bzM+k
SZECekZdXXDnZwdzUI6S9J6c7Ga6+8fLgntpmBiExZAnsL4vlzVxULF2dZSFhEgYQBoCu5h/ZiR3
rVjdeF5FYIRlCw0b0JxLNyIwi0RgBKOgOgEXYxamWfJlZN+KeS/3zx3d9+NPA026oJ3OlEcV7fAz
aBXnud3LUurUVVBmv02JbjjWYo/Ofz6H4CyXkUJEw8LSy6JTpkbu83CCT7VPm6zUHBvsqQ4bkqOd
2eXTOFoYNLRjw82UimDEAAwTQ48GEGxl4sZGU+xvn8baN6FujeFn5Kph5CwhsIDTkUxAxsrDaKB4
KOzHnHS7Cb006ktVa8Dw3pemUw+IAImcOFEyO9TcOqZl3WfGb9kXjCQifJIxE4JAarH8Z7o3jQZN
wI5Fw8o8we97yHIwY+0T/VBZh0aFGqKX25S3+sIE52uRClQuOCQ2mnuWif5LqTmtY8J6nIY56E4K
DnCL/emSLe7EFVsFBxI4j8A6WAB3hbXBmsu1wVMapgoZXQ6+UwcMFFvQxGuaDkJI2HMN4NZYmGAs
GEL1yCADDSO1cNXErw3kDpP2UBpABygdVk0u7ROXYdJAAYtJTU49/YUKtld3EqY/7pG03rjnYsnq
c39BPISU39IgD2qPy/01E4MZUavSkCb02Y4IOCrrD2PwjdL+4Kx3pyhypCmYtN916bX5tGE+1zZ+
maRFVz7wrK7gGSVpKM2+SoqwBMnoThmnyTdiZcuDXzGbFgqDS5igLkGzcKWzTC8HpWiLsOipC7CL
wzS/zEX2LBX/aj3wt2wdI5UITYR3qZfSok90E9tZVn4jHdp4y0NfuxCA1UcxHH3OWItwIVJlHjQ1
TYuwrmLZbQbzIxq7DPPOGO7bsDorNx5uIwpk2Dy8BGIUntOZVx1nZTjt5TRxB9PPp2A0wyh96tQv
0vTCtxppVxZH0HWFln5kT0DGJmwfRnSAxcdxUHmvGk7a9ZJjS9pBVl9vL23xCgVbhucG8wNw/UH9
JioEs6t4qtCQh7HOl/agNS6aylz7te3usvqpxgz5bXGCk7pcsgtxgs8f1Zk106ksQ9moct+atN7r
WPs7ncYcI0M2Jl/IP50B+q/MBQ4aiIo4Q0Gm2TdKpMyQmSm/5476hs5cYw5BVb/xMCwWQtxLFTcL
vXhI1sBluLQgLIoKSadNGcYgZMxsX5l24ytg6cq2cGQQntzeSn1NRRA8QTkQnyKsERz+qCSZngxF
FWZ0ju+0VE93EQLVLyq6vjx5JuirjOXRa2NV2aHgqfu8Bo6zJZmTV8b56Ou9jDlOQ2VeLWmNb8yy
5phct90xY2hwGgE8CijBxFMH0wCWS1ad5KJRAjsa0IccM2Qtzbbza9grH/jowK5hU36oM5bdNTw1
AAeUqq9UmS03wqY44DGAEY+T8innCt3XxRgDrMv8Oki89WJJTY55TdkRXGDyYzMjR8ytrtvwHtYO
CIDnOByAoyG/tdjgs4cbVD5qgT9W4aQXaBSPlNKHzz+6hpVhaLOgit/XVv1q025L78X4/lMJEQTC
E8cs2mJILkUnsw00DSDkhJ3NHF1xe0VF3/FhwByssc/rzOPy8twxH1SQh9uKsmLz8aIs6HuQi/hX
EM0kMhPeZlU4EPJc2V/BEhhai03eUP81U3IuR3hAVaNTKyNKqjDivpa/lo+yLiGZ8E4KoAD1P9st
It/lu8Xrdi5P0H8gauixQiGvTr+T/mkAbrh9zGnlMGjP7S1cu2rACAHUCuYJAVoqKE5lAYGqJXYZ
cjXVDz1JVQBDkYdpoO3v25JWNxH5ZUz5gsAa3ZuXehL1RUXLAovS+7tqNMBvj0GXLLlvuw9gPrxV
9LGxN0JIEfjgUzfBWIK8D3w+UDgIBychoaZovQQDmXgKO8Rp4pD6R6q/DGrnGDTbxUVAjNxfmK0j
4LPB4c4cI0AwDTT1I1hl4GWrqdfad5NMjyYGtTokHWTycntrxPLWf78TrTdIGyFdJWZU2oTYSWbD
4DGwAjmyi1HUqnbhaMc7NAm/N+hj6pykdjBF+Xxb9NqpYNLwL8mCqwGsOpJGRl6FZUtcNmOmkeXe
3OR7iQw+i/hO5slXZGc3btSahgO8CIjT8NnA4iNoOOGFkmgZq0JS5l7TF25S/kntD5O+ZPbT7RWu
mcYzUSICSseqsq5V7K1RazWehtTVFTrcE3NkrjZj8NcyaH+0MaO8cbU21iimXUa70UqpqWCTx/J5
xmzEpNwxzrwxfadbWdbVYwQyPyIo8IajqnJ5uXKt7Gazr6swiVKH8cdqDmew6JAMiBHpw0Dv5Xrj
bolt5p86ay5Qn/DlAJYnso0j0lKZ2eUsnBUL8PVAnyiNonAUjesuOGqnk90bsUPyWdqj/DEGbZJU
PrfLCQhqM4g9zfTXPGAOvuF6GxClp0EZsT5Q8cRHACzccHTXngpM06IbHu3peCe1yw3qbTlSyYhX
KhptwBTRojgQOgPNuJJiILnVW+XjNbu6hFvIyAKEFk0EgjwyMzpLBQtH/zC6GwnYtYgO5uzvXxdu
7UzpqKURfl0jja8Mz3nxjRqHKHo0ssdM3XcAUyGxx8iebE1NfAKMiW8TUtcYhllKBwjYLxfWsdKe
cIlY2M5sF+Un5C2eW8129ZTsuNo9d/kvpnmgdR7rJ047x/4y09NkoOMN+CAp4CYSEKHnQUuHI1jr
3IgdAcVSSNaGgbm69QCq04AcbcC2gLnHEs5bnjOzSjKJhQACPimoF43RPenvGkDj8Sp7QWP6Zsv5
sulXO2MtxbCFjQPJrsudSfSxAcLyiJ3p436f1COCfqqAIk8tZ2CZqfSY4N0DsvTIg9Ywpgc1m4p9
qnU2WJwjdUtHFg27+hwYA6DWWghOxEYcveNKl0uMhTqok7kSNNyJ4kNpHUvJnZ80a/IwD59/3Da2
Yn/up1UAHCNKyXjGljT65SYgQza1MylZKKcK2PucqlGO8S+aAC03BlYuGwuXj+R7Xvp5OToSie+H
YXAHNuP1l97jOdnpPA4YAGCAUUzAw3f7+9bsJMAuMRaDaBej7MLnMUMCKNrYsXBgA9rwVNuVmmhy
dFChHTA4YztgY6JB1Ev6TuqqZiMTIg5Afu4OTgI97kBSB9v1YjXO3PSWgK6blJyFCvodgSczFsg5
ZiTuvgEzpLgbQIsWu1o9l2jXSEnQ9xyAH3aPBs42y1TmTJiKOsl6E7+xsgOPOhSqvwOIFBtcA7j9
OwlsUt9u79iqf4/iMe4S/CiQKy6W9eybzUyO0UshQ4/U6VgZI5ryIzTDwO0d4l3xrJmnJAJMi+4O
8xYYsVgu/c9+AX0Q78yCdi3i3Cs0bqp8VLFf7/mJOgT/aW4GN+hfrfFvOcLzifms3MpsyDGLP1Z0
nxATTflPlH2ba+JOTbKzTUchzYO95elfPxO4JeBjMRA/LUTUgjXltOElhqZYmBIg10SOlfwqNhFM
t4QIbxEZ0a5i5Hgt1DBGD3T/0kT3MegS+5p5WRYU9FX7Zhl3OfxNigHGCk6otOEtLGHEpTFCdIiC
N4rrS1+HeJDc4Bj6mQY8hzoqoAXwfWR62DjE61QWIkHALiMHiM4LXO5LRV1oTHvwqfFQAfJOrnOH
VrqDQvwhLQDjwVzJmlwuf62ijbVd+3mXcpe/n10QOckHpgAALzTN01wfR2Wv2/vMckEReXuFa+eI
rCBYARQNYByyYLyKSiNSGZc8bAwbsVPSRa5kaNwt2niLSX7l5mFReOZhDpHyQSvn5aLqUeoiFXhQ
YRnXd2mrg3emcSz0BUkxnivOApZJJzWqDiiWfLm9zJVKCGTj5YKHg5j0CtqGR/PEx3TioR2bgPRl
cDQsOTGdoQAV2ai7I58qrzEzACs1Dd2VIzpsyDQ0B9DKsQNrq60cx5Uzgbds4bwCvRBCV+TBLjcj
grUzpkHmISgonyUzezJ7gOAk1kdlTIdSLwNr3HBfVjw8AHMho7d0NiJeFr1rQ+0j2g4VD/sm21lJ
4domO0xDiDS6yidvgGuNQoybq61XTuh+/KeAADC9+ACygAXiH8wnCokBrWuLFNUnKJvZwbNE+01C
TXgOE4K1jfO+9s0vRQmvIqYfqzlXBqy1mr+PYwZX4U880D+YAD7OVu3W2nCHOTdX1idg9xSnptdd
MHbAf5EBnxKMbAvrbu2ioVCEbsKFHxRbcXneXc5tnluUh/UcOzKIKlCJ7TdnFNeWDVKfJXsLRmDE
JJdScp3mY4dcTwj4w33DVKeR7d9MZ4HCm93GFq/YxqVRAwUYHCjgj4UHTueylo6dXYckknZcZq7c
k5C26A4BIYQ799JLVUmNW/L83kz828JXbD+oZQFGgwoDYPjFABxVh8qa7bIO7eilMj8ma8NDWdlH
5HiAAo5mbQCciu0vTJXLUZ67OpTR5aoCMXG+V+l9vDXavKIUF2IEI5DoXccMBWLqd83Tv3Qvt3dp
9ecVtGR9puJQLr/UhrqZtG7u5jqk2uDKdDfln4OB/0IIXE9Q3aHCjJbiSyGNbKWU8bEOZ8Az8CR1
M5Tghy1Ev5UDRxH3bymCsvEuBhhVBym1pzsbb+DqYf/922JVR0771sRJ1GFW9L5FJVfW/nD1B0n+
jVKdyRF9plhOOR0gZ24PBGwiEjqp7GzP8i3glbXX7rNZFJAWS0OgmLqXSgDTZZWKq0nR/ZAgwwwC
zL5wUsnXET5jynCZq9zD+0xe+36LBHZ9Pxcg8f9IF9SOpmU+cArp0zy6moYUI7rJSS95Magibivf
cuyCD2h8vutApkLKSAx+ylFPo6qhDZTPlH2NS3Qvqf0Y6Gg3oYPCnDpVZS9HbvDeVOJxd1v62v0C
0DK6Y0HnizaDZSPOvDRmWegAVMsmnOqnaKp92mfOPFUbUtbebYRIaOlauknR1CD4aJJSNp1qsibk
KUCBGO/9SgOxg2xh2h28C7GEmbNgSvjBNjsvmzXfMKTg9kpXGqfQ4gDacgstwfBXLOGWqxYQJxRS
N2FpxN8YuTciC8VPeTeBJNQkJwC4OKyUPGNQHdXCECJX+J00A/y2jv3eeFGSrWTM6t4jwIHLaoKk
lAiXKYlMUo1x14QpentAmthTQP3MGwmPZVVX6nUmRNj5GBSGmqT0TShJABHGuDOZHrT6B4mfFPmg
bDVPbS1JcBFIkqkSRc9eKLXM0YYOvCpmWKjV1qVZu59LbPi/rRPdMCpLGXzxJmwjRy9fbDI7rfpe
bpqh5fW63j2CXgDkikA5JLxuvcz0pMPMeIgoyWk7dRcnBx5Rp1H0HSDqbmvo+qL+FiYoaFpU4O6I
Iaw0/9j2t5i8omqtIXl8W8yawVmK1boGL2vpIL+88iMHY601Tm3IER/J5UdvvPdoFRzGvZy/qPEp
r95vC7y+/UuD5ZIoAdozaN7FcD7V+lk1YqmC187ddCi9xuAOt5MFuMCWg/wu6/jeAGeHgU6bbiMO
vVLJRbhpg1kJIAqYExKWS6Y4TjGExUJqv8KhywDI1PTqP91T5FVVbKWtwJ3Uroiu43Yy5Nk0kbDo
noBzfOhM34r2inTSaO8lW52rK0u6kCZ4EjSXOuDiGQx9eqESde6gpw5X560AZFUMgh17ma9Cv42w
c1ZpR1lkExZyCXkYazC5Sy1+HGNZchCDARhdy/RdgkAzKDBGslclFcMVtNP8egI8cS9xBymewUuW
avttlVr9NHSTLVH/MikjXBWbkyZP+oiFiavnv+r5xdyC1b+6+cuJnkkQ9niimBTTMkhoUsSTrPQ1
2EtqOEMj32ubU/HLVl7YmUtpov/WcSOuuwbSKEtQPpAPegYWKmK7eUXu5ap3amQX2yxxYB24pQS3
d/PKMxWkCweNubQZA7AWCw0pqpzEnCM3tdhWu8ByJuIa0bq18I0hd6kYy5meuRqAoaWkj7BGUuxn
FmRG0EsDQLIKlP62puqv07NYEp55kCyacDuQTLwUprEJdNJjzkNjMo91wn9Z9TMflB3L3Sz2akvZ
NdPQLjW3Hc/U8PZ+XqeJFukLXzyYuhHiiR0Y5YTph6LGhiZ64qjVH73TvUpvXxKjCsdMuu8t/ZgM
8RPa6jcuxtUb8ikZVYaFufsazW+uqkIx8piHLZf3bdn40o+6sfe9mh5ur3HtBqKpRgEpBPgnMBp3
ucFZUk90rpEIkWndeTEnmpuQGm0SqCZurOlaPXG3bDy+KJ9g1EGsTvTd1OsYo+chnensjhYH8ajZ
6hsL2pKiXS6oKiWjb1OTh6OKWUKHc+/2hq2oJNKTqLkRoDuh6eiz2+FM/yVKTbxvFg+TF2DGg4Ob
OAPdp/bjlGiuGfkj90kB4Kevt+V+0tBe3jvIhSIuSJagqbIESza2upUpTYpYplbRK5PA7TVGOEyp
DPKxnCoqqtFm5tI8H7wBKMcY5idTgMEIeAc9fUXjrgQckJo9aXoy7upSfpnLrA4m1lXuIA+FX0jc
55EMr0iXnyo9Tu7zydJ2FiLF3RDpvZ/WRHEkS9rCPly+/HpluOAouJrXvTPzzHui0QQpFK3eZXWy
UxXNr1oPLXGt17VAtVe7Laapayu27Ob/ZF7B8mvRYEPx4zqU3orX/Lv9tXMKxAwb/sSaMqIgD7hr
G4tDyHKpjAaGHHJSMKQ9Zhut7TI4INpZ5huxwWfGTtzAhWsHU8mAgSeilZTKuqLoxaiBRYCpJfo2
To2LbmwF3TZIHu1blnmmBDYBa/DkuHLjeH5I5sxpB8kl6Qfg8aErilNULkO2N6ePbDhgqmAvMf5+
W4mvzRqq1vBA4D6iLeaqazXXCobSflGHRf4MpIb4NdK+UOXxtpDrJx9C4JGgTEJAKS6SfKJdYZxt
goycGn3h7XyXpb3bJfoRGWfPTjZIMa/tJ4QBIRwd6Av4hNgJUUZ2OY95jfQcGJXVnAdyFsG12qIa
XhWDMiGGUpfij1gcSVpcULWR67BNSePNFUlR8NHkAEPyW0Req9uHOBa1dfRaImF3qbO1FtUoQyh1
2KjH1Ja9sQySgTo0fovbjc1bu/io+GAMmlhLIUZwJdKU8zibrDrsUulXgdawBSR3cOQarR0KMuUy
e5PBknJbPVaFoviDISR0TmNi7HJ91VzFGHFATsjq9lEEGJs+ddIXpXI1+DCFtc+7X7cFXvcSIVeC
l/W/EkFGcSlRnkGwKJUmFHKvHKjkvWmu7k9+7oHSwKvc0a2ddlfvtWfiRrvbstcO81y04BJGg9my
YpZwmFIkPRs2/5EorcdqYBdYxVDuilgjGwWuVZE2kmCLvUNOXFhtbfG4zJb8DM8P+o7ChLcKZjL2
cbFFIr7in8E3XLBhcQMREor6o6e2grIhkiLT+B3cQ7qb6b6aA07POCTE8Ln8ZNfGhhcjImfApEAo
SmXw/WBf4NJcniaLGxTR0qQJDcBefeev1ev0mj1GgB2xdqM7vauSZ/WH28e49o6geRLRLxxvC4n6
S5kkUVtNqXgTousCzTatp3TfbktYuxUmTCbwA5A6Rz/EpYSijqtSV8YGru5TVn4fm4BiNsJOdkqp
7UATAXa1rSTT2hOMOXF0MUEqPJtFkc4cKSLlmT7VGvJmsQFy8azq9soTtWvPirWvCBk3Dm5LnPAW
NzHtrCjSm1BuJicCK3PPVV/Oyx+1dq+oJ/DabDz+qwJRWl04iJb5bEEgjStL6pjSoCplzH5McgKv
jeT7vCyLwB7Gdle1qItFORi7bh/m2msBD3FJ1KC2iuBa2FnAGTcASsLONt3ikCaNH1tZ4VXxJjrD
mmYuQ1dgRIYDYoqdaH3Cx6mO0jakU8V3QEYB/H2MV+P2gtb8hnMpy1ecqYr2f6Sd13LcStKtnwgR
8OYW7UiCrilR7gYhswXvgYJ5+v+D5pz52SBOI7TP1UyEdjC7CllZWZkr11ImJZFh/jqbqe9GsXHQ
w5cgeEW4ZeObrRrikp2xXTPr9PzvbwyZrTCc1u/acy1XO1UK95p4jZTPrbNlaGXfICmCH5OBUdx/
mc1HpVMnrRWKs5rF00FOuvzR8oPkr4tmyOeAYkSGEUSW/WcU5c1y0MLow0Ck7Zk4/woG6DyF0VE2
wo0rdcXfKMrNQ3AqVC7Ucy93LUtRCdZKqz2LKHdpq7vsmgYL3HUnWLlYwAAzaYt+DM6wHCEVsu6P
TpR159AM1Z3U5fGu7JvfAnjlMWMIEfYYc4tWanVlFM7I3ubylLOIUUmcqQpSLdiMfrThk5Y9StGn
68tacTkuEXq7NpNcM5D/cvPG0mwGG8DbuZFphKW9oe6lEvxol1jGvgGStrGNK56nAfLguU831kD5
+dIe8CFnVEOjO+eNUx3H1pxu5bJQD9dXtfaxOEMGuK95DnkpP2P4k+WbSd9RJZp2il/fF5Ox016U
CjKOdIvMbO1NPtMjmTxrQWcyLXa5pgZanzCIjB7NJmV4DFtIrBypVs9MYyJRxnt2F1ZOD/2YpB5T
OVLvhGqKY50U6kagWls2PSkmnEl+OBKLk1DpMX1uK+7PSmvmJ10CF18rw95s84+qmTyNuPfGtbZS
lQdiRy2OUW9mytTl9JrTlE3j6JI4m1PE3QlCdV9D0X90yqSl11kWj12by3tyC+mR+6b0sgCCkF5m
aES2pGTj56zkERe/ZnH1SBSTBtGb4jy0crnXCr89CNNBAj5z8v2QaNFdB3M1SohNd6eIYAtZtHLn
gioimQBvzbDW8s51qjYqsizrzzkXrVXb36zmAcn73dT+nqrpJvQhDL3u6KsLfmNx/vc3IZZBTCew
QboyftycCvG1ek38+maepNLcwbofw8/X7a2EC8quTF9TFaTTu7xwCyYOct8shvPkfFfyc+/80XSj
HbixrpXIByEd1UdGdlZm7jRLGEYdO8M5nqpjB3MNXbm7XPlyfTUrVmjlwqYIpJza4PJda4O7q1O1
H8+1Yd1rErPGgZ4epLZxNuLRStTjttUpkcAgY/Hyu/xMct8GUy666RwLE/HCwmogHFOrjcTrvZUZ
auDgfdy6/O8iDlVmP1ZOZ4izFBUANGtX34KTvd8wLICn5fHKaAq1jMt1VGEgBYGPuzVjdXAqJiMs
K95J1ZaK+EpInQ2RAwErILeTF4YS0lKhDG1/lscHSQvvq6J4NKf4ZW70qW45fc3Df/z+Z9dvyWC9
d3C6VPM7BClsCmfL96Meparup81wHn5GzkGAeur2irZxCa5t4zxNNAtI8MGMxanVAhEqjNUO53qs
9pndMsRc7Fr793XvXnEHgPg0SZABgOVwqfPRCEm1gqCZznLwVJaoKE0/rht4H+5wBSZV+OuwsfHM
uPQGRYi4NvNAPtdW0R/KWNapoZjDM+i+fZ7JYl/CLXsYeiN7+XvDNlVNXm+g7rh4Lg1bjaGkyRTJ
QP1ttx6PsGmbkwRP5C4SYBPSduP4rnwv+r98KeZhqXQuJ8Ai2096XYTTuRo6V+5vzES4w3i6vqj3
lzfFKOCgDPry1ibCXi4qoURFTMimczHeZM2PUNN3ifw0l/SNYsPUipPPFFqkfZqFky/160e0G3rN
qScmNezjkIqXqTf3fWucLGm6vb6qFSfUEZWj/MwGmrq+SEmoB9d2JAv5jKKms7M6OdzXdVVu3Psr
H4j+HGPSnFke9e/mX61UARQ1yOcg63d5ep6CamfFG7s2u/NlnXtGwKvkOHRALHrZiw8U1VIL/bJ8
rrLDOD1Jib2LYNcO9ZOmiV2b+QdV/n5991Y+FCRnJod3xj1R2bk0CRbcTxJDks/dYITHuMmSnRT3
k5tAZdsmjrzxsVZckJaqzIMQBALhd3GufKXS9cqslHP2WBv5rrKsow+VHXimId9i+lizBRkPCu3z
c0BdgmIgtHXKxjeVM5X4KBr2zRDtoiR8KlWv/3B9F9/zxkD4AdmBArzcoZn7R0X8TZakjUoX12mj
nktESP3hIZSCQ9rXrlmnp1L+MTZIhgcQxChHPS8eUuEf5DA/TH1524XKYxmIo+w7n6//qJXg+fY3
6Qtv6gyGZ4uhVM9JGR2maD/4R8m8gzczs187vd04ICvFyrm8RnWNoiFfdzmjOYT2RFs3kc+SeZMG
metrH6M63Y/V0coeE+mVJi+Tmsfra1w5/FwPsKsS1GYU9nxs3+x7VNQ6NL+5cm6zMXR7SwyMzPpb
elYrnnRhZT5Eb6xYmS6sqYmV87yuwmByS2ndvJ52gTq6WrxB+LZmjYI6+6jy8oGY5NJaRskrTCqh
nBsFJfNyp/oPjAUPcE02Gx6ycvjndxWiphReyYIWu6caSSlDUKycIeo8GLFI3LCKhdvpQFjzdKuc
veKPlE5Uog10sTMz9+W6KqPPe2P0lbPTN3vfDB7h64iNj4r4pkjBg9Sfr7vGysOR/JGZIjSFmVwi
47q019dWkuYpqAmVglolPk7Fby1vdzlSu4ZxGArpaPs/uiK5dxLnXvjDacP+SjQnf6WQy2VLxry8
MmKrTU07qDh/2a8xDj6Pqn2sMvlWas270tLcERhSUmsnMqdjrMjf0XPfBaa4rYqzZUmv0TG8L1+Y
OL/+s97PeBJ22ZOZTQv1NL7/5bZ0qciqyqJ4ULT1XkuxqT/X9hkR4tT+GqNtSOnfplGV/NM5bsDo
RA1MO30V5eQ28j9Rr8MRWe59Z+uHrQUQfhggX6CFqEAvvxcy1EYAZIz94vEy1oEbB+M+jkrXsrrD
zBM/6hC8pOOp6fSNb7USRpCpA35DzkdavsQaKlWf6q3dq+euQ5VeSALKZk3a6nKsHTcGsiCFguxl
HiK93Pm+N5Qc+JJ61qtPQx/vDUTua6AA0Hgfrn/klRAy/32A4WDD3sfiJka53dYy9ZwjYplkwR60
C1Q/gRtBvlPa/8oaWbKN5LXDY/dyXVkwaPCd8OGy2LaOlcGzJmAU9jgMku0OlCx+S32Y/30mYZk8
PeA+BEBEqfnSaGSaSWhZowqo4pORW3vg0ciCP/RtdzLzrarPe4oPDg2fbE6f5/fOkopEr8OuDXxT
PSvSdCgg1u7gkDED7TDJ4x4ihZ1vljdm9BhE350yvuv6X6Vy02tQkIz9xgFe8yIKI1AT8P5m+HSx
24PZK9WkTurZHm+d5nMvPsbWhzG/ue5Bq1Z0ShYWQ/jcOIvtVcToWEMrqWc5Tp8VMTxodVacDLv9
4TvmFljlPead7Z0nm6Dcoy/xbmRrNOOsSIhY56yh8l2fkLUBEX40muRukJsPQfSSi5+lc2g7VMQc
+aCm7T7NLP6/tbeqrUnNlbVzQvX5NSFTGtAWF8eU9wM8vKl+LrKTMyANxTyHMXyEx+r6Hr8fHgEn
9tbQYpMD39DyFD37c6F7Ug9CJUj2YychZjnca3nyYbRf4DWp0SlQnQPgx09ZI22QHc9X/OLJAYkL
iQb3Mq+b5cMztsRUQqegn6fcDw5RW4gbP67lHfr1wfH6cleC7FtTS/CoUieRXMWDfs4K+V4a0o8J
LIrXTax9uXk2Bbwf8E3enYugoMOKmkW6fpbz1nhpVFq8WV9It8Mw9kd9uwuwZo9PSCWJVyHzpQt7
eYb+Yc/pOYsxP9RGuzet19LQ90G70eha27u3huYf8iYDVTo5iYkH7F0FQ0weub29kS6tOQJHHawk
EY4hgvkXvLFgd3UqBrUxzjSDqvDZsYBNbwCX1o45DYD/tbHYrnFsSkvOagMDw2Esd2Fz60iJp/jN
cZRvSxUs8VQ+Oum+G54dQ9x19VPZvfbysWbo5e895e1PWWyoPNoiykBPcEOmh0JtdvOmRk55cLZu
/dWN5ZIikdepYC1L9qPRjLwZ2dg0hQsshwjqVY036rJruS6F7JkinR4J3BSLkOWYVQUBgGWc/axN
UzdRGvLM0qC0adViX/hacK8q4kXomZWCdo9uNZ+RlKKzyntbD7fGDNaOBd0+DiH9t1no9dKXDCfX
ilz4xnnoTnnniebeeN102C0ji3sQ5jp/rKA7PBeq7lqT54fPqR/v/t33e7OYRcki6sDYycIxznVS
uln8TYcxUUgb2cyqk7wxsihiUUnLoqRmx8zspA43Ufgiko1n5VoIeftRFge86II8CGvWwV41+s/e
3qLQWfsgfHHo1+GKZlp5cZv5DhAb2anNc+j8rJUJOOjXSet4tf7+66NLI+VPeIc4k9LwpXf5kGWJ
SM+xE0Jd1eQ5KuKOXx+KJKrQVqm21rVW3JmrpfSiGPUEybfwAKts2jpGoebcy1/VJnF169HqvbzJ
H1MU4U3IcJPRfI7MU2y6mWHd2O2teEUWKuoO+RbJ88omO1Bw/8lOUHpZlgg7vZjiHM63s8/rLSte
pNpHuQitl61ZjxV3uTC0OF5d3dklWTfuYqK6EKFJVPx96oGjULQBQ0SlfdlCT2jgy5M/f0cVYeaY
sjqYM//lXzjLGyMLrzdmPGkYVOa5Rq7YurcyD+qU/q+nyyETBlNDxZauOIiUhRUYklvbLztzPr60
6V3OL9zlG1fWWssKEACvEJmOC5Du+dX35ooWZRsaI7WOc5XG431v+K8S/GV7UQH2stJchkPfgWaQ
11J5qwjbPiVTAtk4mKwtcc6VcMW7EhEJ0DCAsq3FEdRA646FSK2z4rxaBjJD5rHabJStGqEYDgRS
ngmM5n9/s9wx6oe+slqLkvstfE+a6vnN8997BwMH/zWxXEcXlIlSYMLRqLCFyveu/NKlzL4oGxD2
tWP71tDi04VKODBMU1lnrf6ahPZ+Eq9BdxbdVht4y84yD5B8pjq6DjvN7dQbH7JgfCyj6B8hbySk
Wx9nEeyN3E5F7RcWHs9o6+A2oe2G4e/rn2fDyDKPiPo+9ZWitM6xTKuZ8WMR3WX+/rqReUsuX0DU
PmkA8wCihYM7X7qZ1bW+mY4OZUnLkA/EPXVnJqN2qIvJ2UVMbYRREN6EdrtVD11EWO4TyiUzq4ZM
yx6OjcW1EpqpmuATqpeXVgJqzS+OQdhOG8tbt2LJvE8ITRRKLpcnJ43fWUmtek3fDic1Mn+bebQp
f7D4Uv9ZC6x5swXG4dWFfw9JPHWt3iHyUgPJces2np5zuR6fdeA7BxQf0anNjENQog9Q+k1yLxVp
78YD2MBwQNKLEK3dlcymughTbYFmlu+O//ProMSxKeA4AN0u98COhqmu1F71Qhhha0t11dA5JaZz
2yv5Pks938i+d1HnNYw52Ke8sqh7fqqzk41iaGFt5OqL2tyfHwPkAEdDiI5O7OLkSJIcZ/DYoWkU
7LrmuwMtUl2c/BHp62TD1Nq3h5ICIDc3LF2ZxbrDYDIaoPmK10hGdwOpFlQNyVBuPOv+jN+8OUF/
VkRdbJ55owgI69Tl9qZ5XWaiC3CxLFVviknVb3o/FDfGwPZGdi6/TIgg7gs7+Fz4fGcj7OUTxbFb
3U8+QjnQ3XZ2PzCNy7ij0lbVcVCnYFf3gjkC/rIb137jQkEj7e02VY9j70Mg5dP4t+1C2jvaZN4I
ozTcPK+UPUM/nwwtyW5Dofhsq/yl6Qb9mHRZePirwPFn2YCHYH0hM6S9uDi/lVUkop901av8OLzp
bNn39LJMfuph87XPhH1jKrW9H9Ja2wiLi4j1H8MWEyz0oucX1sKDwsTRijZwVG+SzGPtl495mB/L
pn6y5PFGC+D5S5WNBueaJ5FLUA9E+IwMZPE+kaKuHkI91byQirMbRHdDA03b9f1c5jd/1gUSlSIR
FQiFsaNLP6ogwCdUc893+WlsjtUp/NR8dZgA9F3Evn9saqou62/vDC5W1bay0qk+BmNtcIPsoPyQ
INH7bn5gxl/7HjwH2r7jlXzcWOf8Z5fnxaEnDT3bnDAuK7h6mVhKLSza0P6zCPfpE7RN90I/ommi
PBonZvWeGYHYMLr2BSE3IFElG1aIhZeb2+Q6xPk0DLym63Yg8uNoD6TGkD/DMjzcMecJe2bxKWZm
Po1/MzG3YX6+Zt6tmduHlwvwLhK6S/ND4SM81vuqJ0H7fspivf7sp5U17XSb9C4ryv4oZHM6TLbS
/KyDeVQzsIq7ItDtPWM9H3JJgTNNaZNDH+X1fVMPH67/wrUbjPlg9KE0AB7EscsfGDkSY6lSrHlK
aU8vRdZ0B1UDsFJoTL9eN7V2fv/X1LsBvmQcc0dLA82btIOJbIep3zqq73ZpcUtScK8WW99+Pjjv
Nv+/a2Mq7HJtPc/TWk1YW6eXd2MlHsZMPiJw8MiU4TFG/hRIhKKlwAPGXdhXuzr//i9WPLfQIUen
Prt86tGIBG2pRRqqsnbhtlXzpZTlvWpN30oTFG88Bac82iJfWbv2Ld7ISFeR9MJcv7iXTNkfpCBG
5jLS7pLBPvlGsNNH9dGZfrWfg3PVantteAis0qMnsZ/4IZXVn0YInLaP34p7cd65hGd+FniUFgmS
Hzh+Hk6IilpZdoyMj34jeVVk7qJDKh7HTnbVUr6Ty6fAvKmzFzP3nwP7G835jatjJfkg64Qsim/A
6P1yxiC0gibV9F7x/OKRL0348UEaISAU/JM40ZbfrRx6rDEIC+CHuOPM//7mBQcGrOpLf9aqhH/L
UIZjlo8nu0w+9yh3qD1FyHIftSlDdB1Ch55lBaD6gvNQN89R3h6kTan2tSsGKaX/gKvUudd0+YvE
aIZZISEoyfzLp0l9DXXf9dPsgyOygzGmbj3YgesEw22rfVZzZSMKru0+LHezAPGMjFvKNXSJacL2
QD4mJOmYjXdKkxxyZk/H/pOyRZw/JwGLM0+96v/aAht3uVKtLniy1NhSmrvxU5u7ve46n817s72j
CXz9eC9nBueLFBFgMmtr5j9gsPbSWMynt9MyUT1dEy69w52jBm746xzXHwspc3szeDDbcTe24a4W
h8o/j3q6u/4bVu43BgfJDxRIamfi0cufACFXnOidwwEL7HbPOKq/c6x0q4e1HEX/s1Jj5uygBDmn
KYt7TNWHSLaDiEebgDgn+EFT7aOGgrhZU4XUwrtiqD3h70Wb3MpUIpm/rbrpWJblb/ThTg4RKO2B
oQW/KJDvhim7VcrwJCr5Ng70jeP3/pqZkyiEQRjOA0u/xNukeklLImkQFq27nlfXoQpeo/bQoNbk
76PA+uf6B1gxRy5K/RcY2CwRtfABzYwlpR54ZIFmc3b96FRubdzUKG5EgqmQth65wPstvcWVHI5o
So/BIbry1ZeZqeKEOaGOAcc0cCi3/sj8cpc5e8eIH7ruzrQ+xdPPtPqlBwcl0zI3abfkvv4fv2CG
1jJv9J4fzUa+FbWeUfVQjY53zQSrbunfd7L/e7R/ZMrvUIo/BL1xa0nNP36kcs/nOzGIjTP4/rzP
+zBPM4CGhe52Ph9vYu0QpnnAIILqma/UoA+wYqhjduxiddc5xk2VnMet989KML00uQgxsDIEmch4
ABlS1+2jRAPqN03ai9rG/cEerWyvo+v2q9G77FinWgqCNbJdZkblm+uu9/5yvfwhi3umiG0zIqir
niPFEnDjsHoenSk96rWQz9dNrQQAbFm8cuZMkc7vYtGmhLBzAVDEq0P9GOs6VM569Cl29rAMQ0f/
FDlnQ4M1ZTiUfrEzC5hS3OlTa0Kd8pQNR3v4ac1aIjvGgXnwu4W9KRj4/ta9/IWL3QiCMGnrVkXg
t/B/6YhyBu1RcwTa1C58AHdl+gHk0DGSP6MlmGX3pH+B8hjxzuqUw/XNWkK6iJaXP2Vx3U41eKGJ
zfQ6a2d9EONRkXdoKfeC6etdhsBXvFGWXHIR/MeiMwOD/gyGaovPE5ap0wIFVD1Za2Bt6p/M3p36
+7q03dhQblX7VxXD0VucwLyjIn2slY9jVJ3a0CItPY6B1yU7O9j4VUtumz+/iowLQOdchaFrcnk4
K7WsCoYeNR5fIv2ojlFzyAOBGto4PdS+Jj1NRhy5LeQYL7FoHAJYLh+CVoE2jX4tJCBfKVPC7gEV
464qwnQfOba4CZ3mO/+R5/BsfgYi+0VpreSupRVwLhI1Yy4u7fYDULSdPmXjrega5V8EHVBI6Ngy
6Qvl8uI2nK98UzAFMpdAeuFSHxzPheJA6K0X0q6wzWfNCdDZLWTFcZm42hJAXLtzYCPFNg9bSqgL
/5qFH1Rtwr4p9H1V70LNdO0ycsMcSUz0Vp0s2EjhliIQ86dkqGaeCOdzUoxY5BmmJVl+Feaal5ld
5+ZCrj8Mwi72XZSGPwGijfeaLtChipokvzEKWL7LSbsPEqW+UdNoZDYhcL73ZavsAjhq/3EgdHLz
tArvpcrXNs7fSiTg6qdqg2oFvrPkFEQpPo0rRWieHEynSlcF+N5OBV2RdDs18vu/LjcyQ4B3Q08M
uyBZ9qWX54NQ4q4VYJnaLypcf0X19+5GwEBwGxKHGXOz+NwiCmo9SHvd8/PGjYtqX9lIStB1i/wd
9Ac3aeJuQaTnP3mZRs9SI/NI3azLB8rnck1FVgirbGPdm6DouMk0OX5Iu1pDFNZWdnIXxwfafuXx
7+MmV7nKgKdF8ZYewaVVkyDW6mlkePVUfDED/bbSwo9+5NxMXfdUCS8IhlMzRXe6vwU0WjlRvFNl
asawZHCkF+49OLlTGcLWPadWndtWR9IlZkYbWMxgHqNEgpkVCdV/api2Nj7uHAMXOz1fqwyHzJh3
nsqXa/Yts7N9Xqweeptuggx9WH2qx43r+/0rASIjXilwjM3VzD/6SG+yJLtUKETRx/CSWkI/boTR
z5Gqrem7tU3U0C6F/R+ngSrmcilDJhVxPBqGJ7fC63VtZ4XfB/82DMJDOfqUaqcPGw4zb85y83hT
UlfjbQkKaJH9CUkxu7a0DW8I9sHL3GQh7sguBPjt6FbZrv72O9viDlg5GmRAjNjP03/zG+NyldwK
DRMmmek50WueQTVyiiZxGoNslyfDRo9hzRalS/BTsxQ5jfZLW4guBR1NJNOzOhS/TemgVMrOsaWT
lmewuHzZ2M753lps55/8jnEyitFMol6a65Smklo4t71WetCnO6M95NGpKDRYEhO6tvY9bXcQq7vr
Zt+7DW1IdhSVdYA6VIgvrdaVHdHg9y0v8/tDkCtiJwzeC44Jr/fQ700tA95UD1sw1PdnArMzMQNp
E8R7S97Cxgmngveq7ak16tGlEt/USRzcXl/bEkHNvXlpZRFYRklX5ULPIbCuwi9akLiTEr1wCPe+
XRy1xt9XUvXcf9aYm3JCr4HMT4S/RBwdyq3BjPe+xC8hplORgvSCmvjlNltSFUsyLPdeWcmHLHqg
5F2OnQt2gjbkxiedA/WlI13aWrRqfKephMld4eVh/DzZ4Fx886DBQJdOW0FnJdmebc3w1/neoO52
ua506PXKqJEkV+YtlUT0PUqaAR1KNCG7oE52eVGrd0FmItEHpcWDWSX95+tfec2VNNIwqltIkoLp
ufwJQ1KMvugb25NCYbty2/auVupb0xqrK52xJzAxcCNTero00/SBLk95Z3tB/GEoSzfMDDfVnrIq
Z0I3O8V+ReSzmR35eX15a1+Tog/FNOoN75VkVMbLujJgh4sqq8BXDMMZIuwHKxwg2zX7rWHJNXPM
FTJXwZw6JcNFFEqkxslFMtl/bkRJeurrb1HI40XZKqKsfba3hhZXrzNoxVhVIzrIWQls7xzbWxo8
WxYWX8yIorEDM2Qjf+apzqdxi6FnLXTSVoJqiJ4oIITZ/pt7fej6Wpda2fYGaXL9X+LcPWkTxJBH
wNjXfeB9nWUmgppx+zgC197io+RZYmRDJ9meU3z1c5dMugv26XjYIYjXGxuwobVtw8XJxIieNJoX
4SOyazaNKTIvS/x2pxd+vSuVaoti5X3mNTMU6uS5ENrNjE2Xm4cmB3IfdWN5ufRaMOI+IqibjhtL
2TKy2LcycXyYaVrLi9UQZnPZLZWH/28jS0fWunzG4bGSNNip5SMgun20BeBYWQmpFi9AvI0X/RLu
4Cg83dUxlL0xCm5AKHlRlewqvd5wtBWX/sPRzoQPT553qWqtMi8WSZnsmVG0B1v7VAb3ib6vU/3z
lKKI3gwbeMyVcAPzH9N30FzNMP1F1jrmUzYRsWWvtE6m8dHaFdqsmrJRC1nbvXkm0qR4Buv08mmT
y8HQjdkke+TO4saO0n0i5dYRfJx7/aCuGQL2AvEK85dU7BbXoRVIstyq7F9sFN9qSOHz0HkWdX/6
F2Zmok103eaHyyLy0PA01cLHjJbASW49hPGHzni9bmPNFbh3IDqDbY8H/cJGWCYIPDiN7GVV66J+
kgtxEOU/Iv88M3tsLGglPSKwIT4yc0CSIi3cIOdRZNMHlb3gsfUf2qrYV6ZJse5uS/FgJbhB3kd3
cA471FNmf3wTs2M1mGSGZGVPMn/o/u+++OtyBGzBb/7+vNA3f79R1EQPe/7+ND7axfd/9/fJs+aC
EGn7svilDUqcmhXIys6uGoJmnLiJU99c//RrXkx9a+YuZ9gPOb3LRVRGFtYl08HIXfyTohY4gN5Q
8o28ZvWTvzGyiM2+oUjAeVRWIqKD44sn/Dgwwu+a/K3otypoa2Hm7YoWMVptgiARrSx7rWhOmvo9
h/EkMZO9IW048tqpIUQz1m7MYh72wr+00dQhQ8IQUPzC9ZtPw/SiY9I8Zlu1i1VXJspwK1DclZf0
D34b8HBtHGJ1Q0dwck3kb6/7wdquGbD0QdzIS4362qUf6EavIEKOM+dZ9l1t9Rd5rO7QqEyDLWz3
qiUiNLVNwEnEgEtLoWRMVkjj0zO1Y6a7RsVz1C02tXzXvs4cnWnHQ8NFY+rSjA12LszIfDyDMfPu
sVUOEjViRSB2BGa936LNXztHdMPBfvK2hvpyEdVKiD8KjRKCZ/nSU0ynmv+GiZGv17/Scg5rfuXO
gF5uG1JD8AWLSJ3FwIgMK5o7/NVDHkA8khgjerv2sTXuTKdz2yhwlbp7aYvgfkDyblP5cW1fkelz
4JEBWUTR93JffTVwolpJFG9sW1fvPhX2s5NgajzV5r5Iz9cXvGVt4SyTWZoQyGQgTLPQrfXy0AQy
4w8WIpDHSRoPVattySysBStKMtCEz5UZoGyXC5TzJK2V1iBN8U96hNxkL06q8w/0KzuhDz/+fn0w
V/Kg/kOXuiTTZl41EXoChKgv+YyD43XUYOyZl6BywWC6BqD06xZXlzdTgM5wdABTi5TfjANNGQoc
FeJUV80SmDgqV8tuqDqTZG6hJtaOBZBdIiQXJdns4vvZZjzRKmwUr4xeSvMOqhFji85kpU1MOvHG
xuKkZ1NUOEZCn2og8wfvxfHT4SL72CvKftRVhLFu6IeJ6Gfb/Yu9nHM/8hkDmZPlDc2N2qlNXytz
GQ9tPviBf/aooEKsRbp5vP7d1nYS4n8GCKgOzA/DS7dUQqF1Y4AtBLaRxjE+IRS+a5u/5Mf7E2CA
OlAcVCE2epc0zfN3Y6J0NP2Ks9a58DWhzrFFdrV2BeAMdCpBNVMQnH30TeZEHbKSSEQVr4flqk9O
gTS6tf08DRtvwpVrE7HAmbuLYjyUBgtfz1Hak/T5LTBAtuYOtOtu1KLZompdWc0cJuZiERUjRjwu
VzPpyjgU6ER4dpcNh0DTm4M2KS7knPvALqWNiLjiB7xtKC6ijDqzLC+8vegLQwt7cik9/hBbD1Pz
Uk6nv3Y1TMxkjwRB2gyLQ+vzYOr8jhs6BU42E+I95GMjoIBtNr7P+lr+19BiLQPqVWXFYj2z/N1F
XhmeR2MjSV81QSdmLhrqpLeLC7Ol561G81rGKYfk8477y823NmzVz2C8g3iF9gEYnUsPyKRIisI+
VDxN8duHjBm6W7qmn69/lVU345lOx4AwwDzRpZGe+RYjUUrFS6Gk2pe+AZOabvg37RQ2vyIHaO11
e2txdc42bcZ6/jyiFganxumNossVT56q7rZHOHGvG1W8o9QjUyuSwoMVZcZJSSocXcSMVShquUfM
agsBtbbyud4sUxmD3mbp8q0TkfNIMSlHEbuB+tA4/ieRI8nSvWwseU5eFuV0ng7I6ICeBFdqLJIb
tUffNB8rxZuO9f3U3LXIXqbuKflIyrgl3jGHhXe25pfp3NQGT7LwzIHWgbB6bIH8co3yxh9JMBLF
tcryqOuv11e2kkfNiALQiwxOqzRgL52nDPoRohO+ZZF5We5JNpBc89vUlXtb+9RtcT2sW6O5RXRX
wQbO//4mviu0rKuwZmk1N3B2GOhI7vRfVb1XTPf6utZcg0vqv5YWJ69tY4J/hiUxKyv9KLNvvdHv
zPxfRJE3ZpZJb9o7USz1JE2N/VmY9U4Ov2fORmCff+rSH97aWETdYOj7pBGzP7j2qShPnXV4bKdd
96tPN1az5nmknGjdMt7OoVp8HsR9KgE3CqmEVqp7u5nyg25F9S0parfLszJ4mtpw65Z8tzwwkmSb
YGfB0tAPXLh7E8WyFYOB8NRpclU/uO0D8aXtjoPj3Aq9dKPpV5+En667x7voT5lpDsvkGEDmAOlf
OqJcR7qohSp5UlY8SdVtLGcvjtFsMB+87xfNZsDCzsiR+cG5fDKkZSY56IN5aVbtFeej+UtH2JM5
KUbvgmMXVbdDvlFMXVkZVwGNXAaWGKtZvtchk2aoQZfDe9i33Lg5tWJynX7DJbeMLG6AkeAvqkQN
7xGHCaMD7EGa/eWvv9DFOhZb5/tC1TIDE6HZuCZVOk5wuZFmvLue54fym71auJ5UOTzq+jG8N+/y
Y/3XdwZ/HVDJrBxNPkYT5dLHRJTy5y2+RJ8/UtN3jc+O9TUdjsFw1xa/g2zc2eLv3ZpHAAAlelGU
GpaDJ5UJ1VCbTeH92IN+dmqXCd/dIDbCxLvYOi+MutI8V8IPlxextQ9CWkGtGd6TY+8kOQHz0bhK
djeK39d94F08ujS0fEbJuW1KjQpHtoh9Hr+fs+jeN08MHu7kLYTXe4+mEjTTl1N4Yk3vLl3Ybwuz
NrL7iGNT0cFL4az769uCP/zWyPwj3lx/otEpkEwYkUL/TnawIDXHLPvrw4kVpmHntBYyqmVjwB8h
1BSxnt1P9nd9aCANvsu3BuTfoyrmpbwxslhKK8KEcqGW3Vswk4ZZfxCZta/L5Av8Rg9OnClu79eu
2qF/O4JC1GpGDMvqHpzibqhLhpG2yhdrH9Cc37+6Npdcl5XQMGyLQeRRdO/AXmlYtKlO1dZI+4aN
JbGtPo16DKNCdD8432rZ2c1nuOq26tRbVhb3vZ6ETtHUrKQ2X40G6h/lQ6duyeRsGVlE8D5vxjKa
jTjBSySXOwV1CyMKNgLskvMT7CJFcKASYHw4XNQGLz2+USOYcjM5u28E5FB2eDP6gfs/pH1Zb9w4
0/UvEqB9uZVavdjyIjvO4hshzjjaKFELtf7699Az35MWW2jB+eYiGCBAqkkVi8WqU+fkugvAhN3l
d3JX+bSjLpgBAoV+S813jTT7vi2A14aqMHmH8xzlVj+pYOOcm08yGvJfBwYOgEYAQMLDVvyejpwM
FXBcNKj0FtBhiHbsO8UsvJQVrT9pXXq4Hs8u75ulPeHLWnkVK7mV0KAG/EifQUa7pcG3ZUH4rDnp
khm6njQYcxAEme/p1nvhMltbLkG4lns5mhLDwBLQz+w7kPNksCO9K+C5oeYOZVHfHDcu0q01Cbd0
m+d4UlaEBho1oEAHcWB547usHIaFH/C/P4vLzkAb2kUZDTrlAInL29m4gdr6BpJw1YiF5yPnmoXQ
kvBpJiNNYjJWNJjQU/HQuP3eV4ghUdm8f97L+P2PJzoOHLrqy9WA7JBiwLWmQZHMRomZ+VS/x3TY
FhjqMgvASwGpDVqEoPOFoaUZKOZGg4TR4aB40iCZa38fWsxaDhsRZM0KkgzQHHD6ZjBTL620jDhd
iqwmyCW/qOSwpvJvvT0Bs74FRllxM3wZjM1ZyNlsYHWXlsoBg8i9WdLAmUt6G0EKa++k7dfr32bF
CXi7E1TD6CAAXCN8GxkTIpVe6DTI5Lg9jUoTv0lg5HUZyndbIX5t685tCVs32LmK0jBspfOLXDcn
w/gx4k7WS2WrIHRRHcGjERVbXoZBVoj23XLrWD+hctKbOKGWtCfICLw57w5V03iaRna9XHi0jh9I
Yp5a9nh9Q1fi0cK0sKEoKhWcGQKnCl1xF76v7ghS0YT6jPzjZCClkkjQpSDOvW53dXOhwIVBdSSL
IPleLlnJo1bJG0qD1h3tkMjgIDpuqlOuessfI+IrFQQR4BLpcZLlwd5F1UuXgeyotKCocn0xa66P
UgnK+hgNRn1f2ETgRMH81k3wSgY5Xw3k/buJ1FscqZfZPC+hgTyEj4Zw9fXllql2Y+R6FFfIntAX
lIrb0erudcv6lWKs1XV0deP1vbp7GAaBP0K5CgxBS3sa7fQSIiE0sFNa+vk0U1+CZMeeypu8k2sb
CE0y3oQxQUMjxsI27wyz0fIqcOro0Kotxl4jowNG5vp3WlsRYEUIHoCgYkZCdLpOKfALaBW09iP4
BncJXkJtsUWKvLIYFA849As4KcR34TuxlNizVrMq0OUDOD9h4S/yLhRGkBJCIwOULuJVmLBMgip5
Xwd5Wj3alNzSZH7X1eTdKLcUFC63DMwaGKLBywCkJ+jeLp2gI0VeKhA3DLLsp0S/4VWgW+Fnv8rS
hHARsqIbup5mRYBm3wjNYwxZKOXLdRuXYQ42MO+AQi2ApnCB5TKgLhn1DciqA9LXp8i8rZOXeriz
4yeNHGTw08gbnnZ5Vpf2hG0zI+i5ySrsOahXyHeTl5cgUj3Jzu76utY+D7IhSPagpo5SDP/7s8xL
zfEfKvhFULWOW8bmLUnvdJAzfNYK0iFIkqAeBiYYGFpasTMam1I5FsE46v44gY223G0Wky4/EYxA
oMcB1QbGQMVScF0jeNYmHvdDPXt0tFx9wKxB/ztNRg/DlvTQUrKxrstLaGlSiNtsUpnVgVo3yAzJ
U4avFlB6cIhNxtvLrwQ7oMxEqRTlHgzBLfcPwKLUHGUVdgbdLzAh5YBpYBNDu7IaIA+4nQ+aigu+
4gqXUG5aRaBWxLMiBa+yAkUD+XnzU/Hvvaio8yh9ZkmIo9NcyBUzYMnpvqXjnTNssQ5dGgAiC7ph
SA7QjwMUc7lhqi0pKChN0W1dHMscJNPpFjzvcrP4OBIHfyL3AvhTuNzyMtGUqqXOrdQ1fi59jYsZ
w93lTalWG6Hgks2GY7EAXgJ3CwaS8PxbLmaalarRtDoCjOKfku0c+SsaHnvIkLoQoZFm9dhLNxh2
luzprUIloWJB3Jw0lvrG1gDNpR9ycnUUN4HiBTRdnNSrMqebtX4G3dlkD0Fl9QRKRmgTNI5cHK+H
jEtAFV5OcETg99CsMiESsFx10mTAvuYsQi+EHSr7nSWZrzF6HCX1ZizIo1nKqOS3bk/e0mp+oWr2
6fciR4zxHgXo1QEjFkLwAKq1Fq8c6bbS+p2qBWn8UkLK6foyL+M8lokBcaRHuPPRBVyucqSOpg2M
qxDq0d6B2ByiYzw5+yl57bSf122tfD04KhohHD9wqT9oG02tVX2cBuBsfCPWK8ST8tL4et3IyslD
AMFViTsSo5wiyWHdFiyvjTwO0rHudjPIzsB5om/hVFa2DWpbuI/RxYRriLFeJV09TyhOA213B1aW
e629z/RQKfobfXq7viCePSxjFV696HCDYF3B1KOoCaEWCchrIgmFOrvfFSCuR3E60to9mEU9Uv2u
zY3i/uVXgj0M1fOvxHndhWymS5Ayz4mTBhCFPurJHBiVdOuASOP6ssQd5NVplCcwtc3JufC/S8dL
9XG20rxDkTMt+tu6lWq0kIpyL1MJuTN4Q70Mu/HJI4XROxReMGEA3A/+1ITiVZHFRMcrNAva8kZS
XnhLif2+vi7R/2ACs7CY0QJRMjAy4lXZRqlVqnmaB4mF8Rw6xs+xUWyNaV9uHoTUOdcQHB0kwmKb
Jx3szMknlgcRIGw2sBWRpfpTP/yiYCzMhi1vF12CrwmAItCHASwF7RshSKS9VsoGeNwCq0WJNnNR
vEytH9f3TcyePmzYqB+gpgRXF3tKVmenWeOMeVCWlQcVRxfAeehtgsvAHbsvReP2zevnLWKyF3cJ
0k483gRnmAs1LSo7J0HVKL+aLp0fM6oPDzYC+65um+yUROZ0GOuhPeR1u8XIJR5rvl7cKmB0QvkC
jCGC/8sjSGobSNwEugP+iozZx6ozvkMKatcN40GbbzaTnrUdBkbQ5HsMEJeomTo2TE9VUI0F9qy2
O0z8al40sL0u15ZLpDzzDKJRv2jkCGIDfbtx3i+yCCwY73BgkxHGUMsT0bNSJ3X2aJAymDsbyWpa
NwdInfaenqCqa7VDdZBZVfu5WnVHpXIy8GKOmXMqx7HT3NIsJx+a6P0TZRG5TYuGPpFCTjeKSSuH
F/P5IEhHissxYULs62MjygpISgUjsXKfSHrzSgyp2ahLXPA2fWwFwG34CqDxUcVJJNCIlbZS2ySI
Xmj1O3sA3pEezC8gYozuctWrRq9616TjdXdfiRkcVs+FlfCox0jHMuA6WmSrs4LPXym/m/49uVel
m+I5e7luZcWtF1aEtFTvLFqg30OCvLyNkRzllatYX8CHVRvElbdofkzhbvx3I/+sSTjChsasuMo0
EkCXfvQGtYnBXQMu7Yhosx+3LN5dX91KIARWBPQfXBYez1Xh0PZxnnP+HxJMFGyNuO9vCn3j+l37
TFgWmJ44bwr+teVnMkjetThBJKBdlXiGnDl3eBQlEAgn1iNVyexWzVamufbRAFJBMERajeq3YBMV
pJTlBfyxix4n33FnV5l/JfXv7P369q1EIBUxgCdMKDNi/Gq5tslOatlq8AyHfjOGSuNYfzJNs72r
orL2p0EyTii3JvcTld6Amt1qja1aBxcnhhNwDEyRP0fKMZ0OWpwiqMd8n5Bhcqv6h1UDn934vdQ8
z23yWuYbHrPmoUiuUX90UCpDQr9c8qAPNXCsJioPUe7y3ueYhFHzvCWEt+aYuKHRi0EyD5pN/vdn
ZZQyNZg1NDBD2E0LMhotvqu2Wv5rnonRyY9GLiYORVjBoBndMMncRupaR4AXRsWzGnegG4HqY1Tl
POPlpxrKYICC8XcJ0NPLxaR9rA9OUZXBVD2maYqykOyBgjtrQ0125RJ8e3RfdMAUvDYRc6XqgTq7
SHL8xozdIcvcJNIAsmYWBqPTh3b4riTHqE9uqnnrZby26+c/lO/Y2a53FX5+n7VloIFEFw1rd9b2
c17410/NpQvhMQPeJ4tPRgHbIJwauaunYcqBE1P7l/xJw5t7VsgR1ORb19LlclCc5ySWwLiC7UQM
A6zugGas5DIYCwqppt6VlLe6y1x5ptAu7T0DssIlS16U/NmWJbzzc6BTIdPZGftE+uf6olfSBdsB
ugijRBoqxBdi9RBsna3JjIDHafZd6Uf3xDmw+Z+0uEGCsE/YcCxmFZzZ2q09/lMZaVhrjTeZv4d0
f/2XXEAYcGwXv0TY/9msK0mV8EtMa6dPPhBPD53f7/s9OSWP9k1/0p5o7+a925J9Re/n3N3UAL/A
EYq/QbhWKw14EHBTo8S8+z74iZf7bved3W8dvQ+QzPLoLdcqXKhpwySpYA5ipN/5yr4P2En3lS/O
nt7grrvJw/Rmvu1v2dHyH8Eeu5cOYA0+4Gwd4offx+K5cTEWdewPdFf6YBveWxvh9PKmwu/Dewdn
gb/fTCHO1WOT1SBCLYM6z5t9rs04/7bVeArpuoNsZJrfJmbklyXbegOtnEJY5jUSFW8GKNksz7o2
k8xUs6wM8llyWXWoOyjCui07Xfe2NTNgb8JkMp/7QsFzaaaQkBbIY10GsgE1tbGDaoRO7xqSeOlW
OWZtL00uZgWoL8ZgPggNz6KXg1huQ6ccx70BWZ8BsGjXB1p0CyY14HHqH8aWDthK3ouZKGRPnCsX
swriNMRskwkQqqQMSH0y5HovDe8WFpa9RhhijxQMlBOwxMaBAQXTjeH/i5kFfoLObIsVGwxDRgyo
2DJo5l9OcmgVFLDjH6RmO0hcQ/i4G3/Rfh93Gy+KTbtC9IjmKsszCrvQjdxbgwNVskeanJQbB35E
NW/uwP84vVJog1z3pLVobmMmgpe5dSxdyDwylc5lPzU4KlKTeUleZmjEo2aktHSrx7bmSWjPchoU
pFYXUp6JPg0YmNTLIDVA8+skiXTowJLjWtEw76nDMj8zrQ50hGW9cVw+UkYxYJ2ZFoV6hqKeCXDs
ZRCbhqfl+otjvrJhrzjZvtfZSWGmCwjiDJ7NZwd6ubU/jDep+m1syF1kNoeJPaJQf1QfzRqvzOsf
4KKCzF3u/LcJn97SU80C7wg+vXOjWrtWOcYJxlQ4l9c+nh4df8SbBdeX4103/NE0u9wUPtkGGgoI
ugiGB5PVTl1iU4onFFJOD+BAj76a1HtvXMVDZcVlHvFVt3K//YDaiZfvMGbiVV66j/f8//Md8ik/
8q//qsv0G7uB2hGq6RwUbQiRjTXMhOTmgABaHrqUenR6mIs9JeUhcevMcZt5iybu8gRgUpB/BCBV
UfITu+XQchnVDuxtQUZmw7Wa+DZy5NiVkvp4fWmXQfvcEEr2y6CdNVqr6jkDrK+3b6Pc+haDzqvR
ba+RNzZRx7+0/LLcEocpc4JbDMAtLUGiaEAVBUANp0veUF3qvJ4UycYlu+K4SyuC/7Sd2SXM7IHs
gpScpDBPrd6duvbwovMmOruJ0fhKB3EDyYesQutWhr5Rm1v9dFzUDtzumOz6+IVnd5OhD7M08h21
nBcUahvlTlZfrn+0y6CFRWL2GPFKQwVBvGnT2m7LSB5oMIQWu6m9ynDnxIu+58lGHLh8Ny0N8W96
thZbrcvMAh4/YA7G4ndSdejNvfFFbjaO/aqdj/POK9xY0dLOlGt6nXUy9owZOE3flOzZaTsvbW5s
EOFe37xVjz+zxb/f2ZqSiNV2FcMWAzuQ5k9K4sW1v1kMuYwZ2LozM/xnnJnJukbSI3sEuMvyYhNy
2Hvgn2J/gMyxP6r762va2j/hNWfHdlMUk0IDM/1tJxkKk08E9T/J3CS62VqWcDVPXV6UFVEB6+oo
prnKu8waG1eFGKUKtHNf7qNJeZignPv/t0D+s852sx2gl0VMLLCZ9TsS6Ucr63fGcESNwrW0Ddzm
+hoRdC2Ie2PISvh0rTLGwE8bMDb+jtJ/DJW5RuHCGZUi9azHURk2XHL98/0xKHy+cgbsY6qxqYrx
lkVua9dee4r0B/Pp+i6uR0fQq/6/lQlfz+yRWiUgrguyNOi+GpL9ZWL+kL1OTX+Yh6ODvN3JuxPe
6RiR2vDRjzGUiwvgzLjwDcHPSxS8wasA0PXSTSuIwkpGjkp+A9ilG5vTd0uZ0KwABtPys9wBmaVW
p98i08x2ZpGVNzaTQPEpgcl7Y1v41XPxy0wwL+KVhCqCLnzwInZ6KRqAtivu09vakyxXeskfu2e1
cOetpHrVFp/Z5pJSACQIoc7QitZJJ1wPiX1I9e8adbVo9MzndvAYlHIhMGxXh79ZH746ZmRBGoM3
0/L0OAS3SGsgFjFIhht+5Hzv62fVPpjakzS8xPP7WG/cUHwV4o6C5Q3gapQOMT4mXMOVorRRXyDI
zlX5mDjOHVMm//qq1k4p+l/AdvCa8wV3xCATEBiWNnzZOjKEgaG4TbrBG+THIiJuwl5r/XMtWFBL
m0hLUd/DMx79RHFRswZqeFCPa2GjMy/JHqxcdYfx6/VlCXf7hxH0EDHQzCuJyIOX30rLRs2K9EYL
7eGn5YTz0AIFH+TRiWFOicobri9Env+sYYqEDxujPidEHrltasAMRi3M51RCBTL11Y60vp5au8oY
bmfWb1Tq+FE6c4x/DfJXHVoQqIKIIHJnHEFfC7h6OIx+1oWo+4LI/Qb0OxsZheCA/9nhfOqoDqDm
IUQ6LY4VQkE2FDaZ1nl41oPzPFa26vLrq/ljRQhpVTpAggDDnmECxUWjPSQKc8e4djfxZTwpudw2
DGAAUY2KorhtpC3qLAPeJdQl2SuggpFSw43MjYtvfTl/rKhL34vHGtRpDMvBYNR+yO8brYd8XON+
Fqjx39f5Y0hwcilBaZrqMATvc7vyCazltrWRh695AG+Q46QCygZby8XM04zOgoaD1I65fpsVaf+Q
6+ST9NMfK+F1KLgSql7ovi6tUKcbiDozPeycZzt+MGTaPzmRfKjU/jmWtNpN1XE8XQ8Ra4cW8GPg
TjkyGCK1S5taXXVZLztaWDaNbzfvkfQ0FymAjdMORZX9dWNrPnFuTIgQdjS2JKsk+IR6V6U/9OqU
NF60xWiytiRO2g8aTQCdgXNZLknqGZtNmuqhOmRfwZw/O5mnBoqZHJkqbVwca7a4DCimiyxICYuf
TCN12iEG6WHyJe1fTUBCY+2fgvV+toV1WXFBuB6wA3gOQv7iAiGsx5Nuj5kZxtHcnAYCYG1G8ubz
6+FRDnS06P8j1AmnFuTV4EaLc0h+l53q2r0R9krjUcAOXCnK3jAZ+f3TLoECr4XrAgyroIcRPpYx
66AezAorrHD6dpJaGJ5VQ4IgynPPmLZ0ilYcEGTV4IjjbOu8urx0DZYPLaUtrE3MSAqvj9tMQc0X
t7+HMon9ZnYy4CDXV8hXIIRbCFOh/IhLkZfrhbjedamGci9uKRDSaTEqnYUrlScw0t3TKHto4mbj
kK2EdxVRBIkML/dczG/V4Ed2itbQwkgBZT39WXDcNcafr69qdSfPrAjfrdTYXNdATYbqfNTALVJi
/HdA/2f+JG0xD4qL5Qjbl8ljjn6GqYWKPnf7QgEcCnxbqKnWm/K3K4cZYRedVmTUnNhJ8I5aGxLa
QQYuLCHUrc+hNKWPddzflhpxCbt3NCh6UbeGrAw0tm8n40EbdlLsYeJpLohn1PVW6ZSv7cJ1OGGG
zPFC2ofu89lLtVQ5CqmKtHBG0utAzowAxXmfmIc5CiuMo7j5EB8//13xmgCtAWpr4N0RvutYUzU3
i8oIiaa6llzu+/y5mN6Tdqt0suKmYNrB/BOSEA3Neh7vztbWlpMlM6kxw0m6t6VQT/3e3Hjor/jo
wgT/CWcmsnmqslZjZpjMc3qwS/OUy3m/izJiuIg2dOPlvRKh0a0HXxG2j4sUCVsXg08zU+0I9w5N
41tnqgpXKyO6EaHX9o2/vfAQQjdDtYXzYE/KmLI+N8KYoYgO+sW+QeMGHnrdD1bOAnAUHBvK5/rw
JFruXWsiiZ/60ggT3c/A1EnKxJ0lii7Cizxusbeu+DmMIb8GXpRDbYWdK8q+AyC1McLIQc80Zt7Q
71jzVk4vLUn2supq+dfry1u1yJ/NnC7UwljUcnmVA3IdncLiFKsvWpLkN12hvbQN0BLtCLFEi6TJ
qZ8kaTdTa9pdN86XIxxrEIdghAmUeDIA/IJfllMeRylEfUJT3xvRT20neXJ3HLqbjG3cBWsnAH1a
ACfwKTEnJyyzRpoUyRLDaZY0t1Bfxy5xSdR6+RY306q7oKNpI2pyvAr/IWdHzXSG0dTnyAglqMky
+Z1pP63miXXDfhg2Pt2aKY7L4AERChemEDicFrSkCFFmqLj5HfR1UPDYmsYScQb80kFQ+mND+ELM
tjKi5KUZ2pDMy4b6JQb5jtO807IA3iPxWgnyT3H0mKVbIX/tiwFVhJ4z8IMgTBLKKx0ke2PqzGZY
mCUq8Zq1U4fIM5jzYCvp7+t+KFbRPpZ5bkxwDxanzVxmE/S71IimBzkFWbNfGKQKrF5xfinzYB5T
LTVBYNvf9MVc3Ultl79OvWTvE8WeOzeCj8dem6vOt+u/bXUfMKYGERP8eTG8nyWDMow2McOopr8m
9qrG0HqLi9ci2lLfEVvT/+4CSrPo2aJcB9avpe9CrKT+95qgk+Ra805SdlGJOhCTPLBUJmB/7Wj7
zsZiryo/r69y7coAsR2agZg25rC1pWk9LSezSiMzHHL/QIaNq2JtD8//dSGZNzA0o5gE/zrGZabp
kHtkPpCX6yvgJ0GMZbiMgGjGxB/neFqugNlzO9lxYoU2vUe7zx1VtFk+//rG1uCw43mKaGnwiHAW
XIhBGCllaoVRcUuxlm6LaXBtozjTKkdZoZAqKhWk0xhbSl1bYZP4Ru9N8RHaGGm3Ua5a2yrcNFwo
0cDwqij9DRQXzdtpBEOIeUjSff28OZ+4GrfOTQiujMG3wh57mJCl+GDZ9Yk4qR8BZ55nvlqjGTvK
p7QZvKxSPl/uAZaeP4OBfcAhEvIFqHCgcMHjFo38BmKsSgs8h36jdv1fXJ5nhj624MwZHNJLed+p
iFlJC/VHTzECSUFBToJGF9iWHO1vvhpnhMTIEX+jCgvrtGaygcM3wwqdUdmh+xjUkHlTbrynVp3j
jxmxo62wWRuyGWaSxrIfilYZjuMw/mrT/HD9wK6FHHTEUerGswqDW0LIkRJQCqP4bIXAjLsFy7yh
IfvrJtaOE0cW4wWKpjLUgJbndZq1cWrmGDFBqjx1aL1ZDQsV5B5Q2vy0JbgbjizmVvBxHCFxnKox
kfCKMEMLw5jIt+fmFvipufyLbHhhR3CCiI0zeMexItKcLPvJzhK3g7qypYYTAD3X17TiCX9sAZIm
ZADO0EVDyR1OZpqrjkfJBuG5frxuZOUTAQ4EUAieuaC7EF8RQJ/1jpzhakCg0HdUKys3S2YACBuM
cjaq9Un5KX7Hgh8PmqTADSK1EUvoDlNszF2g8FKzX1QxgaN9vr6g1V07MyB8oSyeZznSYSBVfuTk
vgW6qNyS0FvdNNAPqChXIW8X9XnygsVtNZVWaABRZfyu5iCtwjbfyj75TxWuVOzVHzP8Z5xFOL3X
FKnpsBQCWVXfaGh+cAr0BEqqpF7bTj872hmn2qTOc0KqjXC3lg0Bk8j1aoGxBjWt4H4aEDXRXILL
xchaT+2nY9m7+vyCF6dra80xSdDJ/NkZ4A7YIosXO8ofTnJuWghNKgQI59SCaQ02FY3dNM18UJJ8
ZyFK/SrBvR9HH/zhx9IhD220Rfu6vnZVAS4TVULQ8Qs/YMgzWQXzqx2ygu67Mb6ZSHKDIojPpmDQ
o1vVTG6zqsrczKZPNP9+3YVXIrOOSwZZKErxl1PdNdHznuK2CdW+TV1C1NxLZXkr3V15fKIVCGYn
ZFO8UiEkU/NMCS3qxg6RGYLx/UdGyX7Qn7KMesCMD93v64tae2OgsQDsA3JEFV1I4WAamZlLYyTb
oRLvxvE5t3eU+sAaVnKE4Qlpx8xmN9tfpH58qWoIRie73tlqrPA1iScKzzlQXwAHyvd2eaKqtoO3
MhAS30GJPZKPPUjupB3Z6v2vmQH4E5pNH7NzIrQvB1DNiieU6KXB9AenP8Z4TnWxX5nmKVY38qC1
YIQhFDzqYRGsbcK+Wl1t5u2gmyG41Ia9XaIfSVrNOBVqZe5V+7O8kh+HEzUEwO1Qw0ZBSPCbaZJi
KU81PEwhbwKh8UpzUdPvPZqpG+n+6so41QLq1xxHIUQguyfUcHqsbOrZkbVW6TUgWnDrOEhSc+Me
FKca/lvWH2PCkTcYFHJaZLThqKRG5g4Q+ztWBrWBJ2kiupvluQd+RW93WpxSXxkL31Az4CyY+oVG
VAZVPp32g5ao3hBZyqPdAls7klq7wauoPEpTlgVauiULsBYp+NbwoZsPAc6lPydo2MpNYZpggZte
oHoPfmhz4x5YN4HEis+AIvEVcrg8qcsJMkhmmBLzvVLq10metojZ1s4LR0FgSBx8KqjnLJehxnk7
Qn8Aew8iQBIpB7vrbkcbUuJKc2BqsoF9X/MrzjWHRwoaaHjuLc1NJC9SCrWNcC4G5c7QCJp1kzMc
QLg0vZFx7MProW/VnoLhDKB8cZWKpNdON7Vm7yA5TTTTNaZ5n7bUbSnY+cv9dUtrHwsujHF7LAwp
neDEhQQF7IHyNLi30j3UFXpwXtafpHr7OCo8qdf47KyJtsRy/6rWmKhZ8RSrHA65Sk+sV725wiuM
OKe/WNCZKX6JnaVANuRKldFEG1JiKAWnUcpcuzA/KVD474JsFRzhfPzcEJ+SKodbxElqhU5UqaD7
Zy30A+d+b0Mpc+MLraWnyHv/Z0r4QsNAMDQL/edQpuZhKEzbxaA9dcm4KUTOo6N41wHMC3A5ikrA
q/BfcrZ1UcXGHLpreHyVj1n/W7LYzsRAybhPLcyp0dx30sc4+ovLCIRPnFiMqyiIr9dJcQBdz2DU
qDAh1emPjU0f9US/Ncz26S9cA9kEcgkM0aIttlxfUkfD1BPUamSd3GsJWoLy1vjX2sHF6xjJL8gr
TFxCSxOgvDahhDNaYV+z0+A0+yyKv1aJHOiG/HZ9NWsh8MyUmG0TkFPWUKW2wlxvbwzw1Grf1K7e
O+BpzIoNW2vLAh4aUwd8rBozKstlIU/oUaSxrXCgfgypwcJzegz3H66vaMuK4OmzIg8ZSrpWqGCy
Yn6qxh3q1xXdOE9rVsCfCJ/DWxk1Tv73Z16ONSqVUiDiqR1GI9MbNdbcaQTcEtisT68HTSlEPDyS
+atPsBTbM0is+HuowtyOh0fXd6VKfZsVhWs7mH67bm3FH/j4EKgpkP1YoMxarityYm3SmsQJxzY9
lLODDARf05sk6o15915oEdnIgFbuDgOEVvB2kBxytoelxRJovroD/1FomOS9ToFKLkZpaxSH/2wh
KBm4A+FzyFcxaSA4RVuAUX4YmBM2nacStznBM6IW80hu9Uor//oersRaYOWRVKB7zbnZ+YrPfKNQ
kFXYaeeESoZRZxkyp25rpl8q3dhw9bWPhUIatOmg0woFWuFARU5Sz4nWOGGmvINJx2mkvQljhKqe
pX37i0Vxem7+iMGfghsiJa8mp5mcMO6eAHIrlbt8qz69cqb4O+1/Jvhyz/Ytz5IUk0s99s3RPTRK
9nFSQtyq3KXDJ2dB+M3LH0P8/YK66oXSsTqmRT3UWE1vvfWZdkNfGtK4c/UTSeLG+V1zPeBU0F/G
lAvmaIT7goCO2+nRzQrBSJla0Ojy7zOgv93hGR2l699orX4AWsU/toTTO+V2E08gxA8V4hU38xsQ
nM5Tekp715dy3x437K19sD/mwLC3/GBDPFEqQbg2tEAf1d6qdTB+M+V/ri9qff/A24CYCmSYWMwF
g7PU2pPuhMPw2qZfFf2lcHZD27lO/IBpr924NR67dqoAPPmfQSEg9cZg2LE6O0CExa5tEl9Wvufz
I5WDvm43gt9aqDBBhMnDHy4SkYyH9rIyoU3moBMftsOXnj4ONdsI6WtfCak5P7TQpUUHYfmVZnOc
wCxCorBXBygHhwZYhSP9t6r+vP6h1tZicX4EQMxQFhDbS2VKWqa0cPQoYfkOYNLqyWnk4q5Uy8N1
S6srMsDxyTvwfEp7uaKYof0x6xH8Tvsq64pL0yfUVpK/6LzwAIEeAt7faDAKl0algwzckZsobKJd
bnhQ2iusL9dX8jHcLV5MFvqWqOii/Xp5VxRMV4gsRyFIlbI9drc92QprMbVYZh6rMa+skOwbFJsa
H7W02RusQbopqYXZzUKBju2k9BAwSOZDkWiyr/U5sFmaPN2pSTO6DNRXG3cbj1bi7+VADhSzbKD6
RbhkrVvTyCwnCtks30VN/FhKQRk9k74/GGhNTc6P6xu0dhjP7QkRLcqSmPZUikJA7J0Wspo+cA8/
4y1i2rXG5QdA5b91ibmpLGG/FCOKwsRQ/3EixXKtrNg1qJwA2uKmUH0zaLTPMObT6Ft1gbWDAwAa
b+6h+npxcOyZ5BgatJ0wHX5i5MWV2JtdbdU61s4M2M1gBm8KVFWEpMQaiK2lLIvCYrIImEIh6qnk
2g9W68xFA2uLkmXlu4HgDDSJAKRZYMjmP+fsLlcG1YlYgqBjGE9q+rvuen5KTUiwltmGS65cEHiN
cYwG3BH0PsIt5FQzUMEVkcJc6nY6zQ4J1GCUPph6rorh6XnkzXTrVl/5Zqh5QjcAKqnA9os5XlSC
Q4FUFj8HE9BhbiLF7pZTrtkALzfmWTiyG8tb7mHdSGMmTboUZoOKWdXCjUpIIeQb23dphUMFUTTm
mm8acv6llVipjXGs4Bgqzlec6K7m9K66NUjM3WsZN5ZWLmJpBPJvLY1Cs4Tmhk53yRZb+qWDcwto
+xog88O8v+BxkcxhiUMZhYQdB+17NCQ7CVKf/eP1gLS+XX/McMc/c+xukItISynOUSk1t6mjzzdK
VB5p6WxxrFweoeWChMQxHVs9BX1DFGJq2Gh3yc44OIdxS7pzzQoKrMADgu8RYG1h24q0RQLSqw4f
0Soi25PlvQVEVdZCxEHbyHZW8lMkwNClAKUarroLqpNGG1mhVBW8gIE56kGeQGakQyOt8CSyN/NH
on6JByhXOHQDHbJyz3LLXP8IZMJAeAqfDS+Xqq0MbCZt35TspQGVoQUKt2JfmQdVe5qTfVsDYZfa
D9Fj2exlycfgpDM+yEn+HaPPX8Clt7vuSJdhC78ImwFuOYAU0BZaOlIS9YaWosaPoa7Xsh/d1PR6
eoPLZ3xRO4xxb5hbOYBcZBejB1z5ASd9aQ7FxQaMfLi4Y4Kg2PRSsstopW/kmiung6fpUHkAlkmG
0u7SyiDJ8TwMLbZ5QrgCdWPL3HprqnBl5zCGgrsFuZ2BvEzYOQq+WmjdIuDP9bh3Wo/0XxOgdHFz
VtNumn4V1j/XP9VKdgAaINS3AdZVZDQvhWUp2qCzkjVSaNF2bPxaUhTiShiVyV17ZuOb2TcZZMxV
pfgioTHVeTXgu8xtW+Z8HsjAHRgc4Lz1xvlkljtstH0t2aUhgfTQQHO+rn+Oer81cCgyBOF9DCv8
QsDTGH3Ti5fd1I/ORDUs2CYYiC9OulXuMLjqapPtOWxPSr9ld7aWP2BkYd9JmNf6PHgQP4EjeQHr
AhOa+DSCQJ35f6Rd127kurL9IgHK4VWhk9uh5bHH4xfBkySKylT++rvkfc6dbrZuE7Mv9p4ADOAS
ySJZrFq1VozCrnQa1EPafIVCl828v2Uy/2egZ1a46ayaiRqRY0knqXqDmIc2FUgabm+7z3XMjJEs
mSAEKKhY8Zuik9oG+kI0DpE6Idl2aw0vaelPz+XftzwiOYO2SrC7AOWHCsmlb8xDpwyzksdhGm8B
HvZpde/MqdfRb7cHtLbLz+1wd4bFzI61ZhaHSQrg21Qf6qV3rxLcFis308VouCObzDWLDRPTlqYz
iiOHst9FhukWieX1oiVadXjowmJzg6RGNnllinqsq06xWRzO5bdMCzLdTxV7p0nKk6HvIXrmp82T
kdXueGJqve/ADCY4OXmivU9PPP8CbvHMPImrhSo1fCUmGDFdzTUHPz+B3sVyE+pVBKkjr4m8o5fX
gttxbaZxKy/5ATCWIBa89JtazWxcR30c6tSNpmARq5U9bLhxEuyENccB3y6eOkiLIgfHPdxnCVTa
kqnFIPR4rKrA7rbJIPDNlTAQrHR/THD3HMhL1TKa9ThckoiS1rim9mBlyVbY9rt2C9nKojNiLZih
K9q2vLCthDRJ2D5N5MDIr7G5a6saLPcfXfMYyURASLt6CZ0Z5N85INZo9EZuk7AwTbeff0G7MCiW
AUaJN8vHUgGfFQmrLGWCNN/a+bX054KKHkkqPCAv3WOpu1odBKdD2lQbahsIk74OKCNPOmp69zaY
KW8fL2tLeG6P8xII5+LetFgSOp3isuk008iNJH8SNXJ8dltyjxLUxhH8Lrc6/sINrAbb58iKIQlV
ujOmrxW7S8wfg126jXUE5AyhcBnfq2xp6lbm97F4ZtKmzvst+UvR28+9f/4h3IgtkshoYFGTsOnB
qvrO1NdkFLjP2tYDTwFanIBXBdKcO14yEHnPCSR8wwp+0kaqJ9PSbXtRtWrNV1ATg77EosiAduFL
Xxk7VUsdMyZhm/hK+T5W9auS79KwtdoPan/5e0c5N8btdTvRGzq0doLw3UaYqd9R5SlpXJW1wf/P
EBcl1LkC5BGzkpAQ6lfTLyUrPB3sLq0kEmHn5w8daAtJD7oMkPABaR1/tbbYzVqUDqe6CJxU3jDF
r+oNmFn9ZA6cSHDFfm7d8x3Am+Pu2E7RU7TZ0eGk48ZDnU8tfCX5Pls/YjNUTcW3p58T2RhEgITh
LxxghkDqjmfCZ6+iw0vNq+CJNYxIk09zU29A7566uj2EDbTovJLRfUvk37cXcM0gXlvIES3VWrRW
XbplrjRNb9JcAXLWgeatucvkVwu8uZFBvJ78pZgLgJuLhi1U1Rb974U499KaOpRWPWiVchopKTyD
Wd+jQt5Ejf3W9dMJMiiiRwF/F4FJHq8BNDDiPQCoDQ8YsPOqZBVaIE4z1Hqt3jgW2vwqS+UBeW0v
zronqAYFoAoT5EIWtz/3Hs4sDx6YiAWiIwqzCCx+OwhSHJm93l44kQnuiE7BeYFnZoL8L1UPedZu
UPAUbG7+ZFzgDwCiI8GObQQuAG61mipOqs4icejEOdSUnC2uix1pvt4eyPUSXVrhdppuOqSPMsTm
8pi5aCbyCs3xoCidZXSfICfROvcoRD7fNioa2nLanCWrMpJHat/CqNahpzUGErQMnFoR7OZlgi7d
AENbVGEBAwW0jc8gTlSfq9GAFb1grtbUngX+J3STZpCNuD0ekSXOGyJnKiQ6FXHYSgdkF0Y5GMst
FZXVV2cNmi4Qj0OmHIizy1kbjKIbWQUrxqz5hQNeFyg8iu7jq3AObreojgDdg22LzD9npZYqKByM
iIWH0QKsPpZcZqH5OHtim4Imnz3PFN1zPjgjTrdn8XpPwTKcGGErsmEQkrscX5EVOis66I3rCUjB
uiJN/DHVrc1tKyuziCwFokbEGmCf4LPXZqHHLMJtFjpqsQeHgtsq8Z6aAhqrFY+4sLL8+5mHg0BN
pQmAEKFi20FSvFTmIWmrjVQLWvmvHojLcuH9jgciUk9IOy3DPTM0atC30HMENlr0QaHCZCe2bxSn
avxdNw85e+9kxZ2M/TCiLaPfAnAS3J5O/gb7tI+EMFAsmFS0uV3aB5geQNi4ILglFT8xiF+ML9Mz
EPqi6Htt3ZYOgAWbD04rg9tjapzbzEnwkkijeVv01r3cSztLF1wda+uGRkQIDS3YH7w9L4czAjto
Z8lIQsUgYHaxPDV6ZDLwz5XgbbtqyIbQM4J5QHJ4KZnWLBqrsycSGvaWZeYeZ0YCcTxrjAQP+LVd
BQ03ZNFBd4YaOD+iuI5p0cskjLTkPYpzCiWCWCRjcRWwIUUPra7FFTF78EJudUBSUEhQZqJh3r3k
06mzKn9W2n2mb2xabgD/8OYa1O+lK2oKuuqjWCzj+YnqoQzQDHb05Yqp3QSBNU1LQ8maXCMu3Nne
yiaa0h9Had7VFtlaldeRO91iG7mt/SZ7a1Ldv70LricZAEJ0p4CyA+cmwJGXH9GQKKokEtGwPBWh
iLjmKgWDIaLxHdkJ1OI/3fLypxf6UEmpFWdhnKOXYe+UexqFY9cdSU93jhxQ4O/Ig0WrrZ1snWJ8
dJJdWaknnDgCZ7rehGjFRDUYr24ssq5wF3ejE5Dr9FMeTtkPrfoJnGQ9CE60NRPwJMD8gDKF/BHn
rwQiRL0DDHrYvNXdo3L/1+g0zCb4f/4YWD7g7MRMkswo1abMw8gwXKm+gwLRhID7PkWi/rZXrA4F
khmLkh3Avxb3DpzSaNH+rfNw6Mb9EO3MsnjIdOmvgw+Idi1qciZwJwA3c9dmM7cN63QlD5PJhLxg
7qrZdzmqn/Lp5+3hrIQGsIQ9tmQm8IjmEy4WxD/iKVKxNBnzSJ0tGhMFiFbooeyYp0ypZ+oIIiMR
Km5tA1wY5l7vc2zak5TCsFmFyVC7fflC9EM16tssrzzaS36FP6jHZl/DxdNNvxG6Qsq5dcLbU8A/
gxffAXUait+gJoAMCreiIKUCiHs287DuOzdOwag6fCmHvYmjR7fuJ9TC/4W9z/gf4GRAermBW0lm
W0iKYL8p04tetXrjZlXRINU6mvtBU1JvVopsA2G6XvAEv77Xl3ZOHOgoLyHE4OHkWdlLI5h0QBuo
dwczw0vA8m3ZJ7b+dZRGgbG1QxxcYA4uwiXlBWKryz1ZZ0ZTN/FcYKfkCFYAO3nU04r4XRX5qQTB
wrwl7cbI9dZHJ5y0LW0oYEX10OyVMk92cTtR3x6LTNDss7bcKM5iX+HEABUTd1QMaHwsprrCke4U
0Ls0XnIz22tZtJ+q6KEuHpsU8MXbK77q61CJB5RpKXChIn05FYbCkrEjZhFaysP4lgxbqCt65lhv
Ufit421fJ27ZP5nWQVWYu4Bk6Gt2qESMhCsXGsp4aD5aGPyAqeIcvayBy4mjogybGA1ts1bbgdKn
k+A6uQ6CgKEC4hW5amSWroQIWkXPVbydytDeohz0mlm+LFjBtSP43AK3gTRjatRZhoUEIQhRfybz
SReY+HTOy3fmkllB3w8aPYAW53Wp2dCqA9I7RTjLjovqjC69RYE6/NC39tS6ReXr0U5NZHcoIEF1
yLIPcKQNdxHobfPfU/lWPICeYR6Dod0OeHEZ6qaTUWW57VYr84AphtAYANno4NW5eWilLi1GBd25
ZjpB1YL9rHRwjiaNKM961auMExLVaPSzgp3NXniQL913zo1OKfS+wNMe6txWZfsklT0gwoPOOMjf
K/JaoTpeGR6NfEkIXlhxqAvrXBzmFPM8FAny4jL4quyHeXiQlAMlH/9iMpfXzkJcjiT5klM5iyCI
CXFVABxxLEQSHjrUbWvqp9DuuG3mM6nKORZS1csjHIQRaEzmgmq5cCJJSnAUxPOOVYkrxY89cv8M
CnyAWw3pfVNt03nAC7b0HDssyAYYRNCgeSoFlbp9SF8IeYzHTTt6StW5mTNuC/uoRM1BGgTPmZXz
YlFlBR8aTm90aCwn6fmUtAO4p1SrCLMSNFCGjZ7IrqIiUNDa8gILtojIYMdBJPDSSuWM89ibehHW
w0c8ylsCxuZFb8L+fXvmr5NiqIkvNJ/ocgIXGt8XLSsZtWmblWFtPTsAvBL2246oNwGI5nwfstMQ
mYK1XrluLyxyp346tlmaoPQR2uCTqwu/Tgu/or/VOvd7iQiMrW5S0DoB3Q3gNYCQnAMriZZrsz6U
4TR5aTlgqV5L68lhzG+a1ouJ+QqC+qbXkbPQTzUR5EbWHouIKBZSJNwvAM/zZ0QGxB3SMIjlysot
htGVSXIf2f2mtqSnoZreizKGFEb/JR+ZG81sFlw7a86KXYUsOOjMEOJwzppMBHp/gEmGhRxJG9bW
xdeJSbIglbBiZWGkXURK8I6ByMylszpmkqVZTatwrJkVDPY87vO0UQSh04qrIiuC4Akv+6WJjZtL
Jpm1Y/V6FXb6WxY/kELaRrKyU4iycSrLswYgIfr329tjbWR47C59m3iloffrcmRNXZpNp5R1mNPW
9qAYoXl9r4toR1e2BAzAO8CUg2Qdr1mZzUkRSxKrQxCkfJGzgMT9zooHj5i/hEiDlevxwhZ3b1R6
atclsgOhMaH8OOt3CZsOhjMIPP96seD0MlJmQBAhUcCDGo0CksSsLppQ1jddN2o7Xa31TTOmhzSt
HlTSvLetrG4sOxG1bl5HsrAM0tsl1AKun4fgZNgIE4SDmnDKDyU0MDvnAZkgKaW+5oRyJOr4uZ7P
xRwQCEvDLXLvvIf0KpBnltmEuemz/k4qHwCaEZxiK5OJLwZ4DQkJVLP4tutmUah0sqINlaG+AwDu
0WbvlNyBQHKDEt97SQJNGN5cez4UZvH4Q2COhyC6Ai89f2gGtbZY2mLKKmMzDanqSR0Amrf318rs
oQsfagsLZeSSqri00ptNkSmZ2YWN9UMyToVRQnH77baNtdlD641qgQgcwCJea9cZaE2syujCVFN8
mUgIVGly6FnmHUzV/k2rGGAjtr1tdCVbDVw6tJTQT4AEAn5djqwcCpNR2rahkWuPZesArajtnT52
UfypE+M4Q86V0vSto4lvRsTv04c0Y4KDeSWPsXwF4AbAoqHoyp//+ZyRNOrKNoQygm+OAS5Kt8sC
Nn3TtQdFkt2y7L0aPQGC0a+s64XdZU3OgiSJ2vUwjHUbdr8H27d1l0phpe+K2TceklcrmJJgRHVK
c53Cs0TPlJVb92LUNpcnyuPZwKUL6zKRP5r+5zBsobDsjgoLcIpPbAcyLXDg+Dou3dsDvz7JlzqS
AjZEgAyhTsbdhCPSm5ASamC5+GkYe3XY0woVzc6dGQtum/rMQF7GzJe21Ms5BhkopXgBwMMWTqZt
FT22+msxgMYAIhhghp5qya2+f9OGx4LFyGgcc+cHipDNEIwCNxONmntC6xPq+izu21BN+r3hgA1i
3GbGR67ax0knAmMrb4Vl3EiF41jCfPKPUIgwWCA5zNuwMjP1p60N8gH5IgdiwKXc/O7mbmg8Ao3L
OaAgd+hcO0plZU+bpig3ej90wQxp++qpblGiinND/86KtMpcAqX75zIv1ArEDHQwgtlUyUlPG5X5
oKin0laRsyrfJqXRyfuRmSkEd6UieSTaUIgY43k1Rxs4RBWpGOQCoaSCpAznwqxz6KgaExbXlYNy
O+7SR21n7aKDHFR7CTIQ7tBtzbvn8rsZu8betwS56dXz6/wDOE8mjTY2RjG3YftWpRvdjU9qkNO7
cfwxy7u0hqTlvql9qggC1ut3D8YNlZ8FBQrkhs07dTWktEsw7o50mVeZUeR2apHvRivqv1p5FIeC
XbRM5NUuOjPI+y4tysYBzVCYjrWbk3qnAodjqXtqlX6LrGM+vub67Emi9qyV+xUlDjQd4HdkWHny
JuzTzK4UtQ1JrmoejengGv0cb24Pb+0cBmIeFwC43Beu68szQjLappWtrAvr/K4l3yL1l6oJIr2V
NB4eGGc2uEjBimJLjqFlFJrGm9yHdXbom2AIyvo4gLKA3QEIw14gPnqnsvum/ogBwL49yNXz/vwL
uNumUIc57gbaIUo/JHF33zDNp82vhKInOmjvbK29a4buS0tFXA1ri4j8D9x16ZkHT9Ll9FYJUx2p
qbtQmm35uUwRvqAzIHq5Pb5VK0gpIBOPIhHypZdWwFET15XadKFhlPI+UxtoBqOTWABPXHkqI6uH
ABYEEEBkorxyaSZq+jSqqNaF6N3b6B/Q8/JKT91Xr5rXPhS64KZUl43Fb7xzc9zcJVrfdhVRu3Ag
aLk1yEjBGjt27/pgJj60grtj1UjzI1oJ0bKvKcWdZkbIAyl254GwhwTzHLc+chryA9q3U1Swc3uf
jUW/kZN52DAJfbi6GtWvNXWyh1KeQa8eE1EL0XWABaD/gldH9QDIgCsu/glPH50Ruw9zqUp+ajXk
qYuhUZ7KIVaOM6si9GFrGZgNoNUAAp5qbg8K2GR/3PaQq22Or8Az67NVGkx7/Gur06yeTWk2AD6u
7Ql4SZok3retiC3pyhEXM3BD5Og0NGPzpW8pmQDUUrsBO93I3mK7NUfwugzodbg9nKtL4NMO0svg
e16SU9yZrEkFjYepGcIaVWg/0/LfRQ9GQD2boFJFSv+2tdXJA6ndf60toz6LVdXUNooYAVNoOkXk
OWYmBXMGlvcGiZK/PY4/B4Yy09JljJZZ7lItaN2MUc2GECUHt1ajQ5b3vkVmweW9vk5/zHCXaA3Q
T6qBNytMbOMLWtujg9o7ieDcX502EACASFhdohXuVCJyN1Qk6TFtabMtlDEw6+Yw2Epwe3VWfeGP
GR6k1Tk6tXu0lYat+qvtD4MzeX36XKujwI5gOBq3NBadK0MysDQ2OpUtVDNS1rlmK9IiX061i1MP
eSTsIaQjge5B8yF3yFYOVQmNxiGU0zr5VloRGE2TJurdQTb7QAdGHCrs6uRDWkyURVgZIeiyUN0D
FQXgS/yLPqugYmDl2Rh2EvPsDA9BE+LF6Jq+vWBrIwSBKk4KqFuA7mz5jLPtlCgEs6aUI5JZQaWH
Kptcko2K1yQYWmcDJp6LOndWfGShzkcnJ+AaCJq5SVUrBg5BaFwDNaLlbt10pWvJ6S+SlOjNGNtp
d3uEInPczWU3mtan5jCGwzBsHGtmbgv+ALeK8tE3IltwL69sZjS4w2GQHUHP7hV8qlWbQkvkMSyy
fKfL/RbFrb+Fj8Ipz01wW1nv1AF8ceoYmtlXnQ0+k+6p/hFFInmcVQ/8M5TPy/TMNYqmAypb1caQ
Zl8hShIotIYOySQ4mPhABkm4RUwICXf8bZHy5NxBm2tdTfMI+qTdm7xUhBpk/SylulOd5FDmsqcS
5i/iP8Dy2QxgkqgRXCncHrj6As5DnLgmLdGl8tjpG0hqU2okLjWZS638rgfb9iyiXONm9j8GAVYB
WgWKjnyIqMvoLMZbqTzq2a7rI9Rbd8gle3/l959GwJwLTkFEu7guuWt5nIsC0gJpeRyNn9p4F5WA
upluLAL/8uH8P3aWgSAjDhQkr0cu93Ey00XT1okz31bfHC9D2U8xXMVz1K36vS+f20RYKeJ29adV
2IPHLJEU4pvLc0ue9CXe1Mtj/CpJh/TIcjf9IpubvCh8bQvNJbf+GUGzod7WkzfqPus2t6eXb4b6
zxdAdgpHJ4A3/NtXnnUIfUkWdNgPj7WLLgn80jaO+1a6m4U7/1B9kLf6622ra64K7nzwaCA7CKzp
Mi1ne1JDbn5QLMgoZ+BLb7NH0ukA3pReTtCVf1/F099dD5+DXCiQgLYBjvcqtssHZvRSrFVHe2xf
yuZFL8l9kb0VKPpakrMbWXu6PcC1rbE0uyhAkwPJxeMBlAqElE6Z1EcVkm0Pgzp1+2ywDlkziQpU
fGbqn7GhH3HhGQNGWOPiLoUio9FYpD4u6xbv2n28i3dQagyUTYzy3rbYV3v7EN+1e7rTvWjXJPdx
dpR9ICKOoP24PW7+aXL1Ndx2VZqZgiMlrY9a+a2UUi+y39LoPo2sLTOlTVUbh7Ro3V6k1cznA67s
cvE00+05mgzYHcdxo6Oqm9ue5LgR2L0TV6GeXUu+E7/F2UYJ+wl8ilBAbL1OtJ2WU/4s0lo+A13z
AMwil4RYm2cM6M00KpBNqo/UGfzUuk9Bx6SMnasZsaeL2C0+WZeurAEyBywTRJavwCBObLU6OHzq
4x1IK9z6tT1CUN5tNuUOzZru+3fgXtzEj4Nk889/1PvVe7M3+UoQubFneLKveGMw+aoLSIwgZbp2
Iy64eTQeLthhsGldbnI69fnERsyF3s2ug+SiO5NvszE+MWveyynyxPO9ZHf7gU7BZGS7trYEqImV
1dCQyMRrGA86ILS50xVSudClGXJ2xOtx2eqx20z7RHlMi78EEi7rjn2O88VeJEFsvsOZ6Ik8D3nP
joP90Eqjr2X3TG69Yj40465N9rd32cqtAWvACOOeAuPGZ5bj7PhMrUGt+n5mRwaWhu3sQ9ozF6UK
r3cyfBj5boBOgARBOYc7ow1WJpTlVXJEZ6qa9T7d2eCAyDo/Uy2X1H5fVQ+R8nJ7ZMuKXHj0YnSJ
Cxfg/sLDfukzRKKFY7RDcpQhmRjMvVocpSkpA6tv6H2Rq6XHVI16ncYeGZQCBSHplb8grbJ0X4Lh
CdkG6LBdWgdvlTmX6Jc9TlmeHgdLAYxKzyP0TlnNIR5i06VTlwvCNi7UttBChUcL8l8ATCxdHstV
cr6YY4WWCATbx1KVvTpSvo2sF7GAXd23i42FyQQOAyfl79tIZ90Iiv3kmCRBYQQydS1nE2307D3+
S/qGf4ZzZmqZ47PhaNQGc21lJke4yjPRatecnow+lGr9SSnC296ysl4Xw+LWqwQJbwcdyeQI3Y64
elbf4p9Rv5Bs3jazthUWUDaKawteF+1Al2PqO3lCukaBX6Rfm8709OTBqrfZHfo8sru8nXdj9Utg
cvmR3Ea4MMndZ7HaS1puLF5RjSGEY9Ef3npkNHxzaj077jwCwG4XjSd5jF3T8mb9V05Fmk2r83s2
bs41e9Y2FrTc8BGWX7IN3eX3QBBJglN6+SlXQ1161KHS4+AFxQ21Z6DLnSBxcmTJ5Gb57IEZfaYi
Fvnr62jZA2dmuMFMtC0KaE/DMdlWLZvtwoPuaCiwkRPx75XOX9C4s5uL0PVXhzVnlztHSzUfJCeC
3UT9ldhzMI86FE/cvGkFp9f/MUKkxQwb0IYrFiZnRkWkQIn/SG09DkilExcvCOI5c/mspBDxyWnx
TammH2VLck8rncqbkuKL1pWm4O5fG7OClDBACLid0BR9uWEo0i4AdmPMVK0OBmir7T5wBtC5COys
nZ3oNERSCww7CLu4ue2cmpistJOjQSu27Ur1qzXoIlzB2uF5boQ70dK8VFJtMjCYhv4yB6/8UekU
WhGpJ5PKNyFk793e/Kuzh9IZsuv6wnXKRfQdoxpBUR+eKj/R6ZuDBivL9Fr1+baZ6ycvPFMFlhSA
kyVK4rXzbAN9H6kzkGPZ+4m1VVrTS9NDL3fu9AyK7AngmycV9MW3za5N5wJsQ88DyJzRzXbpGzHE
JwujGeGl8i5BdaL0rO/gt5FL6HiLGuTX/OPcFucfAzSlKMlhSykrb0Avi7DPUGSBcw4IQ6nTOMGC
o6AclKJ/pPu7VNznhYpyLcBEkGZFQY7LEdsI9tSMzeRIXEC6BZHk2tl7/sM5V8v6KbWhRUKOct14
o/luGJVXMAGecfX+PLfC3Z+AUySF2S9DANn2Vyhu737Ymyww3d1t1xKNhrtJZLUxJFnCYiTxi94h
ZyLXEA8TFQfWl/zPgnAOnEVAxU36RI4zuptJd8r1/+eKc14b6WZppyWmK1Jjr0hODKxztydKNATO
a7WmhbLphCEgN+pODtI8RNC1sXaGoeCEkBN0GEiAcIE8mPISqtpYilqxvFqdgiK1weT7XotY91eP
kyV7BpFWqLXyBeTe6JmO5D62uK3vjZS8Otoj00LcTXjdK/c9FSXiV69ZdOn9r8Xli84i3FnVa6NC
S/YxeZKQVUFLXvWc3U2+YbmKZxbonhPcB6tufWaQm8tBnqzURMrqqFgvMc2DurkfTJERHvzzec4g
hwDiAxVN83h/XQ4L3NqsqZlMjuoJRFPKnZy5+kscmNsuoHf5u3HSN5k7fEk/rAMa8/Z1uhFpP31C
jvlIEM8g1IqWfAZwKpefwGopH1VoJhwzaFud5h9AD9Z3TnSYq5ORgTBUe2XIYj1KP1ARdi3Nv70p
1qLdc+vcBLAkQ/1Xs3AWsg+ttz0CNjS5vreHX/n0by4mpM3x1lzaA1Bwvhypk5QJWEn1ZYubjlvS
IffB3WAKRrS2zRF9Iccqo4P1SlMRVDuIACqNHE2d7BwnPUyTKLO6ts8XiOeyYEgU8HSmRcu6hVAA
R7ssuzqowN/M6XUcBenUxcN5x1jIkCGjB4r+K8WuARzWagvx+iOx/bkA0ABNN3rntYabDbo7g09W
SzLBrlu9tc6Nct5INWxzHSjZYz69o24zRLLbbI2vpvLLjKeN2SX7qH+97YJr4wR1BvoNQKoC+mfu
Om4jUH9EqUOOiLokJHPjYD7aT3W++VeDW/KT6FYD+yFCzUsHBPulXZYsSY/WOOIptAWzlTURsOah
DSo5JaPmpuBHGkT5UR4/+nnKoOkHXY/IkSLTw908JWMQEG2xyTTcOsDgULfLIVsCDBMypHX8MH2V
lMc6qg9qdJp0T/2e7/t60/xKzS9AUwiuwU9AI+9X5mf9CswNUJngvkaynYxBdYYcp2B8Bo71ZH+f
N10YnwAw2KOKtsPE+PTYnxrixd9RoLi93Oqynrfsc1cJsa3ZgYgaDrzSje4N3/gxPo0+cYdTW7jk
XdnOd04gBcDV9tFD7E13xT7bmS+3v2LV6c4mgbteVMYYkWv4uTq81CYKpJrtNrPX5DvV2iSoIWQx
FUz82qWN2xq9hOhKBucH531VnFKiptAozGYNeHivs7r7Hl1ZibOJn0T6U2vn+rkxLpxyyOAkMYWx
6UB26XMHrPJGdAyuvqVA34aeRXStLzQBl/uJKF0nlV2WHnsN0Njc9Ayz/R0DYjHp2qGi9dMSlmoO
vY+jb0TYq7G+rVBAhI4OqtD47dJ8WcVNxBqKMXo4H+mpTP3iOX2boTezHZ6aeEMe0SX6rXyWvknf
BiFJyPIGufJjdN6gP8pCmZZfT0vtlDk2kDOFpuIeXHnRK6Vu/RY9RWi2e/t5219XAzCUDj8pmdGk
yCPCElZB2jVm6bFpx508nIZ7+wfpXLW0XWl4aRvP8F86QXJldZPAUdHQh7rlldqAhbRzVTh9euw+
rF33Qr3yMQN9052I/X11Z5zZ4V570AQoqj4d0qNhvDozqnU2qKiOuv4h7ftmFJw/q1fc8gb/76i4
+8ZU4bRQVUyPrf8baakvkd8d5wcULIUp1GVHX3kIWqMs1CxQ7OarCfncOhGVMH9lnnljsql110AP
yI7YgbnvX0dtm1G3fGXWvYoyaSRKgK+FKYs47n/Nc9uzkOYBMFMMdDN+17bowfx+2yfX3ePPz+cO
cgppFMhR4Oer9/rkOiCqcIp7y/qCF09lGm4tMPd/LNwfe9yZnY72oFDAIo4F035BAHFbVPm+tZ+i
0vQiYx+NDzFE3DPRY0uwinxJr1dGyKznMKtt6PEgEplZvw7/rBIv11YW6BtiNWax30xB9NFuwMeh
7Nmr9Ob49jY+JJmbye70I/pmveuKK99Pm8xw1b+kZf0nRjn7DG5XqH0PLi+Gz4gpcWXpve8fm1qU
E1mLzdEeBZYX9BwsEfrliS2lCY7MZevNfnz4Zu0mz7hrvxIvumtO5LkO0u1tD109WM7scQeLrJfg
cSJTeqTlNtcXxkjUZENtuDemx1IVxperN8KZOW4ODakBy5ANc/6sumnv5id9O1d+fbSoZ1RPjRBI
rq0dMGcGl38/e5VXHWhT9RjzOXh5MJ0QSBzY8efsxe4YsL2I9Wt1v59Z494GpQa9OlX+tFYdVU/3
Rrf/bXi/b6/Z6ql1ZoULk7QOst422leP+c5+AjzzTtS2eg2bwAPw3Au52AjtkUWRaLDQfYx3iMXv
x7s8qIIU4CO6abedP26nkBbu7XF94lqvboOzgXHH8ZwXeBYn8A59q/Qefdfdwmc+oGrAJdCDE7DK
rb9M0D75Km3lnfYt8eptuYN2aADGZj9xI2/atP8i63Y+FdwRPg+1WWQ2ljTSc9gxLFAs5J0IKLC2
7RGzABXxGSfxBW7QTAD5lEjpkQC0n0QVMgyCjb46uUBVoa8CUhzIonADQYoH9Qni4Gm36SXEf/ph
ONTb/ifUeI/jc3xXHB1kcqA1tmPHatv+Lt/YNv+iBW3Q7Tu/eoh/VFthamfZ7/yKn38Ud2FpkUri
bMRHSY/NRg0qn3mtS4Lkw/AqT9/c9i++j+zzBD+zxuO3J5VUIP2LlotE94hHgGr7Ubi5V7jZdnIl
/7a5T1qqG4PjYdyzivKlmWNwXVD4w258+6lsEjh08jh8aI9y0H6fvzZBfjC2yi56rHBtpfcId9BO
t4u37YvtjjtpmwO2I/iudWf7X0/gC0kkI50WyfguX76XHqW97ml7qJTkUEJFF/4XsqOH6VXbFR94
9B3MO+BjrFMSWF71C8JgDM/QL/EPzZOf5GPqRg+JwFF5VqqrVeKObAYyG6mkWCV05Lqv9fK/5X2b
kUU9/BIyKAocUONObBtSYbWewph8cFziatvNm+Lqbhp8iN6Ca0HSufNxp7ZhxIBhLPsv03912ZNW
/c5FqcrVc/vcBndud5KcokVhcXCcmsmj5PZu6iabaRP7owfSATfdvv6+7U2rb8xzm9yhXWqNZDgM
NmN72lRd5REoJpVRtm3jaVdF80Hq2I4MLeivu0fbSR76IdpU2ehL87TVlDqIFftl7h4lUTVDOBvc
iTdOXeqwCV/mPFMA4KZA23UBuBzd0pO8PoCGwFtxEMm0rcbg5/PBHWndMNTJMGOdQZQTzjtAMk66
n29qvxXEimvBxpkhvpoO9qLIlDsMbwjQwn+nu842DQY3Od1e4FW/ddBRBjK2hQyTGw+jTJ6kPKZH
Shq/Uba5VXrpKNj0n7fP1Vn5x8rnrJ7FaXofMaOU0CWpNHuS/lbGZGfZOwevpnHq/4e0K1uOW1eS
PzSM4L68culNra0lWZZfGJYtEyTBBdzJr5+EZ+5xN8RoxPFV+M0RXQRQKABVWZkPU1r7xPYCfaiD
rOyDwRh3RAuKeA46QNzoUjyPIGor+25rxNVmqTsU+cxdzpQoyZqoc4x7T21uY0afPMhHDC2Lrk8S
31jC5wN5x4kNQKAM+iLh2l5rI1C9RUeOZr0Eddf4pkECPXkpR8lqrLmXC4gf0kkgN/tcIii6yZym
3AEUrmO7yqX3bbNJ88hTt3r+0hvg/UigaS3LP6w4Aa4OIKQD45oHwL3oBDNt8MJr02MC8FszkI1h
4/ZcLRLghsSMmK+aEzNve5AOHml3IEMWzhoJOpVKDuY1K4Aw8k5ntLAAMnn5JsBC9lpmIvHWwn+i
Xv2QlmpX3AEIyT8W+BeceTNTvKozWxRS6VLejJV1KNxp0zTzl6WXtfHxICZ4HqRXNbCuoNQJdKIQ
8uNmYcusoyqsU3AMpNBo0CBYNC1hn0WT3dLtQGQtOjyifzYJRjDOPfaZ+jQdB5C2epg/qLCW+uRD
diPKehtMZ+UOeAdJNmp1taAt+x9rwgtVc9rJ0SpgEcwx7Ozvefwey25EsgEJr1JgOd22V/T02DnL
tEUPuQeSPA9qhMX00VvE8TPTlCX5V21CZob3OkDdQyTc1QhaOhWKUp/WBSq53fTOli2bUlZRXDkk
UBf7Y0bwxLY2az2pUDtljX6CuM1GS+JA6ZTdtGgRA3syx/Yokyp5yq1uABMJDPRiQoZTRKdQvWhi
q7UAhsjGH5O1bD2dhGNOqyBHG8v12Lu6A5DhBloJ0Rea4Jebza5aHTLZGGKq7VlgAC1rBPXis01c
S04pmSXBFRXTno22RF0GLVRa8tIkvm4cs2jubmSa1qvecTYmwSPRltBVUCD7bSmHul56cMsgzl/G
+G9i4Zkh4bKtAnNlujk3lKnbrDp0Sx5Jeb7WUvMu2Jj/WSIh4o5s8JR8wRKB1nab6tam+k6GrQ1W
ROMbLbalg3KaTfyknYO2kSwa/+1P0YoTu0LpBR0R4qMPzYSKbTEUIYzlY0keJ1mPiez3BadwjLhF
SzB+P0l/Weo36Vmy9vtgc1BRHAXhv25zVzk7Swa3dby5K3Ba1ew7dL2Xw6R7g2QPre3XcyPCVbmz
ClpZdfZ7DwHvlaMDKDMf3P7X9a26FsvREsjBhUhAfCqHmXM3pjbUk46Nd5vnH42uSOLO2r5BAhEd
xaiXQ6FMGMdsuW1Je0wWcld2M29VCGkgOvhacVAy6QNjdWnOrAm3IpI7fQyi/fSYEZAW+1pcdeFM
ErTRUAgL5b0+RIWad89V1j4uTjPwdqPxru9LKxy1og3Hcnxx84VKFlPyWZYQEN2lqRwycuxTmijB
aIL2Lm9UGT/+6loiYQVBDwC6kFS69MumZXM32AyATWMKEArli7l2dqE97x8Lws4a+nLquh4WgFl+
qmi+UaYYbEOjb/f7wTT9WjcPXSoJFysehF4tECDixQNaJzFpo3VE49AAnFy2EnRDftO29UPfq4HW
8V4hkuz+9Za4sCdEesctJsYY7MGPfIIWDye5ndlfnMcXVoQwTwjFA0WDldq7Nadb2v+i6W1vS16k
Ky7hoVOHt1TymRPZy03PNHKV4U5TuvGOWtkeDWTuv3dukAGCfAb8eQZ05S6d4vrcryUEL35MmPwe
wDc7N3EutVmfbcok3bcKSR7arormLNX8FIxMm8qpfuVDnh8zmwF3ZiSvc2Ms+3bqZa3an7tuQRQN
8IsNShPOkiRyctiJlZoFxWmcePSmtNlBTb7XefwKobmNR2zfrpGAN9C6ufhZhfPSnX2Xbqpc3zp5
fkPN8U3N7Pfrk7S6IYAI0/HCQGvZ7/zP2fljJF5XUANzpChhukTWDQNDLAToZKk4mR0hmGYxqzt1
xuWK1NVhoPpOXQYf7ITgmtdumqyS7POVEw+XgX+GJb7YVWoX1gihL/T++oDZDXEIahLWSh4vMiuX
3vo/rePUxUywoIWvxg9fc+dLLJNRXzdhWuhNQyTGI/AyDmuZ1cVTg3nTM6Rmp8MIkpqvxvB43Qtk
VvjqnXkBIw7JBwor0J+dIENxBBW2NEqtHFxYE7wp0TeJph+RLIG1ppn1C9BnzHV7P5ssJ5jzSQbv
WrnFX1gR7gjAybilqSv8EnJw3DEwW2MbLw9cbwjsTUGXHq5P3bpj/xmV4NgGmEuRD0hRlLe6m8yu
X3L6raYPqt0Cxd1IHO7q4HQ0v1yuE6QNTeRigWrKDN3XnBx8J9RXv/bVfa5zOiiJW6xGfJBLonLl
oedUDA6cjBapIYwNYhE4J9u3MXu5Pnsm3yLC/R2Rx+I3YBv97CJLzWC6U9UwjMjrkjTKCoeFCZh6
g5nlij8PZfbcl6oF4uqcRixj+SZx2dfJaEffU1LT1+o2DnB7gahkx37NE0BWCSFGsKRDEWDveMEy
jd8t2vYgdC8hHQ9NC6fI4huAW12/JUaSoL0zBnoD0phfPEhjBIOWkPsFpFphVaHrtGbU9UsGojkk
RarAnOzpqBFQRphq6URaMip+aTY2qBoMY3N9ctan/8/cCK5MXAaqoCzJjjUZw5oMoZJInHd136Nx
DOAmdOJBg+7SnxB13B5pWWSzrUctORoztDIH35LdutbSmljlP3b4SM/ii91TJ6tU2LEPhRfR2Fes
IDZxVz6kP5S9UUkmbjXSnJnjwz4zVy0ZKhEOnIo8+L2E8Uo2ZUKohIBTp8cafrsCYtS8bw7L2/VV
lxkQVt0eusauZsxVksVRY7w0oxMk+sOUffnv7AiBq6SGUUNjAaVveuiarQtEcHur6pINLhmNJ0Ss
voJWXmFguuKX/s59SJ9l2oqrIfHPWgs3xv9xlKGiUGPjZVgt9VsVfbI78j52UNSVTNhqpD+zJFwn
gV0w9KWAJY1u0EbauxHeRWi3VGXd1Ov7/p/d4gnXeT0xZpTOYchBXXZK/YHcYvP415d/dTQoZYBF
XwNNgngZBflSj9Xny9+cPACsFLvHrnR958OWUVasjoc/1/GHPId4h2mVpKzKqQTwQ93i+usbE6iz
ZDiy1fGA4JvDHwD4E/nzKdgMlNRi2dEdQwONf2Xr+IVDuMggsyXn4qrPIfmJrDVUCPBauYwvHovj
oqqQFGqLKEujadgAgVcVaKyNahnGaTWWndniG+wsliEdP2ZKD1tu4wOZRiQngOznhXCmL0MRmyMg
zH2PrFCbm07YJzJa0VUHOBuDENIUZhSNo2IM5XTXWR9WdQCfn+RqtLr+IBwxeWcrKMaEoyxBiQGv
ViSGkHEnC1oOqeY3FLpO6hHiItf3zup5BoY7eBmAwZCwEhYlqXulh5w1kJ8olkTzsNw5I1O3SVtq
YTL3aYDmtFvTnc1w7qfan1ytlgSjtSnlJVs0DAPugyT8pVtkEJrGI7PClC4/s+R5+oseUagM/Pl9
4XSwXVKXeQO4NQP3aZnbvlO+M+NFMo9ro0DrGW+rhDAXttLlKEBiWiLniYpgPd5QlbEA2epj1z1M
PfULnfkltJucCggWLGhePGa9uxmtzp+sBweSdNc/ZvVbAKSHtDGn+BPZ7/oqs+OJ4Fs0aDCFyAmx
oKL0fmhlT+FVQ5xkBZB9y0Da93LQbeXFuktn9Pss+scSl15kpEofpth30fUh8UUSL9c2VMJBGgu9
8M/EKlU3kdrp0XBW5S9DDZ7b+b5U92TRg7b9WqGVcSkk23AtNGIGNeSIIOCFZtDLwVlTn09NO+El
mSebYgeNN59kwZzoQTwnfiyjP+Ab7dMIz8wJbkqKDrKTmob8WursNa94Bm86QAYa8xs13f/FbP6x
JSIyBr0CI8CAobnVF7Tr+2Rs/NJb/Olk6I8GWUJV1n+w1mAC8hE8jjhLu4cL+uVslh1LsyVFe2Y5
bSwtv6nAlkRPLihQXa/waRaSGzu9Z+ko2Qtrp4KDdtffmtWcJUCwC70OSEIhsUFYmvxCPr4LlLHS
/iKGnVvhb8Ozo03NvAWnG0ZnDdmuNvDEyTYLBJ2vL9uai5xbEa5tBfVmtaew4ujzNx2i5fpyAC1Z
kJoymMvaxubsvjYeASAVERMcLZyDmCqeyzHSBbu2KN7RqKwGKZn+ogYAfis829DfiYuNSOk+MbcY
Yv5GsBe3i4oFyh60ZTJ9u1Uv+GNFFEHV58RRDBMJG8X4MPEmBy2MxM9WU6JAnoC4BHgXF7w+ly7Q
lWh+NDpUpiwWeUD7d5vqRVXuWOJXxo3XfUDjdf6Jbnhr/polZUCXoKj2uky8ZO3uwIl/0WuKllmg
dC+/wliUvnNYjSbgfJ+OyYZUe5beDfa8MYisPXfNHdF2+FszEPgUcekUB2pgdQNExxAX26EN3goK
EcVBpn22FofPzIhrRzS3qB2V4ype+ty3R9/9qb7F2X0ua/JZO2PODQmbeBoMC7qtOM3yX80bTOWT
f1qUyI5DWXvB2vZCmRlRCSJB/JC+XCU3bflVCLH+vnkCgZyk12vVB85+XTiVG2AMaGzh1wsuAKse
HesrhDx8x3pr4t31iLQ2EJD3WchP47KK59flQAqlAMsa79Aup+ZkMwuSbd3OUj7+wgoqDVxXyYKw
rrAwM8GvdiAAOhZdBupU3xyfnFnG075aY0HNF2grVedU7cIJBS0EtZ0owDVTEzEULQzWh5b3nNtu
UJSeT+edV2xtsgXLiV8aB0V1NteHubafuDg4/kE8DcpLl5OZq00G8WxMptNkPZrEvU0NbFaYF2Xj
J0pC/nX6B2lXdKP/7uFHV5swq0sP9v/aw1Omm1gwdCB6ZOOOJ06sWnLd+DwwWMLBBZcH7TkIyC4H
tvSekzAoJRzxAEzBMAOaGTVtogkNgbG5vT6Jnz3y0pbgkUur9W2dwVbxxab+gmXUJRbWR4PrNW8/
B0eqsHkLV6nL1sLzLB+B9sw0I9uVVdH6g516vuvk7n9pT9jOi4FN0Q49cCEKOly8X0b5CztMyniy
PnFIjoOMCs9BUfWqa1hSDeaM17lSfwd29aFs6Z2SUBl/0grGRgc/BvAtaAb1UKfj4evsrhSXbuGW
Ccaj0dLXExI4hepD9ytkSYZrfOfbXrajLVpL2u99ve9qJ7ruImsLeP4BwkZXCjB3LwsehJn3olm3
uXJrRKMMqrdy4cUw8SpC/Rc9xdCzvBymWram0uJRfaRp1DW1jxIoGbMwYQUiC1qAIIg4WKVvssj6
98WOC9PinbdKDDdueS9ZiV48ugV4Q5MlW1a4TlDWhrztb9JeBySel8MDW3+h1lOHSeyVCGJa7luN
PnhUOkAMEpL5xzSHzBoC8HYbWNE+B9lYfMgK/fX6Wq6g+i+/Q9gdNq1H1rT4jvzLRxvYhya0ju/x
G9nUX7wD2ygH+6F4cp6TUGKXR8fL59qlXeG9zxgk160STpR8ScqoNAOO86h9dV/rB7WL0HNWyvKc
K7ka2EQ+CKQXnBRWlE1UvaIa4xI7Jyk7dOGbQTv5wFhHHAtnx4d+YL7RH4lMD3WlP+HSrhC/7aYb
lkLDHFe+Uvn3g70lofnAXoDGxG2vOzHXh6AWyf3xdX6XzDP3o0/zDCpJ5MNsMLSIfS91moOGQ0G0
NRWoejU/vJ5EhExb3Zs2Palus658oOlG1wYMnH6zSqhQXP8EHo8+fYGNWz2oEYDtFalGmnqIGcR3
kT+axzu1QfuX177jjvXKQPnfDubbdXOrgYNLwgKGqKK1VtQI6ZeCQb95AT2AWoVAuh9SZUz8uXZP
1oubBa362kwQjGOOn6uS2V6LjPAtm/Mg4BwQ2XAah6Go3esoYd7Dl8t7o4yopE1xdTbPTAi+5OAe
E8eOhuhPQhcao2UD/inbV9I+YDKw4OdXH/z2zJZwFyjsxUhmx0Ryu3d/dJ7pp5pyur5aPIp/cg4P
WlZAnGC9xFz9XDYDkl1wjgW3QqNTIhSfqgG8atpHqty6Sg+xyH9958aosEK2Y4GUDnsCn3R2fhr2
MkOtycZtysL2t7+B40nTe0l8W12mMyP8/8+MZE1Vg1nfwYO58Koo8+wkGjzVX9o882unI37DCiKx
uep96BRBjANTEioslzabzMX5UVjZcdK/lCrx3fyLM32rAEK8vmZrYwNBM55YEIblbA6XdlIQx0EZ
DBtswkhCoDSH4xxbQ2guA7TRx/wn2B40ic3V2M0L0+BB43ePT3fgmAxz4eFMHu0b9jrNDzZBQ0Ka
BEbpBRM9uOyxcCR7bW1CIaYKbn1IxAM6IHhKXmbDYLjYzgR0TEoQZ0hBKw9mJdMfXJ3QMzuCsyy5
PVnUhp1hat7V6qnNydZ7BXnlZlZiTxKOTayOuONAsgu0JU8H4wJyuXpsqatc6dL86LxqoFeQ8YZz
J7v284JzGLWuT+VY5Ee2fBuT2K/BgF8rT71y0KFcP08f132R/9w1c8ISQbFNAfi1RDvZaPnV+OiC
qk1K8rkWpM6nTFif1usIow0HBg4eeKoe4pGG2vRoTaHnRnkCyBeT1OLW3f1slYS9XCrdNDUlTCbV
tmx2WfIFpLr+gByz0rx27VazvmaL+Xh9Mlf9/cyocOWuQW05FZAVQuIDfFzaCR05vqbdL8jlXDe0
eiNC4gYSwVBbw1NdyCr3rZ5DK7XKQRu3bWzwjnXUT0YP4iM9uZ+VdJtadjRByrHJ94Mab7Riiaon
C1Rhi1rdQFBbUqtYcyNQQrp4lKLBCrXcy00xabSDEFeTH2f11jFf8ESUtg+sTe7vlCJKaRBXFYds
Kp4JtVcrPyIn4WvDL850nbS2r2uy2V1zV5TSkACDmo0NzrzLwah66SlssfNjBQpHsk8G7aYrkxvK
+77Lg7Hkz0Pz7fqCrgUVzsPM/yCqLeIUBseY1dYwoX1pTH6GN6kUgLbSLc7pb/lVASA0hGMhsDSN
F48pQ1HQTe7RbR9kyi3vEh3Dsfi23Gg1uqsMlCbwIlWjdtz0tmRLrg4R94bf6gC86e9yVhlRprrg
j8K8d8sNqZWX0oOQ2vV5XPNDPHb/MSLsQJOkcwJ+PLwK43JjNLnfOFMg53+VmPkdfc5uJ0nLvM41
8BCirb5PpkfkJndyP1y1ApAlJyRHR4t4t6trD8p8QPwcswWNGqUGAC4rte+K18vondYOHaSS0CwL
kmTeaHe5NrXXo/Dp4uZTKzQYqbclHmrtJmiHfUShbd8mKgQCZGKEqzsaTOug8YQ7WqLaepJaKFGp
/HrQ7GfFuWFo/uixXOyvhsfFG0BHqYIxSL8cnoHlako+PIDud5nh7MChZWV43KTGpqhm6BHIrlur
S3dmUcgKqGibJZWFOzLL573Btv0MyRZLcr1aXTUHDww0m0N0Q2zYshpmxN0A/8jtr+idaTdWvNfG
L6zG4dM8XN9Yq7uXV5YMZKhdhMXLKewIbQqUfZDSccbuISl05b4qWB9dt7I6IhfQeTw74YxiStiy
KwcoLdytemQZef1jHv27vgWHznU7q8tzZkdwCLV18nR20USvR2+qL4lBq26NJhJOQ4pjSoTRDVbS
V4y4yGvr6LLUl6CbTMhkPVSF5LphrB1U4Po1gBLg7T+26GXYtYuOR8vRbUf3rVNyK5zjyQuAnSGH
mDerZkuCtEGyHDOW6QGINYhvmr19Uw9KhNy7Haq0MHds0l6IokEEqdTppvYyutdmA73ycb2EbZO1
r2k3WRvwVKi+myJDWi30NBTN6DvQ/Q5Notf3Q4bvSKZeg2BJne4mOqZBZQNyp1b2HAH9k2+HqiA3
CX7ZNzKAo6B4ZEumfu0hwLWj8EAFRR7uRZdeCpJn5lbWkh8nJX+aO/MJqQz7keYGDVmdkDeiNJbE
5Oq5CoQzYBp4XEG6SDhymsSu7dSYcC+Z/SbUQIoSeK/as/Oaf6g/ip+aE2ZNAATddQ9eH+k/VsWi
ZFpouWpksFqHldceJuctaT4UI9mP1st1S2s7HyTvHloqUUQBocLlnOYW+r3bCnNqMgAOGzV/bmIm
m0R+XxWfISgb/6YCADGEeH9EjqvRemXO0RCl76buNfeaBxXwJG/aMm9XlKOvUub36fP1sa3U3HCu
ndkVFi/FryoD1GqPpIJY/KjmL4uWsvvaitWbYkrKx6RMMrS9jHM4upayj3Xta5loRjjNRb0HZECm
drL6cDn7IpHXzgUKjiloD4OGkl8fnfdE2+g/hu+q31eh20q8aC1Uof4G3U3UgPFGF4avtK3W9QTG
kgwte82eFmj+LaIec319otcNAfGDJABKEWLNKiXmnHuIukdI7aioPmhd5zvfycd1K6ubAphF0H1A
/gpykJeu2s4t2D8bxCHHfwehXHCQitavboYzC8LBMfdNP5QAZqG6Z0CD5rHbgcVkZ0Q/iT+HSuiC
P+j6kNbDy5lFIcZTy8mzYRxAouz8aCIk+ajZvyllt9PIDtBppC5n99YaKt+APoBD/aGUKf+sHcoc
CfqfWeVzcnbZpUlvzROfVZBXhKBT3efb9JnIPOR3WvlTCDgzw8/sMzOzwooY8s2I3YiiPjTDt9C+
2qZ+8g0pfn/THtGwlYavyANGKAOEbJ/cD9HLxxLJoH5r40XSDQVpXGjQtiGMdzAGEJboMU5VtgQZ
WHMasInX7MtsRkVr42X2LxV2ASsAqhAYBij9GBy+KdytkCZMTa3IKNqQoYjhqelPNFjeFbksTbZ2
6/Es3BOA7UZ7vHg6zg1gBACYwE77ONUH092DXvW6u66Y4LTCmDWbpwPELKPTLpSyaoQ+ZmS90hsi
Y9xd2eEabvAWFG3RFI/T6NJJUPLq67SaKM97mEAN7NgAjchAjyXxanUcZ3aEJWnNwSltb6DHov4F
jDXoEKRo9JWQCDgJOvAxEHQCi4K5SZrnrmLP9FhTZzMPt7xttVU/pAjr1aHYHgc3o9pti03uJPEU
lfY2PY7a1mpvxywCEOcvVv3MhBB3E5e6U5PBBJArbXmACXDgXzexVrXnGC/AYnROHyU2WSDH2ym0
BwYn3lo38Sbb4Lj2u2De/XyR5X/WbgUXtoQojzT6YJAWtrLsxRkPxghWcIBEPaPyVRKWdgjq6qaK
Rnoy6A9ZCsNYdYyzkQoRP036UmF8pArxvR8u9eeb5G44qi/LBinagN68a7sunG66KN30Yf+UBXTH
wuql30Lz+GbemLsmQiEh5cStT2Cak0bqlcvaxfQIAbK0m9oo+PR80UI1mvxlr8OaE9h+E8Tha/Wg
gubli+eT6LoPrHry2cTw/z87ISC6s2Q17mdHOsbbxopGVd+6y+a6kdUIc2ZE2PlTD/1qu4YRq37G
9bpQTur0qgWzJ3Ho32gq4by7mEXhXj2lbmVafDRa2Pvsrj9oG3dvBwbeD1VAgmyv7fK7erOEzo0d
skC7+9Yemj0BI9/WCEGdHqqhuQGFW9A/QftL39BHDdq0ZDf7Nmbe8PMw3cg5Mfnail/NS4089Yzz
Ucwi1l48M50DWaEj3uzmJbw++2vFZ0D5cOgizWiBAljYeiRWe4cqEFOo0dBv+EuxiXN0HndfWhol
zK+p79jFfeFIzq21PXduVthzuq201EoxLCdzNt2EZpd80o+a3X+3ByJTLF25YGCMUNPm2XvOqH7p
xzbcODEsjDHX7X3WbpFl08pkQ3eetWmd7fUZXfNnvE2R1MMNA2IRQmw20zi2at6X2jZNkKnlDXLb
UVs9puoEHut/n5Hi/Qr/GBNWr6BQbogHwLYNMt9ZTnub9G+2M4Rpw3xVyzejKRMTW104KEWDMoNj
I1whJrgJcn51iaarrAW0b64ZSJdt9CuVjan5GXpDdtenc90eErIWxCp0PDIu187LQEXmDWhXSrT9
t32W4b421bLXMPc2cZMhhYFiCuq0SCQJMUhNp0RveUdSrX1R63ozIG2jp086+0rM/djvE534FK2/
Tv7BzF3RvF4f41qcPTcvjHEu03mhcQ0NhdgGbLdC9ipenhLWnK7b4a/Lz8NEBZynnZHtETZdDe6j
BMhatH4Zb6Zq3RhZt2uKJ939zrQHmhXR0MloJtaH9seksPUSoIUBAAFqCv0SbQiKtQ+zA8avsJlk
bGvbDvWWf8Ym+GViFMqiFVjCOWu2ne2F9Tw8dm5NAsNmvgKNgetzuRaXz+0JLrOkSoymMO6XYDJK
zVPv/rxuQDZzglOoY+9pMTdQP1s9CerqybQkQVjmDzxunp3vLEOLxsDgd2UPeTIKOtgep5z6AOI9
I6fQVfplAON1fVir66ShxQRbWYVaqLBOM7Kbim4AhFw/TLjFJEE+7nLD7+rv1+2sTh8ShEgH42X0
icUwZmoeLxzClrXO+xwPeRBr8e00ySg7V/3AwHuCk7jxnuTLObQYtdyy43C16cXud4r19BfjAL2E
arrQXIDs9uXvp6SvkBID3mgE1VRhAbkCXKk6yGgH1grc6Iz6Y4f7ypkvxOqcK/aI2oaiwVS8KXIw
TaJ5/xfScNvR0QGbYWZAG/cN3VWdX7YPVg5Utz4dCyxmgu7Y6+Nei/s6gjGyyjpHXQvjNpSJzfnI
K2TIFVp7pPOX3HdlQkDrVnD7hIAZaPhEHSAFmsKKtWDUQAa39XuHJ6E5Ppi55O656oyglvuPGSFY
FIk9dqBVQuEIjIkQOM4n9ANRGW5RsIKSpcYVLPFcB5YPWQ1hyrw+c522c6ZTDOlto/uptS/xIgmz
MhuCm9Q9mcayUqbTBEZEwqBs3xjBEH+5vvhCkPi/kYAKBwg7B8lLkVmlVOockjpkPgFzoT6RDgRP
VqVmO1ZrRaQ0qX5nx/MoiYZ8es5Ox/83CqwDtJMRMkSUGCrMaJxVrelEGtMeQy9WChc0T2yeN0tq
Nj8sJzVfq2qqNyNR4lZynoh56N/mccWBZRvUtfD5yw3IlGVRCgUzO2b1nbvsFONogdugGvbDsPij
np16a+eNkqvP2kybqDSj5A1gN3iUL63aVlOCCDWbT2Z/MhUaobqk9N9G+zCS5+trKmy1/xsfKkyA
6wDZi+aQS0tp7tkm8ch0cjwoSbhxs0FnL3qzq0INjNiUNQCurSZXX4RGO/qzcfG/NOcU+TyWijGf
5sRoT147ojJmZY09gK4Mty1/aFwgP+ZkBrFtbFeJDEO9NrEo32qqjoMBqyo+A+iSa+WgL6elbo4j
A/1x4aHQUnxQZXozDOSPr0/vJ3soKaCqD5wOr4R+4nUYVIjKDkg2ngh4j2dr9Ec6gA/7XSE/ylJy
tn5aSm4LjykgCKDxaWlCENDQ0k5bxe1PdjpuylrfkGkKliHZ67rEPT/vCphCuR3HwO8iuCF4DYRG
B6c1muFk231kj7dw160ZAwke/6RO7Se4uPQkfe5tWXsnH8NFNDBR4eeQJAiaA536+918dh46hdsY
+eiOJ1onwZS+u+SQEjWgRRm8DbG17f/lwwq1U/yhuMyZzEEqJdaWKUNLMQSl1FOjHetyCGJSP+pT
tqnoIIEWrCwfLEF7GG3ZoEwXh+aStGnyKlNPevpa6z6bt1miA/OYSFxyZQoh4cr1eUHgiiKUsAUS
LZ0msnjqKW+cu1rvIpvfFMCf4jR+B1qdesreq0LyIl4b3LlR/XLfgwDLSnt0pZ+SFjkbsleTn9j/
s/F+fbutmuGsHC7Gp4IQ4dJMVnakZzPGRn6q0J/Xsy82wAezITkVPkUxBDC8xFxU13H5w8l0aabu
kha6aa12qgl502fT76qwMLU7kwxIZgQ9kVHRiPkguCFwT2DUx91c4/cIYWDA3iWqMZnmCZAUdLTP
gVFZW5d6AZAKPq7uN5M7BWpfP+GCfTOlP65Pq3gNhXmQkugolgCcB5VhsRdiaGIFMJ7FPUGnd9uR
u7LKASf1kJeKKvXJS3/V01u2PJZbZuwyqAvY9jflwa2i65/x6ZZjAo5uo6fbcSCEg26uy2n35tIo
Y+jxnKgCEGtpl8rNiBoJ5kIz7q+b+hy3HTS5YL51flShTHRpKnVnqgFKTZ4K1fSNo6fcsxbHUs05
ta9bErPsfG5t1Jy5w+IAhjddmhoThRQOGF6eDOTeDknCvo5jqt3lc6lvrFIpXj2qa+GsGjRoqbrs
mWbft/nYHvKyuzFsRZdcuD7NMoegeRi2iVQZLuD8/89CLBd6dmoN3zO49+3wDM7hKHdkRHRivxhK
Ymgm0jBsxHNIR4qjzjXsF/J71ElY/HLuh/B92mW/0mB8qyBEUAeuTyOAYzJ/eohlpdzP59dv6wjr
vLMHrxie2j8bY63jDW9MQ/o0uejlXJ6d4on0yEukUa7/quom0nVIrhrR9aUWHqX/N2Zw/HACBB1n
p+C/qp44kMjDzOYsiSzIEnfo0btu4nOg4CM7s8G/4WxkGFU5zISv3ldcrfQgC70oraAqV/v1iyNp
XV6fxzNrgq8oKS31Qe3Spz4aURZXAjvswyTQ+tBBjfy/nD5hT5qWklegVUif0Ibmx8bPlMh6GsRu
yv9fIQBhkHJE87dI8mrEXtEnI/yi9et9fpM8etFw6DN/iNSwuR13ynMXWrJWh0+xhi8ZV2fBjR/w
VrG1LoWOtZ3rGFeGkzjQ6j4kDsV53LmnNs2/FXoiWbZPp6RgUFg1SglSJgl8BCkMv/CSQ6a/N/ZX
ux4khvgPXdzWfhuCtgceaOijdwSHb9OG5ro1pU+pZmbhYMeKT3FjDEZXnYPrji8zJfi9Q6gOEgSY
munTrLi+6iEvjL6261bWtxeeDtAH4EeQeEmzoWs0LXqM7aV+JJUGHoLusS2M23Q6UFrvje+jzvYK
Ve5yRwZS+nxQ8Nk8sy3coWhsNHrneOmT6QQLDaBhX2+0Pmjid6bcMh1pcGD0wWTl41lzfdgrDgOG
XfBz4y1qoelAWMekscDCP2BbqE61z9l88swJTAyl9mj0oIK4bmxlJTnLMt5MeKiZn4zRCgDOMcVK
NgZ4TPBaPCkWLbeDK1M/W9l3UE2FsiF6DSAu4AoHbzm6FB+CtdTurf6JmVFq+KBDKGTFvNUBoVaP
gAKObszfZUgGdIkYZaqgcKF7O8V7yeld5mqSC8unWz0eJxxVhjDiABwgysP0Sd+QvqHZk5n7aKlL
uyZUtFOmbSuccFPdhYaMz02EZPFgeWGSj/vsqMkNouOdTrKn6hfYfEnlfy1D9+1DB9YTNXDd820w
FkmcQ8Q//L9R3JmQF0TvtSVsAq0E0tcmRfa0GEHxq7orvpnRuF1QMa7zfQHFBAmJy/q8/rEnuH6b
WQxAItgb+oP3WtNHovppGYAuQLe2ys/rri8zJgSxspmVLjPq7CkjXlTHeP0lbuBMoaM8Fd5+nFw8
LRJJ4FwLaVjGPyMUlnGwwHKCKlP2lMSj35vPTPWnPKyNMaDGFOXxRzJuGuRqrFFyOkjXUjjQqU0N
dZrhs9qPqs/2g+bulBeWzE9ZhxbGBAeGE7gDCbwM4PdB8objcymcTRfD5tHhzHtNOjC1aDDXs6mg
vboeFtyTWBldX9G1GxIebAieAAsYliXeNJuinqshK7On8ggNEl93trTap/9L2nf1WG40yf6hJUBv
XumObcs26nkhunt6aIssehZ//Qbnu1fDU809xM5KgiRggJMsl5WVGRkhgyjaq6GqOp22iNZW99DC
IOfVCEovjQVmzEB3pj3grCXOIlgQ2OvGXv0doX+bwIUh7iRW4SzrALxekLywXzQwTuYXee8ie/Dy
O4nYn7mtHN/OMhRCR6d4lBzpeWNqZwPXPoA/mqI6pqzF9imZHT2y0VZuBl/0B7d6anfGwd0wN5+D
a+b4wzlo09SPMDe6ser8kL/u1TvqQbZv3J2tezf92uqP3lpJ7mDSGCo7mYCtU4c3KH07WjAg1SAh
qTfEj+VTmib+9SGuXfOgZp+5l/RZL5AzKEggPhZUrOhAb8fBl4pf+Y96q6S1Po1/jHCHvlKilEVl
kwZhJRO/m/SPWK4lJ2HjFkBrLWDC2TOgeYl0pQyTl0e8yNKiqeDeglZLwW1/ZH54UM5d86zpxyj9
rADcearRSJ+O4oZT/R8Oxx/T3CiNRtYKkGGngTnehflXo5+UFh1dDgEPHRNPjezW1af+1L2nnaM2
LxGQDeFnTpndVA+a9aqafkq35LLXl/fPN3EejxConlkJpiNKhdDVqqzzCSAlLjpKA2EavOubaXMK
uLAHOWKSQAoFl1kT+7UKvaMp76H59xFp/X3bogd+POq5Q+lx/BWn0mEw96Pkp9l+6nxaggFgwkX7
oCiHLt9iOFg/WX9mYv7zhe9v1NqstXl1RHKSj7ozkkNvW8/Rvbilo7N6y/zZgny3roa6H7q55knQ
aslmrE7cRi22KFLXb9KFGc7pl6oVm3TAgCzrWTY8oOTBbqvYxDVf0+NWe8Fa7gbALSQEkaXWANvl
pk+IO6GN2h5XDPFE6zZkObg2niDsazPZr6zn/JDWz0PjnOhPszmxzs+FQyPZ0tvf7LA/38HfrbqV
jZ2owpUU+r6cHM3vip063eQ6GqONO6Lf6qnb0saWNRfCUPZYNnM5xFONc9Y8COG+E951YquPG5/1
LTs8x8WLz+IWI+0nquQ6pqfv4zfB9Itmz+J9Xt3hsdbkJeAclTPp9FjTfWZ9yukb6cFT8oiEP1NS
r+hUOw73lEHb0QUY75DLNxEp3ak2Tspg5ybzSLJVVll3lYtv5i7zIVfzDNKceD48lz/yIHuobshu
9IYn9TV+yAJhqw64egss7HF3d64wYIZAiRFUYTT5rEFPr1qFtdMaQ3S4vh6/6178xQ3vLyJWwT0A
yPzlac9J3SIbh8NRKBFkkIiTkOgg9o8K0EjivgVPk9g9KZOvt85k9nZInsArLDFbJSD5sROjtUm0
sXVXw8LlN3G+mELTUIBWAubbFHbN9KYC1ZGkiVsKk6+0nxkUQmj/AzUMf2My5om9NhmcVx7QKqlW
Lc5MHJ3KIlDK1FaSOwPE2NNdmfioTobHgbrUOCfhxqW49t5ejplzGyAIU4wUfG8BFYVXLIWQRugr
kOz4H1PeYsRe87sLW7/nf+HhdVpbaYu/g7pEJ6IIEPjWkVm7TZcWuFMO5SGpQbEpDYgMjRMmH0jV
oBNJdkRjk+Rt/q1vi4aWYwMkSkDd8FmnKEEvqSxiNE3h4Vb0hHfDoTvqjDf9zZbs/PrWXBjjXME0
GeAgBENk0Igeag5D5/YGPVEvlHGnAEo1/cP0ZCNYWM0lQI3q3xFy/kDQUbxuFPhMuSeArzoaIJCy
Uz9ZdyY7llECfsedCWqq8sEQXhqycSrWvNHSOh/aj01uyA28X4i+2V2EnJBrjSrurQHh/cYBXHu1
LG3N37LYmSDBr4synqOw8qSDfFi8kcTajskNFKyEEdSciRPVd6VvboUi8/G6tok4NyiNxjhlDIZj
Yz8qvyqkMMB4ZGdtuEuMn8bT9XGuXYLLYXIOLhMsraZ4+QZJcVuLBfSeBydSfoSg2oijCdGwe93e
+uigp46MIdy8zu3afhRkIWoZnPxBqw7TALCwQ4cdaV0zUOrNXOz6ifxjjtuvkZI1ZECTamChcYl6
0Q1YbhwNPQdoj1FdZKG33marDm3mowX0CuzoFjefdV10kEg2YTAWLFsZksmeNCQRrs/iWgEEeMM/
ZrjrQU4KWdIS3MtpfhcrtjT5RnUHUSUcUFuF8J32pYa+AjLmwi7ZTOrqGPpWWmjVsy6+gbsnRmrl
k5biGwbRIzvlJEm2+FUWDm1e65/KPXX17DaXnkx6bIQCpfetHONvYptvJ+XfD9BErjoYxX0y91jh
chZRZD1Gz31hayZYr4EW2lXUV7N9mz1mw9l8KF8zurOEY5KnYBZNnV5Od8SAapB8n1Rvg/mYErb7
P62RJnI3D/RqOyRf8HkE4jep33e3MdD+7ceU+UVq16Y/hQ8CRC/E/iAKk5tOvW1WW02Uq+d7MUfc
eZvCUe0HWUf6bGfFLohE+odgi6NwNTUJWVAIW2JHgnCa2/S5LHeVGAHyb52yFBUPmXlq8pMY56L9
kdad3VHJrU1P6982pnjNSS8Nc8dgGjJ0qA4sCcLspYt/kadbQbfBJ2pH7KeQ2t3Hw3WDa1tegfyL
BVTT7/bXy0uBtiwmVdHAb2jpjrV3InluIs2h6VbcveZGloa4gSX51IKqsUKtcRxsmgyOZr5cH8ra
xlha4E5v2Fea0TYYSqZRR846ZxrOWX43pB9V4Wv9Fl34qjkVjSi6hIwVkLyXM0ekBISk80q1UuVU
tHBDQOQJ6LpDQ0udslMlV0m3pIy/42HwxJtFUGBYxGOPx8OkkmBQQUIprnXbTyEoR1cL3XsCYS20
IGY/Fc+Re2c/bSDEVkOzhVme6SYb6SROFcx2yM3b9V30Q3kU/emH+Cr8TXi7NMU5GSkB2YQ+oDiW
5pBD7E+K4bbRg25thAn/w5DQBQaYJAiaeag3kC8quNbndHXWiXiBCKObyEn5XCf1WdZBnFyzjNmk
qqyzAnY1gMAhE3x9x85bhHf3aHn49xO4wMhqTEUgXZoGhuSqdWvHUIsumF2YJ0G1r5taO35AMP6G
vYAIks9IdmI7FmKFdBA0J80jobUGLRtJcK9bWU3QGIilsTXR0YE2wstDYTR9iYscbxODBX10HKoX
nDtl+lV9FYBsqg8SmPiSn5Pmpx+h6A7WPqTecGd+XP+MtcEuv4LzBCUDlUnT4L0XRaK+00sKVKqY
b8EZV3NfwKECqgXgJFTiuYB66vQ+bFIE7znaPQ3BGXvZ04STUN6HyCpoplOZN+K5b3+Om9k9nqzh
dzVyaZvbOi2kQI3aQhioj3dFkhzDVjh2JTmQ8VkWjz2IfWiWOmPzJtPPpM8dJvkZekUE1JkPffPB
NBc6NZp0aEof+9+NwneBpodMSvdqgjYPIhzAbeMl/VYIsXa/YWcoM7PDb0GAyw2i63lRtwzR8kC8
qP0oxZtp0vaCrRqhPb3E0CxBPrSmvrFxOaw9tGZCIoBBAHAFsu7SbjtZViMiRgqaWAXEJreUk6nE
1Y4Jiu7/xe5bmJqnYPHO0vMB6eZhQrkGHQRe3NJpTyVpw33NW5h3HcvxcM+A3gyB2WxFPFsp2pSP
cc0cPYKOUxQGYfQeDqZnRFswqNWoaGl0PneLkfVVCOASweKZUnSIoECsFaljKHiudokbKaUbAx2p
T+exscWUbfiWtRU0wdIAnNLMVce/s3Id8PlhwDtEHcfOk0ut8IUsFtws1Yu/8MuI+kCmiUYuXO7c
OAUwfpVWa82pKmK3qL8nvQvBWU/sdQ+URNe3y+q4ZpEleBBQT/IuExnWSmdpnAVKGDc2YD3MSYYm
cbti2no8bpni/KJaMABaCMmCqs31XYbnsJdlUeKLBD1k10e16qAABvn/w9K5p4wIJudQBiVFINI6
V7zWrGeGVFAQdX6d9FN1g268gbCjoCGX5YiDooJPIhnCu2aYJM3LEAYlHtXlRNkrKZSVDmQyou7U
WvIou3KS4v8jpVAqpxsMgTwYUZnUvyQxrpBH1OVxB0LnFDR8Ra2zkznIjWVH+thU+1qkTe30vdi0
9sTi0nRwjEC2vzH+tbwSNM7ASwam/llzmptri5E8qWQlQ8RUeR+TXblQJ0jsT3Tt26mzlXVcu3gR
FeJJBvA54NoG59+qKctx4Ns8qM2fkl4fDdxJoRrGQFSIgVB+QRLFjgWknvPp3LHiZkg8NXsqhtAf
lK9RCELtp5U0P69vgpUQWUEqRpKAaAZ7Ed/6XlhD3o40IoEa17YsiHYhFr6eM8+ivqgoNh3erhtc
81Cw+LtfYq67Wty1iMCRNmDfJUHrt+hBd3vBsb+U9+m5C8gmU9g8p5wPBrACsTiaXmR0wHA+OO2I
UQ4WjOFKDciuq+z+JT865C49VhtgoJWTe2GK80hlDFtyP48rx/Ucm8ZXTON3TSJbrm91Iy0HNX/J
wsdrQxhCNBKW2HHI9l25QyUiZM9KWbqhsC+Fm8IT8BjWvJDYyYspvmrDPu3dlD5vLOXa5oE3BNGF
IoGhlL+xIRFDDUoqEoz1zSh72ejk4uhZQ+I/y//Uj1XlzeRwblrZRGR2njwWsg1ZCK18vP4hK0H6
DJ/59zu463yWREgroSQBIaDDY65UnVAgBrQk2uL1nxfx+376Y4nbTzot9GGwYKnwk4dyqwi/Vo26
GAi3h4wIvPdFiAlNGIRIQYq4S7OndGa3Kb6qD+hd9V8TIAmO+Mr2xbN5O2Dht2Lmtdr83HGAzkJw
O6MVjnOLba7GSq+32F7hfX3QzVvaOaMrNuDNtuu3unek4bN9icYjJK8axSu7+6q3pZ1R47FZbGLW
V48VAH0K1BvAym9xa0uKqc/lCl/THcecOlP41gsnYqIQxei+FU7ABMTam6rfjV3rk76xcyE5avFG
a/NaDRRSi9D7RWMiCKl4PCjUW0ZBUnoSvEjq+1SUtgmBZKP3cs0mqSv3+1AKVOEtU98HZeuiWl0R
fVYoQn73dzPm5YEfq7CqTXPE/n5Ey6d3UA/TR7VLduRgPIDfzdqBl/rDcsXbct+cug2/trbl/xj/
lvAU474uqDqRgJoZkArNiYib0Pp5EfljNb9FIWUJDDP63C4HqOWsMZJMxJabjjp1chVUdv1wjnVH
e6mfrdhuDW+TlfR3RuSaVS49pKFJsa7FeWRu7w5e4SaZnfvtnQrxWHu0Oze7F46K93Zo77Tz+LQr
Hvvb8Tbea79KFxXgx+Tjuhv7nc+49kHc0zwGqVdjlvggzZaPzTv1P2KncdKfNyD1OfRu52mBtR+c
8KvaP5QnC99Yn4THz8Y1vGhnPZsusAKHdh/d5PYb4rkddGnpZBu77im1tyi4frc7XPtY3k2UVRvJ
0BwKoD6GPjPykOhOHkC51ZVfPelR87p9eCu+dofW2V+fp+/XDpDMCP5nZDaKnnyOW24qI1VVVge5
0NoKpOqt2EfJuIN7QpYtRNL3ur15JJcjRcsTdicQxTNYjC+vUCUr+qqmbWA+Y6D94RMQzfqFuFv5
15V81yxOagLWriOtjQISdwwG1STokIOh5BADYNA9WvJ5GMAtM1JXyA5VhzbhDWz4fLT4wYFIAfEv
IlP0PnM3WmP1UVWWZRuoqXaSUnTsWvHPulf8Xqa/rs/jd09izHzFCtJ5MxXR77hmEbeEI1ETE9Cq
IGrEM9S58ZJKNpIX3yOBSxPcpjTToaA6q9rAGEYf+nSo8e2ryk1MCRiZjTthYzh8P1DBMr3TEtga
W/UxyjNfCbdQ0FsmuA0hUj0tpW4eDqshCqJB9uD1+pp8P0szi8a8KAr+DUnNyy0XN2FZ9VqONaEs
hE5E5zax6U5J6Wo5NIWq4Zcl1hv9vls2uSsdeBtVDEPSBiAznal+DsyM7ILcw5/YXQ+sjbrhMNam
EWQJIDJQQOMLza7LQaZKahRqgWnUJqZ7zAAjVa2L/1yfyZVc4zyVf6xw18kQ1WpeQSMiqOzmebJj
Nzu/hp09HR0tcceNdP/6HP4xNv/54iwlbVFOmlW0AXMYs5N360fLbM15uT6m78HX5ZC440SsWrOM
EFZGP36KX7Z4wddO658ZA4fG5SCkAasQtfA9WqN6whRoVo8AL0CnRqc610ey5uaWprh9PmQUgLNp
9uHNJ5WJ3eT+s9BusZKtWzGAe5TBwfntuSmpVdwkCaxMo+ASukskxa+V9KPtTPtvxvPH0rzlF+tv
WXE6lnLbBmUBzftQjh4TqTgBd/QiVOVGBLi6C9BkjuAX0G90/17a0tp2zFKNYa9VkVtAEkuVPiYE
ZddHtH5+EFlDF3Om2uaDwAEYeipNMBPXN1EDULZce4JVHCgo1Y3Yk43oNg4VB8qZ/2h08sZofLv+
BavjnLlO0GwNChuTO8BJREDSUYhtkGdvpYVh5uco3oIXbxnhDq7elXpNYgmjtAQ/HuJTLgz3REg2
fOzKUxKq74inwUOAfYhaz+WihaC07Qw1xAYhX+Cps9E96ACxJaKps07tNiN2Pn3JQ4naD0HfgJf2
4DQvUY8o0zstKx0ZT9AqeaJTvL8+yyuB4+WXcTMAtEqVdLWBKwePSFeo3fCxBtD9Vzh55NbYDxJQ
wa7xbNxqva//NAPopNqaGmy9a747H3wGaup448qgAuMbGrpWLcxw7NHcl1lOLIPaTIJ80ZERW9M3
i27zlXYZZc2ZarymAYqeq4ncmAVB0Fij0m5GI0/gYCSHOnsvLU/7EVXveOPaQHoK5AtsQhtn9/vV
B9QTOHVA+YK4y+KVF0w6giTEQAtjbPzQ9FOdfVxfzZWYFQZmfgLQk0A1Wp1HvnBEdadOZa6mfdA2
Q6/bFs1E6abPUOk/k860kh3+3/qQBLNTXJWYk2HrWWXsZQE4Lff6t3w/WmhuR61vfhOgO5SvgIvZ
FGVmGI8BktRS4oKFQ9ynTBepC5m6Lb6J764exmSwW86Pgpl15nLcnUCkSK6KMRDy/KAS1jhUgs8Y
0xFvx2IrdF4dmmLNajkovFv8EyQcp7IzGzoGgLmIR6aH+u2oisoBhH3pRmSxagqsRFDuQ37W4gH8
YaKLWaH2GBgDdRV6U/O9rJXKSQnRbHh9wVbnEEwaGh478+Nj/pTl3jGTvopDeQzSMmnsSN5Dp15D
I8TogU5/8q4bW0n3z7xSyFICCjK3d3AeEZX3AdE0ZYE4Cta9FelNb5daBGarmeQeQmkGo9k9znHu
ZFFU+wZpjfqYVEb+Qbsebz6jDPPRLgypf2oHkpOX6x/4/aji+5DfmXUZxDk/zs1G15VTgZbAIAR4
+EQMtZg7u+SNafg+5+jfV1URmxdUkejXvrRiTJEhVIrAggoNXSd04bOjLgjxoS2b5ElUh2oDsbcy
KqwuOHGAwZk1AS5jvOsz9H1r4tsXv8XNEBJEcqhHKgv0B+UjO+iv139+pTRx+fucLwOlSxQKCX5f
jp3sR3aKA7D/27Oa6jN07fDfDXvfr6BLe9xaaCRVukyBPSs+5+0ph+Tia6r/GOvdCKyoqT6Ogie1
s151Gjso0tnD+FDHPyt1q4d/Jb15+SWcN5uorkV0VNBdG3lKd9LfdXojIx1Xvad+VThiodn5zuru
3jdmYF79y3vx0i7nASxZFSbUbljQWf/Qyq2zfTP5JPRRq36NPrekSdb2PjoXZ5gsxKBwHV7ufaUH
LzNpiilIMhnV9zKB3DsJ76ykCu1eLuuNN8fqfoIqEDD5aC8BywW3vknT5gzX4xRAhMrVk68ssaun
8PA2SfuuN53cS0z/+oSunTYdHC+zAhkufIuLM5glNYkyiBOeBXrjp2JKfWa0W4mq+Vf4VVta4eax
yq04HId+Cswa6plSuCvprrtBz78dnqB/thHKrp0SXQLHs4anO+537lTmbV6kErWmwDIjcivinWDn
rVEdJKFRdo1aBn2aloe/mMeFTW7leqkeBjhp2BT7FCAhCiLwqjT3f2MFJXgkxIBk/dajhli7NdoE
1V9ZbW9yc/pnAFZpw8japp/JBS3kPhD/8Q5/zCzT6ESUmOV2jG4iyfDlUHnMDbNwWaKpGxO35qLh
oYG3mrWS0HV4ecSQvhTKkBIxgNa2Zg9m135imotbreiqjZtsJfQEoRkyiTOdIRgUTW5jRL06qU1o
TgFgj8phHIscpfSmdCAXyZwiE6OXvkXd0RhoeVvVOTsag6VvREurs4vauYLoBf/ho6W5MUUyBuQu
JuRNj2lmtnaidMzNkDlx4sn8+Rc7BizgeJ8CoWXwGqhTJpPRCEGrZvRj409EgthcTYUNx7XmRdBH
YAClMPOa8kS+GhHkShtiMSiN4QECwVAVs7rH//1IljZ4H2J1gpHk2PsZESQ76dvI6a2tWuZKqRwY
tlkwCR4RGW6eX9fIjMJUyAgryOAf0W3bnAyTWYdwZO1jJyIxl5mN5dWRAcoatQa+NGK6LYUR8yoA
vT0tESx/aAaIWFcQcugEPXmKqJo7cc6S4/UZWTs64IBBTQPtiCbgg5dHB6X0qrCILAL/GYZuhusp
6FsQPnVpngV/YwoC7gA0geiU580VUrmImswSg0bomCPncf9cNqZqawxIkOumVveSCeEbvHyRY9C5
mG3UtCTJGwV7Seyi2ylNJ0+VW/FvdtPCCucKWghvGgk8dgCpR9WPO1oe9LxTd9fHsrpCFrSbgOGZ
02HcnjXlfOwzPZICMFuAgbMHdpBOcnqLlNSWSuNKsw127h9b2mXc/F9UBQgnFUwxIMgooAJk1kV/
lkZWDvtImcTu3LNEYbbQTH3tKlZF2F5JLLGxJWNqULLPtQ4pslzVbTHRmshuaw2tz6WaolHhb2bF
APWqCNEsnX+bdmLZCa0UimiQy+hRag3tHyYOzUPYldZGyWWeYD7wMEVQoc3vFyCkuSMCSJxBWyuT
gG6Un8dJ+6gr+THWgkhCAwii5xlb0m6EVGuLPou64o6B4pnBkwrVsTpVYwObQ01jW9CqzqFCHPsA
T0QbptYiHZCBWxpKFKCx5K9qhnCgl0oqBXFa2Mmp1d0x9PrGr4eNmGDtUC4NzX++eHiHYZjJqVnO
G7m4J3Hi5BHZSDytXIy4ngDcmPU+QQ/KLdWgzk/teVdETXQsoCafgt3D1gYCYMvz9Q24FmejQguX
CSYdBZJq3HBYX0OLucdwRHCdO3LUu3obq34y1uOtqdaC0yblcG5rFZV9zbzRO5O9EkGhG7O60vmB
dAk6kRCrYq9IfAKZ5uidjsZUAkxCt6MyvxlV9ObLLzUEqtBh4FRHtQXBTyS7A8ULn+m3Td5BSbK/
I2V5EIpo3DiaK+fl4oPMy3WmNbjyB3k+L7Gjq4kv5+UpxCx00AzOBgYeYSiyutdXY2VvwSYI4Qy4
A7yxOFdsjlQV46SBzYi4anovFlu94uuj+mOBC85HPLmstoYFtY5DP0dFzxqDbkie675GMiN5oGN4
rqxh4x2ylkC6GBm3zSakdWlet1LAip969ircRhYySBN7SkV1V0Jap2whYZI4kF3w0FF7m5V2Ym0Q
sK5USTC50HeDki7CbIsnSS+mAjG1AB8BVJYCnAoVBiczNEguSgBrFgTJx/CY6q0fSqNuF6lyVsYt
3ut523Bu+OIbuG1lNLhRLIZ7sB6y7l0URLz8ir7vXscekdIEsu/zkPWyO5Gi2XCRq25lMXzuCtYH
s5CSefgGuhEE8xPRq6MaH1O+lUxedyp/LPEXcFVXaQTIMnxkABmhNLWFWySv05fqabhTP7Z4U1Zu
GUwpWLFQflIQLHGnpg6TJO7TWgr09qwqgdD4KtvIxK3cLhcmuGPT93Kes6GCd9I/MSKwDMrkPRpM
XGeH6y5gfZH+DIY7KC0ZtEHXcVDI5AAhtNdMYpd6eZePGwHZWnx/MSbulkHMyWgkwhV0yM9W2aEm
vt6ojqJ+yahTCvEAsWlHSBUokRB/NHe0x+Ilbq0yyEnqrypRvrRE/Hl9+Kv+abGW8/QsblcJbzOJ
aJhoU3qLE1cMqa1OxyH50Qh3hXSnxBsh9tpDGHV6pFh18DKj55AzWHRpkiJHgbiht2vsVQUsCe/6
TyLbJpBK9LHZgsGue6GFxXmvLYZIyklk4zzvTRx6tKpsY7J2NHtIWLRThfcSQridvKMlVPea/kVr
N1zx6h2zMM85oI5ULNbDboZcWvUuNqXUbqIq9a6v41oMjnkFZgls+DMeltvHRjmCMK+AGd105OeD
itM/gaLrLNvI1oBcw9l6xqwe0YVBbju3Asi9BRMHR4V+CMtruzNlT5DeCI3ddvrn+vBWXc7CGLdr
oq6lyWRhDWlJfzRdXjhmKkk2yfPMuW5p9UAsLHG7ZTCYMbARliat9Yj2kJlerewb/Wwxh9LJQTJq
w+KqB1pY5DaIRQaSDgYsGn2xM8M96/9pCJrmev/6yLg5BMcvnj0LlSBuZMaoguS0hBiRkvfMTQT9
oUsKtNR3v67b4WbwP3Zm6m6UrRS0T3B20C0XThOUvc4lCa1TyizTQVpDc6uMJGhkHupdjVbVQylX
YHZFm+p169xx+3/WoTaDlJAhAQZyedozRrIwAujy3J+tD2WLN3lei0U08fvXoeOHVB6ozxXEjJe/
nsZyFioEvLS4njzgAg6J1jpD0/uEPsnNrtQ3Qqi1NVva4+5Ba0R/rSHAnoEHiSpkTklLW6ev1+ds
XpFro+J8R0kbqRAkCcJ9+ogVsm6mxrrT2/bYW3SfZhtpyLUVQtiL5jvVRDqHf23Bf1ksxT/nWp1E
pyTR6CDs2yIr5i+a/ywVhLHxBkevENI5l0tFy5K0uQhls0orfVXcC6U7M/GYINnVkU7OcxevNLdJ
hY1jxh3nb3bnP19cN5TGCppAsWQ6ubX6XUsa36L3Hd0a4Oo0LsbHHTMtzyS5rGblNgjyBFuv7tWN
t/h1zikJ1lC0/Tx7cjPrcryLkeiZmbRxWFetzC3rOjY52hW44zRQLa1GTcBhtegOXXWgnVHtgW4k
K1e398IKf4gsLTZE4C3OmvSih9Rp5QzyRaJXsq9Gef6Lo2TheY9OPWBMeAyLIDZws7UIsXkoN9mK
loW2kiWiK9dRuoOAJCADNGt2142uTSPQArPDnZHYFpd/i4pQwjZLMjDzfrUQc8x7FBayh78wgmwi
UllzZYbvYg0xXELNIjuPEIjpNfE2arXbkVmP182sLRbgNEhNQJwPAh7cYvWE9EzOquxsMD+r3w31
XEQuugLd7G+0Q5eWOK839HixCjL0/7DvDnFsV+mGJ1hdFm3OjaF1cN7fl54gGpSxoy0MgKDZM8ed
yKADEm1s7jV3A1jPv0a4I6TngtiJHYJY2nhh5pXR0Sh2U78RxK4OZW5jANgRvVY88l7pVWXKxAGL
X3tidZtCpirGbX596deGAmA/CNGBdUMNmvM52VSGECvQsnMde+p4Y4WOpT5kW6ASHtP320Evzczx
y8JBiwC3NYaS5GexBjVt3k+DU0/Sm8RKZKSnUA+hTElyt9LBSjWGHbjKW4M6pSp0ttiGR1KC1k0x
WLFL1UHw2lpHLzAUft1emXpHG3vVY0yZnq7PzdoCLD6a73+uJUohmoy5GZBZr3bK5Elb5cG12EbD
+qJwjeAN0jmX8wIe1DTqa0iaRvqp656B3LiTATuyesMuuq9Bqb2/GBJ6eec0AmB/IrfcIEQqy04a
0jOxWohqtJp4UuoCHTJ1qm04yLW7UluY4oZW1ypq1WkH0WzP8LZ601eXRpqhWsjrIiHOXfhTPnRS
Pc9bDsBqQwwnxjPBGjbc7+rhWFiZ/eZi19YKi6ZchZVGhjoBihcayx2re5/0LviLdcE2mF/oMMhr
jzWyhGy40KfnNnnXjIcpehjyvxkMIIIoTEkS9AS/OS2Im+UguTtr6TObe4amwtath83wee0poi3s
cJeJajWZIE+IxUineBpNHFUAuZLAnAYSBDETHUsC7fn/NsfxHw8DHCvyyui/ROXycq1YEmkNGxA8
MVBHxeCMqqUdJLeQcdzrReLE4ScUlByz6ba24uo+nyv7KGMg/atzhmkppyMo9bJzngIJEv6y0Ib7
F5tjYWE+DIttCNgLEtkNHndj+DyMRyRu7aF7uW5j1REZUKMADAk4BR44ECe6PugpnnBmsRMTB2I7
iuRZgAgxZ0w3PMNauKEtbHEz1gx9xhIBttB04U/lYI/qXRjtDLX2ZS3fmLzV5bHQ767PEJpvzYCx
PiHnxBBCmREofETUs8oy38ic8mD635sPP403z1z7/VbENka9Hto6zc6R9mCZDXoM7SY5IqH4Lshe
W76oQao6Yv4a1l6KNpxGsRVszdGlIDbP5MK/vpZr8wv4FQ4D6EjQ0sSddFRbJzbmBETe4M4syIPc
ox/VgtQyeRhGayOAWPPEQF+BDQh4HsSOXMBVhgoKRyJix/xQihCesm4Ism3XB7TmUuaDDX4VcaZp
4g4AkywajiXLzqhsHNOUoCUh92gt2hmAWBhW7ipo7C81Yas+trZ55uIkpN4wj99qVa2egRlORPpG
HAowQFNnGLPD9bGtLtbCBOcus07VOyGEjrRoOmBiCSTtJlVq8Hejqd5QNhZryxh38giULyVBgwK3
kvvZQM91ZCt14kcquGPVrRzbmktZTh63akI3Sk0KChccc3an5RMQjqqdgzTKCFHXhGyKvBlmrm5G
RZsbuUBgBjzbpackpVXHMm2yM2mQ57ALRkrQpgsEsaQYy8IrZB/R3JKbpChssZOsCtTATeuWrJQ/
VMC5KzuJK0JthKHdJ6mN5p6wLEm9mSTQp1M+OWVYD1+RNTcSG00oPsWjkYS23mXhfZdLZojD3dfJ
jZDlWx1962Obiz/Q0AR/EhfySOaYZR2dfUyO/JBkRy1aYbYyeatGAPtGvwb+gk7u5QSCTz0SGdJ5
ZyHMbHkCNX9li+r79S2/eqpA1gBmpvl187uOurjPiJAXeHFkeASCI/CUGBPzkEnf4vBaC97g7zFb
JtghvrH3pObU1aaER1qFNPng/jdp19kjR65rf1EBlcNXVegw3RNsj8N8KTjMVKlyTr/+Hc3irrtl
3Rau3y6wu4CxzaJEkRLJcxiX4WYdB01yfIW62IwqDHgIFQHgesHSpa96x4H7A2rH88dPt1dKuB2O
iqVCGxbU4JIMmevltHfx6xYmf2X3Djh4hlQS+YUaXMjgHLhqKrVZUbyY+7m0DnFdKZgB5/bBbU34
4vg/IRK7DZg8iBqBlr9eqG1Q4s3a2JsZlP0F+eqiPjIlGNSx7ygp8g/WHnOHfHXcWc+3JYt8HpqP
XHRBAdeADPW14GVd09UubAQoWq5hn4w96gnVdlCmrb5TZvWEaSteeFumaN8uZXLKaqNaZf1gwvaq
OdrU5lwidd2jffC2GLFqLkj4kBZHpYF3CbTv0Yfs5KfUNALwOwdtZga6Wj16owoYn6Rjh694v2/h
+xA69NICZcT37lbqPJlNMsHWPaJN96kRtMeuCm3QFtq74etexu8pWkVkkjFqnfErYJz99c45S5Uk
xYCkQVs/Yp4uUqJWqGQyoJZoEcHxBSykzVpGeMNsqFFZ5QTO49ZCWy7Kd5g7V3l3k1qeGimDj1Al
IAs0Hc2OrFhyrVK9UTwlNyM/xSBcQk5hmB0yygY+CzW6EMLd/xTbjpFt0XFdqhc/mzowK0Wbsfhx
7AbG+HTbBsUaMeYbjKrHweZssF6rDCAt2OAEJvp6flpoR6ZFknCTCWEaX0SMrPbyWa0gJB+RGd9A
Oj9ZgaXKYC4yMVx2xDMwP7JVcGyHkSzpLgdTluQCJpPAXVCmclt7TMRESgkEw81k4fLag0FfkjkU
uXTX/HdP+MTVmlhLYrRYLtfq/WnsSbf9RY2MXbCQtEIVAd7nekNAMWbVscMOTWYTx/uRZXmAkVmS
e79wtWwPQRyQRsB8uP3QQMngGQr0sNS3CqBvOvp4wP0/hXBb0tBijN3CzU+0x+gf61yurbwcIrqM
oP34P5rwo5xysGW3KfPUrnZsvxfxnVaEiSQaCGU4hgomOwfQHp4tIYvBntKXMS6/6RdjfKuM3Zye
WlOy8zIpnAfTVpemgKXDKWvnKugyDdfpx2mSeBWxFA9YXUZsDgDHtX11E16wepYVp96q9np6zAcv
MoAwq7/f9l5sc/kqLNpC/5XD2XECljynbfLitNXowPQAogNBGBofXScDTuNHMam+9MIl0427Y9cj
Kt3A1yMX/pJ5z+O9k5DclCIb2Jf/oRmyyhpS1AzPyV0dh9JEuMT/caq2x83VMbVDRzP4oRh8Y8B7
RSW9+dpsn9qtI61hhreXVXRwgR5A3Aa5gIV68PX2mVuFV7q3oB2h2aEI03Znh36+LUJYa0bODQ18
JkoXyFtdy7CBI++9DFW/BhyZvq4WO5Ou987Uh2XxwVgfRgukMZisYPUyzjnBwxboWIYPROYeRW4u
Gs21ahRjAue31d+UmswtsYrjoPoob7/dVlJgKmAEBToQV5P3ScPXOm4pxtwvS1ucstnaI/WH6V9R
ke8rWUZOLAeaMGg80PrcWrYbmKNbrStOrqk8L2b/fZqdQ7UmxxrP0f/d30Kn37LYt1zE8kSt2zKv
huLkDEeLhtAqnSQ+SnABuhLBbZDe5tZaO1AHLAO9X9JhIrqRPWKg+FO+FHuAISRhXRBwgfZjxCSs
7ohelWudSsNo+9qELarpl80ZiSsrawr81JUATqPCBURmGXBv3BRcGMNWX3dJeXAfkzqN7K7fmc3u
tuWJNUJqWWXDrXEDv9ao6QZLK3R2UUnsV0W3HoF6+XRbhNDo0O/xD9wWsfFaxOJtjrKs0GkY/epX
M9wl3j5pJEFRqAcavRg6FGGE56ZZejVuFRUOvlrK/eRaUbr875cthKjfEtgXXNjzpiZe3NICZye1
CWo3A9o5by+UwJteSeBOJ3LzRrlukGDrTy3ad4ruF4qpfyEEVSHbRdYMmXKer8LKHK1OCsSL0rlr
foyAwIW3tRDtxKUATgt7blYzryDAqElskPl/bCJkr1O8q1RMT0SFC/Te3BlUO3UyUSaGAuqEhlor
8bfV2xe6Q5yVEnN+0lb1o6XL6GpEVnwpljsowAkW4JSrilMan9X+VTGR/0aPeyIrM4ni3ZV+XExd
kILKbB36ZYVLT3GlA7YyzEUwWfSxsB6KVXtYASeoZvCmKGUsw+uIgt6lntw1OdGm0dQbiO/ih634
NM0z2ci4NuFq1X4fS3IN4lVFQQEZG5RtdO6ORKc+LRoD0jCRPgWJum4GSnGsLNmYX6EcnSGQDGB0
8aC5Prx4KWup6WH30GOxjUerPlbF0cslps9Mm7uLsTZQwO2BA8Z/cVunOGbWJRvCOETE8xM0kZaq
ZSK47SlSp3cSdlMwTfBcurnzxUHWHQTMkrggXrB/VeE5dHLHUxLVRWjNK9b6Us7+1kbeXzkjDIhl
DJ6gPOHjqdqgibDtpuI0uM9u4gZwR3PT/kXQBrAeQwIQWrH97AZ94bi1VeliZcCSGYpSBWWLYoiS
WY1k79n5/2Pv31+vjFIGqbprKetQ6UC6QUqv2QE2P1YfW+3YlVOgy2A3Ig+LQIEaDugkdEw1uRZV
KnMFThqtOHlN3QWeU6g+8t+rZNlElqZraCbFGAnwhvFtScqmWxPF2N5TRsF2Y8TfNp0GhafKqt4i
S8PrBccStQ4UCjgX0EyDW1uFAYtGv88un4lr+NSRvDOFyiA1/F6NYNfs6yUrtLoDq6SOk4lryPS5
VwMMHb4d90QGAID5f0Q43DVnxTjfdNCxK6V2bLoMreZnO9mBRtr3clkuU2QBBuvwcPHqwqOPV8eg
ebtZU3nq2yTCw4ulnW9rI5SAPCmjykRfGE9JUWBQIhIAuIsYSk4UzByv/qK5DkxovyVwT/+ymRbL
eH8e99/7vDxW45taPCdOsb+tiTCgXgrizn+aOFQ3K6iCZsc4Oa5ZYDxZz8gzrxPAVUE3/8UN61Ie
Z9DZaHhzx65xbOlYH0f3VDqSl4/o0JgqGhBwF2LNKJyxufm4jrmNxxU4PHZKZ5Mc89O34SWuO4k2
QkmAuaPbH+cTPAHXJ6ct684ZNbhoQ/1ct48esgrUQA2slLGbi44ocFogXQSKwUSm5lpQ6g0x+FGW
9/ciyGsOMIZcGtZEZn0phDs48AJ5kw1waglYSXAF6Adbsl5CNUBSz+qqePHw7A2ZOcbTOEHCXPZk
QE2yt15VS/IWkQlhm3YR0oxEU2wwgMBn0jLwxjd2QL15Dm6fHJkU7so7m1OS9xRSmiqpg2JyHX9x
296Ps0zWXcLWnY+emBcE7wlMq4Wky7VC7WpWKTBOeMl/td+Kj9WWkz1mKPbdF1mxSeSmTeDD/5l0
glHJ15IKNfaUasvKk9dtdrBV3fyrTxqXpKmqPK1V9X2yR11iE8IzxGCQDgp4DuarXMvUAK401SIv
EUpjlD4Xv8t7YlSAp8+vt7dMJAns+TrsD5zASMxdS6JKCtrXqihPmnXqMeiwSZ+AzCdKJ2ELF5kG
WrsYh6WNYa98w/oCDgSwtFTlaQzj1v/RuX9hepe/z61YU02K24Fa76Q6d2N9Qtt1Mj3eXiqRyV2K
4M4QcFqgZ7RKiEi/LPMdaDjnO/To+qPxitKAL0VKiFwPqL/QmOnByjEp5XprNJSEKkzVLHFmV7LZ
JnjqP9/WiHlI/hChfeqd5AmJN/7OrvddvyQdNMrBYzbmmLpif6Xfui5yndovc9l0V2FgReMPa8EB
pgAe71ojTHkq1KasIS/uH/syfapRIkjU4S7LbIUsxY+kesMMGC3eJFsnsvJLwdxSdlOsa2UPwX3a
7ZRtJSudorh8KmSNwSIzt3WgJdB6iUcqTygxUMuqVg9mrow7pz7G4+5vSp7owvktgrP0Um22pQee
6vS+WNRfx+OUvN02DJkanKnbrQE6ChWGofVPcxYW9OzIENgyEZzjsYs09joXIrBSwElgpcz6+Dda
sO4YZMoNbMi1uRlWBoBvN5Qn3Ui2CJMtNb8znDdr1ZLwtiSRa8A7EekCRAqUPrlbQpZUDSbYQZK7
DDMwGdqEh5yFjmKvW1TfwQzx8xjb7X5rB+1lm3RZYV+4mL/l8+1ATUHtzHLgKmz1BfsV589/t18u
Jqwwsh77j7M7JErB6pg4Qm7ju2DvqzfflEEDhOf0Qgh3ThV3xrAxxy1PNJl3CUie5+mJuvpjI6Pk
EC7YhSD92jSK2FPttbTgiaqQIdCQeXF6yZVbdHEAfRX6v0G4gcswLyMHfV9rxeXJSFXSdeceg38q
VSGhJPSJvDhiBB746DRmU62vdaHV5jm9YrzroujEbEn60f00pWdpRBJpdCmJu3RZg91X7mQiAupJ
kFbPcftmFlM09DFppv3tIyVqKtJBmsRaRwA/Q8/htVozOr5NOFio9VYXZAPU4s4IHt3Rx7iJ4gU0
pxJ5IpO4lMcpN5V0oloGkzC28eRM9kJakFS6lU3ACRSugA+go3jZzd5r3ucgYNePw2h99fTFb3Nb
4rmEC40MB7ggwEqEDMG17mo8gQUhS6vTqB7n1IjGPvad6m6wPsazjHhRIAuvD4ZXQkoNyXJOb2ot
qwvkKj0pjWc/tKtqEyMpS6LMAGQ5fVkHjKhb4jDfWeS5qweI9YAvwzVAwwZzh8MqQV9pJB3F2FoM
dfxcW1Fpk8Ujrf6wNm3oGfRRy86FMhG1eFlmZJS1L1o9hkP6ZlRjdHvvBW4HH8MSvaDrMnW++cqe
QXlvTQ096d4QYZ54j0mnyo62tcTGxHJYNgkhAiGcu/9UlpWqlT5S4DWyNgLqpiemSZcQeKx5D5hb
K/EMbOv+WGREP/yNCz4wUddmpCiYt+lhoU8reO3IlsdVMC6WLpEiODjIkP+Wwjlt3TGpY2SQAjbe
ueqilEaVXRxub5FQCBgZWfcSUI98EWduHAz37WYKMq5q5+iPJbhnYvo3+3MhhB2Vi1dyU1Z43rsT
iijAhmafYuM1JbUhCQtCI2BFKbz2kY7hs8u5UmJahQNNJt045mr4uq2+2+WS5OL76+CPvb8Qw7kQ
ulqrvsULPSU5OKm1Y24/YKj9rrFWfx7Mjy7KX3rypFXPqwquatv3+iWI2z4w9XvMrCNd6C0nJ/uO
GTGOuwfpBs7yScn7Qz1jjqD2YB3QPRuOjRLG/dmV3dxEPonR1SOZiEYR9OFcb8Skz22dagY9FTXp
lLv2kH+bXjGL4n+3qQspfMqyrEH4NpiQgiso7nZ+nuONNcgGyAh1QZ7CRUMKCgp8mncB1WpeMCmV
4cco8GwgjH+Mhy+m8+m2OkJB4E7DXQNIbVxgrhcNxGHKiHkx9GShnfqxcJNf3UDBpRWXys5KVmSw
G4SR2zJFxxIh6l+Z3InZUmUu+hHKIWT4dvl90Y50lMQK0YEBmh4QKuQtMTOBDxXDMiMRT7MTij9k
KM+986N2djIKRVPkLIFXQgRAHg6JUk4VLSsaPSkhpg3N3XRS9uBaqIL40DzW/ryrMpIQh2ik9jGy
LkqjPPz2/KXzjePzFFr75LHze53MB2dX+Tg9fn7Ig88VqfxsVxym19urLvtULvM5rWMaUyfNTrTC
Xaj/kRq72wJ4mibmN8C7/3sxuAOoLFNf6DEWw7DzHepxkb0MZFI/YaJmuJQG+liOnfVkToHj1GBw
k2QreT5EXvw7avzCEcdznlTmCAX1J+erQ8m4kf4F7Zf5s/swfY+/Dt+X+zYl6RNSfrc1Fy+t+456
xxLw2evE7CY1K2pwvLQJ8OhF1QQpGJwlx4anH/tHQXTnuwhlAKJ4XMy046pFwO6yExhPrOwlxshm
x872zUhyYvYUXKwOQUGwWoNhKT6Y8x41SDufIiA82WShVVr0EDkPZBX+/SDukHnlEvdJAkSzk1ak
A+5h0fxFd3wTTIHbIgnmYvUZdQVOmob+G85VWWlaqulYwbx6EDnFObguU5LHX1OX5OPZOFc/Fr0m
xhTpUxYtZ+2DukaJ9lgjYzPJWrSEml98C3fu22xVEnDMgSLGDpzt56xgyk69r23S5LLqtQjrAtSj
haYgZHXZNfDaRRfgIPWsGSj7WH2qMheYnYHk2llpj/HqRHGCIZRD4HifGhouzX41U6LPkyQTK7x6
X34Eb3sNRTVAA6QcL/j5boLX8rf+nBBak+TT8OYtgfaSkRWAh0/9Jxn2TxQwLoVzdpai/wXceQD/
gzA6WOwXlKz8vpO4L+ad+LsP43c3AOrBIvOXRQ+zSdplg4bdocDFV8dM1Oo4lz9U4zRN39Ha8RcR
CjiUd+JSZEf4rB/Gj2GWmoVtRediS1GZRNcnrZH3kXUmiDKoIOsDMzxL2uJZwN3qkqyJFbTgZacq
n/wq/dBqjs+qeTFtfG8CiANeGo/ED7edougtbqB3CpcYlEGQ2OTstjTyzClTwF2XxovarfC3Ioq7
X+Ds1E555p297VmrtmMmuSrz00X+cZO4yaDxGbdBVEOuz4umpo1RzHp28vSfmb6gkFiH4AUnc31X
pUkAimX0cq1kSGwMJduITfs93liSTITo/gEr+vcjOGe1xBXNegsEAqrzBR13/gyaAkA+D5kjMSOR
2eIuhTY1dIpq2ONrbY2ltNxRT3JoG7hDtH0fCpJMPv3p4ixK3geiOIeSAqAg6IvDNATO64HitVS2
zcZTh1qvddPNfqpkjiTMsQ/mz6GDGAqQHZsm9z6e+iKM9/m8lYgpMBsr1JentA2N73V6wkzDUVYM
FnnxS1GcX0EDHOq0DUTNfv1ZOxUfG3SNkr84BpdCuNNn1umW5zOEOHrwMs6kKcnkZxvRMx+o2PTp
tjjh6mHUHIZOWRjH9X44LlbPyWo3cxNIix31sJqs/EyWp2TRwNAxkbiXmLnIMzPibYbWYoMiuDPu
uDRjPUJwmrNB/aqNz15RvMVdLAv+oq3CGAoPwD0W+/m7z2oniZer4BsZjG5vaVNQlnfbsBtbX0vv
ivWUtOAwt+917zMbtzpHhWrv+wkzMT4lmqxnSXQMXA8cBfgLNzG+uLvUs9qB/QqcZ0aTH1xnyEKa
9JrksIkONg4ZOmhd+G6T71rDxFVjbRYzO21TvEsLJawo2vXTPvAWSobq2LfTU+Y0kkAv2lCAfTAh
DWxgeNNw1goqHIA/UAQ5pRgZBLYHp8kDaagVLeClEPbnF0aqabWpzeihP23dU7N9NtNNcuh0kblc
SuBiQLwhYWNh/MAp9R5qewxiAPWtsj6qIJWonI2UCXtWl6NyTMuHLD8ruLHmGHjc5rumHGZA3EyC
V344FxRtnM59NodJsUUmRgBppNK6/aBHDpXh5WVfzQWNfO0UgKfZluentQ6TxSVx8UILf8hlrk+8
zw6mNrHQgVN1vQUgicDYTQ9BEkwA6FeiREFKsdCi295IuNFolgeiHbcAABqupWzgT5jyGFLSDgOo
Ouor+eNtCUI9LiRwG6302rZgIjbupRoaVWfbd9NTXcnak8RSMI4dmRjUvi1OjzExi3LscSqcxQkm
lH5YDmtZd7d1EfluD+Oo/yOF06WkcZuCfABcR9tZj63Am19R9Ju6ApfRoFITyXgL0RUFI88wdxEd
Mcjic9ZWgyTXLD1whdDqHvm8csnPI1g20amXSI6jcPnQVoX0NYjk/xikQbs4r/p4+YeKcsWNwZuf
dU3G7CrU50IKpw9U3WqHMbtiIEtYjOuTO7Eq6nHDdN/bGyVyzSzFiHFFwCmj5/farB077wYnxkYV
NoU7qf3W8q3iK6AajZmH2hQiQ3pbotAzXEhkpnPhMWnlJEpKcZD6egpiXY9Wr02IOyX7eki/dLGs
1CI0RQudZWyMLNBPnCnSOi/bfIOGedV5QC931n6x+0NV5Q1piwTjTmFPu2LJZI8VoalcCOY2MQUT
5kIrxHmbQczHs26+Amgl2T+hEAwiwnRTg/EU6txqomku3mKw5caesUNHaI4sSm9LbmLCLQNzGGq4
8H42D4FJ4rQHVgw+AwVQMhrZYfnigWd7MOudl4+SSzNPHs4ePSaGHmmYgoZHHjrEr1Uyq3jqBwV+
0G0oSbVtD75KDy+tCRXxgqS1n57VY0kw/qPYOXbotB9uG6jg8KFTFC3cbDqZ6fDJtzQxFM0qihy5
KaTfjaT52qat39Sz48dJLbmkCIUh2QoEFpLWqssFL2fsliJXQPkyq2sVLF0x+fVQGoEL4rQQF1IZ
cZNQnov2ZEb6gWo5fxpy18KMgQEUCIsBgOukHdkEXnWrQp2mP28vpMA20WmNIY6agUu1y2eUy9bV
GxWHD+VyoAeSYkFaCeD4wGziTGI0MlGcU+kxAShVQJ1z0mJkAOhItCUjnSbDq4gSs7BM+BJGqQvm
We5MzwltVpQXgK21P1ACBvEg/5QfVBI/1KfGnyLrqPgYSHO4vZCC83cllXPSuBZkSqmym5Sf+g55
dXZ5cFsCO1PcS9VktEO4FADr6r1fQi+cslKsUzk6wGl28wT6GdWNgMr/dluGINQgpAEdzGYjwxdz
ebd0TiqnsYCcNFuMmAALyJ2a5OFWh0avhTUtv4E6alDebgsVGQY6QzC50ARiHnXna2eyzkVW14aL
eyhwWXn3UiCPr8j2RxBiUNwCwg5ZGgAm+Gbc0u6cbMAD6jQkvZ97eqQmH6xj6viq8ixlvxUZAzp+
4SzAfGSgdeFao3IdbUXdIKyuPpeeFdEXI4vJnJU+Gvr+YvGAAkLHPONh5ScSDU3TqaAXgV5ZbRCM
+FV3aMIq/aZbZcOPhFpdiOIea8pW4I3T4ABj5h2YbV/m+cPqPnTIk7SNLDCLjB3AEzhbZLVQvOBe
+uPUjEU5Qy0v+TDZ6PSsTUlUFuUpEboY26eL9A8A8deblOVz6swGYghQxCTxWtx5MTSqW/28UAjt
tx0tf1lIfnvqX2BiGdcinvKmC3Avb/CGYudzkgE83Bik/za1Pp70t61CFEIMkAK5cBhw7X8kJZ05
zZBRAy/WWnwqxoXUdX2kmRdSWRlcdHgvJXHedkrpOmY2aGeSoWt8jdoNyeJF912rUCUOUCaKc7HG
5mZLXYOHpE3fmvJt6l5cU9LUJF43OHIcXSTnbe7gdnbpFbUDbVQz82uFzXM7VnUS0VESLsS6oGmM
vYiB+OXtu22KrWugy7yEU70vcHmRJKbFqvyWwKniGk3Sm7C0E+bF/kDPUIyp65IjJFOCu9jG29iO
CaNPivVvaUO66fsmC3oyEZzPAZVKlYLLENwBzcGMLC/09rdPisipgaCOkZQ7CK+8o7GbNfVWCrYP
TJXoxobE7TmPD7P79Ou2HJFDu5TDbUdn5GOWV5AzYZAA+FWVrNz97xJAio0Ei4fsKNzatT9zY8ur
nQXMWZ0WoB9mNT7f/v33Jk3+AnIpgLvAec2s6HHOaBUK0ht9qId17aNAl+yd7eNM37bqkKH8Xm7h
PDV+82UAR/Pmt8XLWnokO2bJoQnAL6zICEBENgLiacBGcd9Dmxen+LoqGJjn4rscF4y0yuuSPEmb
cUXbh2oWCmggGUGs5dzc3BqLMzkeYl+FsXSAHZiW5LyKCs64ef0WwakRJ3rp1UoC3HCZ7RP9vGaz
by8BOvUf4gzd50asEg1Nj0v7aehc0n7M68BanV2t5YGRfrDoXdfI+lpEtybW0wKzQhcAHlvXNrUa
zZRPI74pceqzbn9M119a1t7plXHfGeYBA1tkbepMyz+MDO0t7N3DsGbcQhfqpk8gdARfRP2oaW3U
OL9GlpEu7+zy+bZBi/rPTNYMj9OC0a46/7Br4q2uGx3sWRibeaxO6t49G8EQWXfTXg8wyckvQ/sj
PQ8P2w/QFAYmafw1UNDWM/hmUEbOTiW2DKMuqr9ffhRff1+UUrOTHB8V6zhEZrbHtRvTo809Vd1d
vvbBABJKczwvq+m7lD5V/fLoDu4XdPpGt9dH+imcz0JlZIh7EyFEeSj3yj6/L49xpH2J9+CdPGW7
8UA/3pbINpfffOw6AJlAtYMtmRNoxnmjLyxmjUCzpjPRly9TA9pwSfZAZNWXYri4VcLSdSXFEi/T
R731aR0iCOd7+KdBIklUlcYkS4zYxasKwASe6EnrzMnIHNQwx9b86FndLy8Z7szCGshGP7lmkOdh
hbaGuHMCrbMlsU3kGPG0x0MELzoNUeH69PajUuotOH5PubGLN8dvhzRaallXuujEojUbrQxohESK
klvNxFgNq83Q0wdXQeysVdCNWQFMC4hEM5k/016RlKqEAlGvBXE3LAXIs2u1kJkahsXGmqYH92DR
qPQ7DHIPb5uicO0uhHBrp+lzAqJmE12DqNVMoCFsvRfdlZwwUVQB1PBfTdhHXDzpt3RCA7Zt0VNE
JFv/Ts3AH6XLn+b86Nj0Tt6wn17DIihJfmfssgYdamYwnNTX/ql63O60r0aUHUwfr8VHsCFgxPTz
QI+urPXEYBty61u4yOapHR47Hr7FS4PkLv2V+tZXK0LXFCrhRRgfjZMWIbBV0XxKh7tlh56i/NG8
K78tYf0Q/ywfhvs8ysny7KHZILi9z8JbzeVCMWdxsQdTuqlxmsCa4N5CsMLCH4QJWO1CDLstkfQ+
Nt+8gbgwaH890MOi3M+/hpAOvrp3JI8CmWFzL1JHX3W6McMukaIqPtMgO6SStkWRh/2tLeLstbaK
2gwpplDBrIPxbEfdWbKcty0aNbjr36dWUauWgq1WwzDxb2/V7eUBXuD6tysznmuL7RRulT8xe9pX
A9nkr9un3uJ7lzwlj3HBw+fb9p1aHmd7r7mSEqJshdifX9ibYm/jXLB2ZGU64oySXpNNjZCt0x9e
JU5RwWHrVJDJAC8opif8ysHeg/zG7R0RFb5BuP4fBwZfda2MhrCXTC5EBXF9r/tvaLT9lgX5vR5+
Su7mZ9qSV3A06lH+qN+teE3v8q/Tc7GXoXZla8o5mEzF3O8cLSGnzT3XC25pqexyzuz2v7swXB6u
Fd00NenaEeHARL+1QfJA+zzsUMF8UGbiPFS72+sqM0POEcyYpmZ0BQJ3dYqWL6OkniGs3lzsGp98
MOy07xKmzPBrvVf85WO+K5CJWonuNx/xuKP7rrmf6/MquyoIc/OXkjn3oKddvWotFKtJE3j4xymb
SLLXv/WH9jDvvHtA2WYMjJPYKVuvG7v33kp+cebMKQU0NIaZbuBGdklNo94iU1Ctb4b7MR0lxiKT
xt1PWmdRFBA+01MXALX5ddrnh8TX/DT8fxkJ3+2wpIq5UJ05EiVo0ybKjSJsbUm8EOqC6SHAAKHQ
BxjFtd0Xzug1SLxBF4Tu9IhuMiNMF7/8st7JaNPEZnkhizOOLq1SO8mwbqqCTpRFJ96mk2VxdpOH
dpluxZCUr1pN0qJ8oqODRuhiZ7vWzrXLiQy5rAFc6FMuvoaLNu6ip8PqIhQ4dMr8bXE+mI0h7bZm
v/KHZV5I4WzFMdc5Vpllxuci2CJnr0bGyT3hukGjKZIB2oWR4UIaF3vc1VhsZIsR/Skpgfk4OHPQ
OH9zqb0QwoWfes41b1HZGa+0cG2f11KRWL5sa7ioM5rW0JYeJHjVSznf1aqs40L8bLvQgQsoQCGl
1jxCgmJ8zkYzjLPDmo1RmYfoJaHzUUunoMbIBxcZw9unWnbguEBTF3am9swgyjd6LHdNqN0pzyYy
P4fbcv7LaXvvcWTttbxP7OjSLV4yohtVz8H/W42Wrft0zEfqN0tZaYGr1quFB12+zgTDn+enTHMx
ULjdnA2jZmqj2Y+6VtFdXJU20LADRTj0KkNGpcYU/vOE/P5O7oSkE6q8SJjAA8WRueA+3jUkTPTH
ZZasiPBqjNckm1gCuNAfmWBt022D4Ym6PPaBsCHxGsVzG0zKq2TphYf+QhLn6NSJGm6yJujW7gs/
swGb8c6Z8mn5MADJ+GxiQIUNj4ZhW4b28bZooY4Ysm2ZeKqDLJWza6v3CqUySoxs1EtCM0Mjk+uF
dmwcsc+y+7pw5y6EcaZsbGo9jQtQKyndXtY5MQ5OtbDyWqr67QSo1Ir5ZpG7drKEsPAMYV4uZtui
jA0E/nXQwvTTzkpLtAkP8Q8P2VE6P6z6KZmjLnnI0E2EppTbyyrU9EIg+6CL+0VhaUqcThC49vMO
bMfoV7pfwIaTaqgiWVaQbsfbApkP/eNQuIBZoNkHOCt+H7cWkz/Q2oPD+5YZ1XHV+s+2BjzQbSnC
cIG5qoaJGcGMlO9arZpisJ679NkpcjBTb9lh5lVmkkTGYyisxKJZg20YkPYY8n0tZ0a/4OrU0KYC
o8EG5KL+s6a7VSmI1j0CmErqFq20surVO06OX0QwmsI+AHxFCY5Tj45pPWFgCkPwLad1bx/T3XxO
XuYPzkzGp/LJPiAK/9AVst01++ppjWqkf8eP7Ui6Z6Ted7LXlNAlX34Qtw7DnLl5wj5o9Z3IC/PQ
8etdd5dF+bMZ5Q/Gt+xpk4Y65j9vrQIXTNNiNeY4hlAV+mePP+KgC5Xd5munn+Wj7GEjsqhLDTn/
44DpxumU9yWvoleAy0gV3rbZ9wGBt/ThDv/WmxalM0Sg2HTvYUrzvdf7J2Ra7/TH7kO7b/xxDycU
acf4W3LojuNB/XL7E8T2fGFYvDsoMTnWHvEJxcEKzF1+HEhHYrx6ZU8AkTu/WE7+IRd3elzmHgSB
xqcbnprmCB5sDAz7fFshkbe5FMPFKzQWbph2BveGRLlKDF/WbmpIzIK/i0zJ1rl2BT2Mh3Y/hguK
MLHffDOPxLmv781DEm7HZWd8tPw5WgO6KypihtWPLNru12C5T0/zF/z7qJP8R7qvfEtyMxBhvNBk
+K+n4GEu2ZalyGHi+9bqc4fGv7PpNymhBUYu+fS+ClTnR+zd2Xim3F544T30UjDnopY+sUvwaMFF
+bOvksx37kziBuVBJ67k4Ihi2KUozvls1dSWZcNsKbQO3SPSAiHLeEoUkpkS520SczAwawlSzsuv
x/ywkJ5M4QSbesWYjYP3UEpyHTKtOIczacPa0hTyhsAOvWgMmF6yqRCyY8i5HFNtXOpNELJpRLnf
jjlk3F6394bWG16Nb1aywPsDNYBGBnwTWekGdOl+fdRDO7A+Nw/qYZz86VzdL59ruO/x13eMgLn9
BUIdAepkZVm0LRmceXgbVTNnQ4z2uidgYr3lpTeenVGSbhA6AtCnAF4IWCyYVK5vAiuATklcDmg8
t0hbjT7Gs2VesCW+dKK0ONgCIIDRr7hxoKXyWlQNJsmqNIASMD46YL93oxnIF5d+XjQtmlzdRwmW
jMBeOKMJniGA585W+b0EA8ntdRUWWQHYA3oTADqMamWPhYu7Y6aW9pLFUFkb/Ln5ldhR24QTpkp8
pepLByole1uIl5VhaZ024yjrixTRKGCQJXq4ccfTGJfVtXw498K1Ftad3pj+mP8014WY4Iqs5v38
VmbRjFGk80Fbjov3S6K6cLfBPcaAg+g15RmfVTe1zCZFF7nuTgR+dam/UVAmAIukmPt6VKOh3KEI
zcD9uDb6g/mkDi3Z1oaw6Sj/R9p39TaudNn+IgLM4bUYlSzLouMLYXfbzDnz199Fn7nzSSWOiDMD
A40OQG9Wrtp7hTUvrflUvlliQBzAFwwK0ZDYuO6IDA5qUpHMXLQ4U0lSMec2185hAz89DZRKM0qi
gPRAf0NiK35f6Yr5CL0XnDpi46aoKqYA4wJGZEZQca4ovHf+HhyXzRSJD3ULxbTUN/Of4H/hIiAC
64sKLvDmEuxnr5uNLIefNy14ObB+adRDqO774jisqTUude5MYFFnLVysOGqWZ3lYyY2s4XSpup0f
Zlu+aNGy0i0DHq+l5nOquDcIxP25369LM+wyLJU88OoJ/KIJYXm7ATHBL1KT8TLiKeWhGduVpbx0
tgG0j5msQa4WaPrrnhxlgSmaCT0ZFz8wE8zBt111jlo6z6B7BKnVec3y9NO2FpMgYJDwwszw9Vx4
x61PzDMjjsyxhTpQzq1s+4sZewiyo9aO/C+YAtQ2yfJl/g81p5BQGa0//RLi/2VNsuqkOW3CWEWA
KhNY06yGCkLolDwSt81kqoX6WQTsSvFssYvBpIHuC1wPgBS57uKWYRORCTCeglgRhnuOBTBylTX+
3eK1C2o+EhJBEEbE+/o6TD9GBR+rDNYEdF2ETdvEhI0V8CI7o4tMiK6IhR5mOmo/96frYvOgtzKr
6QKn/lurvjgLvGmS0qCJ4ILXqbPfgjTIRu+tTNPF1kFxQoKlEOYREPfXreO5hk+EogU6PQzznZqx
gh4LdWBqHhttmolvLOQ/hd1Y4K9y9V3oS3nXItu+kotaEvkA+gpI2xm6B5w8dRdsqi7SGGQc9934
6MdGFfYErolEkBxFMfPJlBjhAKOocqoNPwveedHxxAODJEQ+e1k3vvPvO//yc6iZDm9sqQLhBlBT
JXJaiL5Mw3PGrM2tpY0QOpigsEOtAZx5aqOHlXDW9yVOmbRWTEX7GIdqlysgB8sQcaz9B4UvSZn/
SxVlnGZIhOGIB0EAJCb8/nrIxQoeDpLacGexSiG92Uc22yCTA+e+OCwNLm3/3USm49FEfQ9E8riR
au48yJsa61PEpjuxKzggarXcBKG6MuVyWHmEaBTfa2YrgtUxQZDo+f6soO9HN1GokwtAMQAxK0Rh
T/VnZpT2k/e3cv5ED2Wsr4mYUJfsORZOq1kkF/weFNbnFl+s/7TXBPh5stw5ryppr3ke9+TlEvsV
DFVk+L0mrWyny/GgrDH71EBigOpBMRLUJigRr1PsUdoNOD4YPrNGRllZW3RK5L9a9p9IVC/2GptX
PTNxZz83IbxYauC1Z4fIEMv3OjlCRKHv1wTqqZX2T0hQH8AAgyAvROqvO3NWdRhyYeTORTb1G7Yq
kqeuyjILPBrZbFp2epKiKhlJKoqD4w+isFmZOXPvXdzp/vkA3HaQpQX27sbkkfeDqJlJlOf0JfqL
I3NwpYf+LX1k981DtkYaXFgMMLv7TzBqM2W6pJFzRDvXYbFL2cpMmlgfx8ZcadRaHKpXUXbLCwGC
Cue+w9sz8I9tqRq+Om1LYVs0nB7juSSlEkPkJDsWvbZR43jLBrEd+7zBjZ19/3sWB/mi2dSdC4I/
nB/0EprtQ3tDRP5rOsBHRh85YRcmol5nLGy365VeWFw3F1Gp7TSKw0yuc0QFksdqZN/yvNCIM95q
ujXPmpX+plN8A5NHmtJjEjUcNIXE6U2pHyZRWXsF0CkuerL+Xhoutp6ui3rcO9EkNv1JlTfIAGxb
TiUTl4MzxIOFzTgBjgxWnqycEQlUrXQ5XvObWhlNOg8ogW6e+x0mF5MWJOylrTpUD2Ik76SmM6Sy
3SRJZTbCWh8v7fFYPBqHZMBs0vKbK7hovF/GIqOEDLaKd3APOdBTyaRvOzs7FXC7Id37/UlL38D+
q7P/E49arGXUyaWMS+65CVSngDoUyjlmnnb6UBQ6FrE+wdI3lWBNIrB6rYXWSvzFSYXXw+9bFwha
ajfWtBgV9E7lzhkUgpQxOuDGq7NC9zBBZbXTelsaJ70d5V097cU6Po8o+0yhIzPQOBZWMnSLY37x
LdQTrRq4BtkHTDwhQa4h0muRgL8ymhHpp5AMawoei0sXhPXfJ4TC0U1nfaZMahlDPQ7vJYSyJosT
SbaWx6KrEP+M8EUYqlU1p9ZZr+T8OUvqyppSWNp0EEULiMhGHQNBDyS/9Kiv8WiqI09PpQHg3Kbo
TUHNNaNWp3jL1wN4Dy0DbDo/vofKUO4UrfYgI5OK5sRPDVHifDLCWuwe/LSINvcnyfyUok8vpGQg
Nv3rxybN43axJnpf62RR9Plz7JXHpsrPfqsy//6aCG0vnI+zca+g0DJLoRq1ncJF6CV5HB2IbSsb
teagSufl6kqoxQ0O2iO45UCkDdRS6qSA/ohYc2HBn5VY+Igj2ZITu+cfoAtEJO0cQ4U2YT+DMtST
uDalIff1LNdWzo35cLzqU1D9YJ8EqSNcB1CGpp6vylBMEEWta5eVCsJ2iS6GHuCEP4XsGz7/dH8A
5wZRwfDOgL89qpt4adCMZyZkRpFjutrt4uLMlPwpHHLLL5qWFOy0YaYC8x7U4ZUDmc6rgn8G8oYK
2gFMYcCTEqg0ml8yUFQThtqtp9FSm86ebTfjExYaU09WM75V8F5iXb8xO8hF9PVm6m0AelYeuTTm
/Pcz4O+HvCYErLkbHfO4joJ+VLXancLn6QhdY8hYJZ2NJJcnoXgEC2LGVCBe/4OC2VjsQtlKObNF
Cc0MpG0zOmxPyn3A2aEA15m9l4N6BWHyHcC6LXOsz2saIb+Pbnq0gLKb5cYkDBbtxBAopVDD4qZ2
i43ylX6HZqeX4B9Njmc0O/axMgWcR7VTWY3VO+2+MtNzv2uM6cg+jM4affi3nHDva6jti8nFmEFN
o3Z5G4bNZq23JgwmddzXcTB65M/3aETkxzdWngkL64NHqknmcF1GxomGNaTtVPpaxjYuF0J4M9db
/lWR0PU5dkzsnffXx+2OAMU/cPmQekAmBJOWmqllDexd02CmRl3hKFnlZvG7VhV2HDTIFvr7POaM
iZMgtN//NMx3q772CbcyT2+vHvNHzPgKSH2o+KG2BGT++Y4p5NqNNciKyNVGKKOTf5JyIxJ5fWwM
UALBPelgSdUrBL7xbyu9sLBNCLOlOd6doKSD6He9zwPvDmJZFjauGL16fQPdyu/I5zdCmhGoTRBI
vhVxsBle6go2poci8Z0qaHRgXCT/LeRiveDFlRsBXRKZ1y4UGvA9kBCVFYnOkTDw1WjLVGhcqE6g
LrDPK53xbQB3JyiG5JpkDO1PONhy9FiyQISlhRkL/EpyYe53agXAbmEWuQRHH79QT2MZLgGZh/PJ
9fOSI5E2QlC6h5HGSu/fvBHRVCBrUO5CLEGh06tdFYwoCnWtKwZ67cPQyozVl1B4UCC+17tebrC5
0bZ/V6LyN42DrAJU2DDsmHowL7ke806L2piNAumsTg7wNuPDOOji0BFJ2qGGjRsBgdHF4Eyrr5nb
NaexHLLWMPLCWwI2FvTGEsHbQSl59WwwjrX5CgFywYVb1+XdylZyewBQkaiFBf93uMBXiDTaBUR2
IdxDvjPUzici6qglGaNucSSwGgeyjU5nhrZqyMagc2ZoBNvUYne+NT1Kxv2e/4VMXU0r6qvmm/nF
rSqXhBaWXJx6hkeMPhjRX3WbbbJ9Z5XQbRd2nJNYiZHr30DGVGZt9PhhDdlibAgA2nD3JIkdW4Wd
rODJbi7h1GdRD5IpEdgaBUr13OscwitmRgrCGMpK82mOM3Lq18NPTTyuzjXgvH7j5C+sDqQj9Otd
n/x5/QRChtR7j7BkZbbTtfN/gkKVn4eYNx55NM5LY5k+lTJJPU9Wjz4XHMmZnFDnthHQI6lR6ZF+
ZEAH2KJf7fvjPbeHGm5UKZD+Aa4NJ8yvoP/FcGd82fBD2GnnIHdV/lAC0hZV72FxSKJw5ThbGEKk
eEFkBkp/Vvyg7+tCJwdVVDDnEED5UgdQB4rDfIF7C/IxBlusDKV427LLcLRZ68QFE6ZyyZwVyKKX
0Vda/+uuw5kID20ehHsBD7X5Ay66TioHgauqLnSFpkBNoCZqYQElrOMCoXP+mqLZ7UBxqIGiFM3N
YGJcGq+jiYxfzwkQRFMD4gk+yd/5V7EGaWllmBYDzZs9rNxwsNBXnEQcuzxrhNDlVZSyUdV3C+TP
SqcMV07R2/mAPgMqcq5FQuWGPkQBvIVSAhNGrnJOUFsIxMTMIbxVglmYk5DlzWFNs+f20auBZDxX
eEF2hhkpPWTI9OUFYMSR21jwXTl8idtR/2FIdExhSOHbsd6Z76zR2AV+UFtamZG3OeY5PGj8Eqp2
M5RiPvUuZowqNmwzCEnkys+lPhmeVTi1pbev95c0zazFdnIdhjrCeq6MqgiQIjclni0RiYwmivP6
FzSWN5Xp24D9PrRGZQBnrAvk/bnQfWPtHPmV473eWK4/glodCS4sSh3iI4o332EIA+pWR1ps3RMJ
iWgM5iNUZ3WwO0hhqwSba6JLRyA5Vu4vS7P5ssup40yOUs6XWXS5QkbuKMCLISJBsYur8/1Ov7mk
os+h8gdYPiTHUV+nmluLoyxncRO5EhKDahaQWhdZnijcqd+s6zXOF3+6cy+jUa0q2zbMe6+O3Poz
NhNIxmkE00lXTV7ngcxNAVhrLTAzyGBMxtdT40y2DJXt0M73kg6TFaOBrJNMgCwllc3aeEPpPxWJ
HMaIYLyiGcA3Gsxmzbbgt15689nQl4TukyThrKM+O4iirop5MXI7SzC63WYCs04Bknmy+FmrhYw6
u22MYlPakeWfnlqrt2SSb8A4SnD2fqZGth0Gcg4N5jGw/xfjh9MJuwMqnxATuV6aQ9/gtIDUsNu1
kIJRnaadjKbkHBn3jEggKft0P95Nlg/zBZhu+VdaGmKYVDxoemgp05Wxm9fyJoMZQO5tZEaBi9IK
YO02lUtFonaDqi3xqBsQCeRawfJhmdZanrJLSls0GOQW3th8839rG7UWggqMPCYr0DZYzkTBYzs8
dOFAmrWW3fYhD/0WHL4yhMfxMqQuFGEaZ1weM5HLK0bV7tLE9XEZnTaBEMP2BMAIEffRadcxTm/H
Zy4ixXe9tqcvfoMGhTacY7hH0VKY7NQH4FaEsSuPTqUcvXAHfSae+7rfozTIBVs6///r8XiNcRrV
1IEf8PJm49gdLA0w+9JMf4rHyOA3gODbjYNiGmFzUq5UX1fC3iQgZt6Dn48I2+xhLXvKT7XRAvc/
bVuLtYottJ/xOfxKY2+3bFwQsQrnPB3yu7TjbJL4fRLzQ+wGjOUdAC2LndFDioFb0Xum6RVzp+Lm
wQKnI8NJGfYY12ueDfHuLXw2ceGLeXqDSCDBRT80AdomA3myH/f7V/v78fvbe+uP8ZEpSLeGWV1o
KnLLM41PnpEuAjWsaapFQJmWmet9ZBbzyZnx6kF8mylDK2fRKagWC5Dfpa/dY8GVXlcNmTtuxZf2
Izj6H8BX2JLDPI3QiejP3is21kPMkrwworU1Ou8u11s+osOaEmleSFNpdAIdNghNWgZC5hbGsEdV
YOfbr5yuktnVKzmMa2/q24PxOhy1rXJj3CWxJCPcJnXSE/yXUh3WfA/VTt4ADO9APuNZeqitxtTs
xg7P2bPmeibrtK/AI6sPzHvyvHYTWsgoXH8TtQGzWhjNrqBzF7BmYcl6aQeWZPYGb+SW97DGYJnn
zL0ep2Z1UXRhFeZK5jIMNHzUk5AcpPEotrpWPQuQM4mM+3vTfGjfi0cd6gXTKYMkIh7rPfBdYgjl
LhTXaMjzR1NBYD79a6WGLCSKBfj3i5tzKPujoFRs4NbVF8u9FmtproVGQPwI1zYZeSfIYFON6DIt
7yBRFLiS8ndoHpnMDr01yNHCYsetH1xQWCbjnqjNV8iLNgxSqg0iPLLco2CI5hNP6pUH1W1aEm+L
ywjUdoK0ZMZ4BSJw/lM+JDCYe+SSAzvaufRX5a3cFf2duJc+QQXQUcO9Pw8WUieX0W8OC1SkUp6H
hrIrfvil3r/E35I17ZKv3vAPRHDGyBQ3YbEpngVwdleCLxzD6FVI80KafYaQUZlyMcuEVqhKPHlS
0uOx41Qnec2Ngp6DuGIgF48gPLwyRGj0Xo9fPfVhLed+7vojA3OMBxUZ0ZUupNcuHYJau1nrKY2f
IkQG3iTzB815KV/4z3QbnEO8laRt7JHpJ3lIH3uXXdk7bxL9/wSHLDV6Em2kMwxd1Ve5OkYI7gq7
4jXQg7O8T0wGHLswIGsnA73i6GjzarlYDXE+lMUwR8unxBiaPWDDxOte7nco/Sqbg+CWDYWxud4N
etR1kKjTJmiisDm2XhW0hec41YcJNlD9Si7+5mVPB5rn50Vryr4BNamcclcAKVv3d/lzsuO2xQNU
LteGiT7i6FBUx8kTyDw8mMsus/MOxSY5+ra/D54ikqyc3UsjdNl51H5VajG2XRmBFJiFid7fUt5E
sX1/gBYnHUo7IqrAM2ScTolwMiPEHgxw3H4rmpgC3Vfxqj1HTvKsPEoRSdcGii5noPeQ7BRkEAoE
JO5EaqAqXAqL+UriCkc+If1TfVKPuGnuhJ/wuLYpLcy+q1jUSDUTA/FZJindeBeCYek5pdW+5ivz
Yf5PLk9GukHUKAXgP2uKgiDBJnkUHPbIgyl8f5AW2wF0IMzH8JZE0et6codeF8MYrCxdGDt+Cg/B
l1AR/tX7vB/lV7qdagmOeJSYgZqX53rfdRheihOwcPLSTd4Cfdg92ZY17Ahuig8eedVPTkTalYYt
9B0iQuAau91cz6W2h1Tr49Zn69JNn/yS8MfGxrTb32/WwipCXl/CSwaTTYGC73Wr/IyJy5xhKpfl
DlGiETbVfX9NyGApCDK2QE8DvQFRbergh7BOynVFULsht4mADosDWwWQ4H5Lbs8/PJfm7D2KgbOP
HzXTpESryqLMgA1RChQcExkuBbDPMP9vUaimsC3g5zmLKGJwZuBfmg+rnNXb3pobAqaINhM0JFqe
Ucrh0lZ7CNFy20n8ZBnNgrKILCMd9ViMZIR6apfrmr9lBHD8YPKyMiUWOxI+Q5hw4PbBdeV6SnCx
HEuweq7doWs0kiplqrfVuEqMWQ4z26RKqJ9jWV2HkYLWG0cf8BrILbMSgco2pJCzTudrAogk/8bG
H9300dYGpGJWzXnpCxmmogyUzbyxg7EHIOF18IlJAe3zgM8oRvjTsa+eDAIQ/1JHa7NyaTAvA9Gd
CQgb4O9K7TYZqtMi9EKKR2ntmLqpitLNmb/i4nxnJGhXBDlAEBL8q7+s+jB8+d9ZrSN35wClhJpg
aBS2A12GwaqME0+2AWmJZMzZdx+J9nOLP/77hTKLMc/GAFC+oQvVwZRLacoVjVsrYfA0q08b0xSs
GRrelEx+Ww5EPw4RZTbWpWaRMo1ToKpMg2KCuuV26ZNhQYvH4nYgh0CEYZs48g41X97Qtc3KYf0L
ALs+ETCJLmJTe2dbdrNEDGLnhHk9oBitF0a1kbfdsbaQEbbyzWdupcYLXNmtxDz/vd/BN3UUuunU
ozPpCoFrfb91AcG0VLs4gvJLWLvYeAlBjt2S7MFRQPhHEeOJ3w8P2Xat6n2DEaA/gV5GfTr0rIAe
8FUQir6U16HeesobZHKV10iE1yMeebUVlxBptDNmstNGg0Qom/0dhRJAmX0bE1nJ92HMGHkd6VUO
wrKRavjb6an17Xz4lsaO9Lze5o7GWvc7cOFWjMwHUOizQQZAbhI1fjDzlYOwBXbEBxut2Ne+KTM7
eMK/Zgdtv3aYL213OPlQtkS6a957rpdo0XJsVTJs67LtZyfGhOtD4357lvY0XEtQuJiVhIEKvY4Q
RqGoDFHcukEdJduhybNNlamVzraaRgCBL1fi3aTu59FHalsA+msWsaQhd/UYKwkDpz08XyRyiM7S
wTkD0vZzv1m/tQZ6mV2GoSeZkigZ1P5bd7TBQ91KZ+kPt7OsA2fIj5Xj7W3pg9iEPHXkaaOZ0afJ
bE4nlgQfpxZ4jzPULMnPStOFeW3d+6Z5tC82XLaqJ0lr8U0ylPXUXaQAWvbEBpaGKgaqicgkntJn
VLUKd5Ks9i2LCbQagchWjNIZoYRem82zEO24n4bb1PyXZvCwQd17oxGs5b9uKp30KFFnQ5XWTdbU
Sevy8a7uDkKhO+gQ38p0zdB70u/wp5HgBW1GZmXr/JNxWjWW/EUz3Osvam7yQ8fC+yBv3T61x9gG
MD1nv4DX8itdcxjtVEtbLT2l/bEsJiL0u6TYhOxXISd6ohDUS9JUF5i3CQzdg1IZmmyM2lMHvHts
ingwi9uet9IefNKfYlPNLEjCMXYVH/PYHFRdg8lf+xAUD4P3GNWkL2rdG2XYzhL48HTfcWq38GEz
J9kSNuEfCFztVB+YZuIP3sqh+JvNpvoBGiEoHIBThUQbDZmstRp6yXJbu28fxy+AZhjSbEqSPTLk
K4SUR0jm8jOy+7CrJL4ZGfNPruP3+EtYypKHh625Zcn2M3GeBehwRDjaz4EZAHQ1ImX9z08PCRes
gfvLcGm1KzjMkVvCtVTgaWXitqrSdFBGXAuVTcKyf0K5PYiv0afCOLJmZVXjqu1LFFXW/bjzzLjp
Mdg6zHhvDddRavoKeZh4yNo1bi/Bjq+eyg8x0t7YyD9o4bTmkLN0JCgCwJMorWArBfbjel0LURVm
rTzjdoVkl45uLdVGwYqGgsy0/BYJR0hl1uVabnLpJnEVlloepVCyFT/DhbXji0aKR7EkyTne+s+g
LwO3JpiczhNmwxoc0mzMpt5ldumsSVvfVAKwU6CcMyeYZ3zNjQVir4SFyHSAbPLsdtaft/jIN5rn
8QxNiUEAQMHEA/Eorjk2zHslPcJgFMCQGvghCSWg6z5PxygVKxb3GEY65DAzrSGtd38OLbfsIgTV
v0xQIic1eI1bcnaBoQwy0vGB3flWzGwLPS9w/e2/YL7Yv9yPvJA1QJ9eRKaSE3IR8VoaoHF4xFjV
BtY1WMnfHfnzB/gGDCenVzikfEPDzxom/qY++jugF8GpOwcv+tnUBgHAsQdx24HHiT3F3wbYU4CH
59/AzRrs0hpXheFuc4DXjaYeyb3iVb7KoLtrswJUI9BlnQNkMN5LQMELEKoHXCK3slNsaAC+8CuF
05s6A9Vs+k2gpZ7f5QLCM7tizzwoD9rT8Ko8KIfBbr+0x+Cwlrb7H0YZKVzArUEUoVHIlc93sj9g
5XgDSV/ip+IcWJOj6fmfAI0PCFz/mHfBPdcm65PU8B7WxKcWEpVzl//nC6ihZgUgClIRQ10IppLo
nl0jDe/E7C6FDicP70a2NNn+7/3ZfVO8/aenIbaARzQYKyp1NVMZ1suEGtcg7s+wkcFn9Yn4wZqi
YIX+BvRu9pEb9yoel2cxceEBwRg8RCBWxnveH273j/98BHUX62s4pQUyOl9N2t4MOOzVfSjkeicX
r/fbu7hTabBfxlsBznA3QFh/0Pi8kECvmL75/MBWjX4/wDxKN025CEBthRpUJZRIYRt32DNvkiPh
IbSbnuWVDls85WBy9d/toLZDbqoyRei5xo1/hD/MW/ytPat78Vwes3ylQcvz8iIUtf/BfqyYQgGh
oBzOf0xYCock0OFx0u3Y/XDQetK83+9DWhYDWJuZZ4tfZBFZTYnONirsxKVliuUPa93qHbil93Qr
SdveGF7iiNQ7xU1fIUECm9+VwPNsp0fvIjDtPCTWLINrhQYmCB7h1V62tTdtVx44PAl+Uit8XPN2
W9p25hQWDk3cizApqXGMMrBQMx4vvqY84FEdyJUtRc+V+FyVk9PA/AOVpZLA9KNkRjKwjijqVSbM
9sJtvq1ST8/izMkzK6/Xhn2hK66+jBr2tq8Ezhvx6ID/El/uJLBPuseAf89iQ5wePMYq35vDtE2i
r/tjMJ8sV0PAgTcHEPIs04G7Kk1ErtSgb1pcp07go2kA+ss6DsGndnwsvcrkeg+M/jXc+A1hDwxM
bPq/IwDhNSSE8E0Xb8EQNoEonBf1KWCO/njyNMYYxGPWALFTbcfXQNYFeZ+3ltATJMGi0Wbb7/ut
vs2C4RMACwDzbTYSAtjr+hPyQg2CUGvqU6uAdkyYRh/Zj4RvzCBnLU5idFnBW+shHDdJuVECo0wf
eeZnGkdQt8qjZmfVX58hgqq3zMqA3Oxo85eBgaRBDAiHEF2VnqSmrcAbrU8QyDE6cV8yP03t9uNb
I2uOgOPyfk/cnAVzOFlk4ZsB/2c8V647oslTBuogfX2CBZguBjttCHW5frwf5PY6SUXhr6Pkkpom
ozzUpz79URpITTeKoXWlUbPIILFPcWxFvJN5qV62TjY9D2G4sr6WB/yinfP6u5hzbBtIkg/686kt
9SjIbIVpzKjMdIUZN/WUG1yoi3FBoHabxu/vQ7kX44+meYakjOkF8BrZikoNUbxHcM84P3Pu98/i
ICAZO3u0SijMUQsi5zM2lKOpPk2AILS+M3i1nnSbfx8Eya5ZbVwU4TVKBWlVNawaxatPncp81XVY
OfFsaICa+pq0w22WE8MtC6jRQyQPqNjfl/FFZ9dCGzRtwTWnDqa9cuiZ/nCYQqCURZuHGTLUJGbm
keBkqVELT137JAxbqXXCx3IXeWBPpc0e4k8BbwWgEXyEemT24MOm3rErN3ln5wrpoftR6mW5hthY
nCfz1WwGgHK39mn5EMvqpCnNKWa4XdxLJtN3ZAzGpxDkFjGHdZX6yNQ/HgYqqHE1Vb7wDid1+NiH
QBanCYkTi39r8T5pCiMRWYPBrL4/kLdXBHQv5LRUBSQfVGJ+E1gX3SuOY1Sm8Gs/lb0RcEDB5dke
LHLP7GDeflb+AsI5GvdjLhwTVyGp/bLhIl+SK4QM9C49tMAbMcOTMJ46PFSyz36VLzhPRupYmiGy
KDRpKLWKdK0rxAaJjJPfntqfpgE5XibaU+o9jY/9UBHcU51QWiGkLaxBqCdAkxB0kpmGSb0HBgEo
1UzqhxOyOZORFj34Ij4f6zWrBCuh5lsG1bh5d0cOHdRjsAyo+zeba1XAjdNwAubKKHj4Jc3SetAh
9j/uj9pimy4Czf9+MVG4jveromGHU9fYSlJA4X/bjmuqRzd3fFwgLltD3anUusYZW6M1ffzqR1+F
93K/Ebd5NCoANfdGj5PDyEcAiSOc4kCpNBgt0CJQ9pSNcnroXrqV+/7tAEHHYN7BWB6VcTTuut9E
vk1ixQuGU56HuR1IRbxrenY01GmE2m3Lr1nC3Z75KG+AQIOEHbi/sBC4jjd5UgRIRjWc/FBxmmMi
+sTzahOu7sYUY8L70RoL/HbQAGAANoNHWKTvaA52J0KmCsW44ZSoGtKmISjfcaasRbl9WUAJ4fdh
oeCBgQlPdeSYSG2ghhI6siuVTZWkqgUcA6Sl2SI22iotHDgXxU5S4W1Rj9lPp7ajGcL4lvjp4JtQ
cfIJKCadBYieb6rxkNiCX60lmefuvV6Ps1klHgRzJg9KrNQMDjsp1EohGE8wHCaaFuosUIdcrxpq
b0UQdL8/n5e6/jIaNdi1ptUSP+Le25W54deSI9bZCnB0qUFQWVRxsYfRrEKrrI1IS7a9GI8nAWAv
7zmUMI0OsvDCck/328LfPFswwJBOhoQEpFZB6qd2zTjxQklM2/EUFLkVJB9sZakA1keNPhyrR8UH
vUF9DdTeKAHdDsaPMHpKfTvSdlA6KMA97v5I71moEHXW5Bi+7n/d7fYHHY7fajpUZnmUEa6XVa8o
qTaW/XgqY38fSoCCaOVIyiBLVk7kpSGdjZrxsERKFkv4OpCctwrfM814mtTmwRcrh0+D5/ttWQwB
/iS6GfUEBLoOoTBiW4s92hJwAZ4sGSehMey00pCFqwW6DFhYHEozEZaGho25zJWVLI3Qks2gbYh9
wfYVrjEqKW/0oFXHVymsOydjgkpPx7E2ZcCgt01V1TpEtHnjfqOXBhDvMwWO9eheVJ6vG50kfV5U
ETeepFo5Spg4SZseIW9k3w+zsN3j5atyMtS4UNmmIV1JomBuyOx4CvvgKYMqRjxlZlV9jmtqY0vr
UhYA3YCULoro9D1/kmqZL4V4OtVd9F3FmpHhF4I6kQHJYLds6rXyzO21DW/6i4DUCmga3hfU3kfA
trF7eMNwxR8xcxMWwG3Cq3+EzrzflYsTSEb1CZoqQN1j078esgkCj2kKoNIpjbZcKxg8XC/kBIpm
DfHxrPbFv2MrWuPkHxVov9bZmqbq0joBGRGSinPmCPfk6/h9xJUCtCynEzCUk14JfmEzvLBmg3HD
8Fex70GlF7U9XODwoqKW41gFTFqGCpIXSuxwhdGNUJMlfGN4qUyis6DYIC1DhcsuGM0u2tIQJn4H
ZZ8apdkw/oDNZ5SW26oRziv9f3txxoeBlwMpTw5aGzeCnnzdVJmEDxuYowwYCy/oAWPy5ZF7Fgor
lD76tRzv0iJFRwBQBGg2mE/Uu5IXUSqPRWHC6vGhdS1YwFRssmTtBbK0SGdGLkQ0BbiH0UUvns+0
AV7t02kYugTk8gjqFWpZETmAgFIf/L3fjws3Mly+oeUEjhMmMm1D3wRFrA2Nz564vGHtPIyf1YSR
dNYXmj1MEVI7rTjF7MRhjbiysGIRGAqiImQBOMhaXc9foINVcawDBD7z28rtbb7Xp2zb/HDt+/0m
LozbVSTqHpKyqcAVEZqopdmmlCD5AWnJYFQe74dZahCKHbMQ2synpDcEMU0mrcny8aQeEh1rpHx5
yiVdCPR8zRRjacwuI1GnxZhB+MbLEamKLU3+BoxQr9hTDP42q7p1Z/37dgE1hEkP4PmtspofFGwf
adV4UtjEVAIfQCzOEFRjVFPCsk9ZgQKp596PudRCPEpmKCYkcW5YU3w1QZI35dFCMBLE0whKN5Tj
MghUWl20AtZbizXf/C7ejomvql6i4exldfYhB44fMhX8Ll+JsrSRgioALPUs9T5rBF2HEf8faV/W
3DiuNPuLGEFw5ysXLTZlW+720n5h9GJzB3eC5K//Eu5zz0gQrxieMxMxL55QEUChAFRlZXalWVi1
Nh0nGwDEvrwvGfX0Md2EqbHP8iCV/AYIFPagJ2xL5+5ZQsYh/GMbd7LuJkjPHyfrTz//vj7RC8Hm
7KuEXThKhElSgmvQGKHj2Rr2SgpiHPCDZSAOvm5qcZ5PJkDYhqGFTSj3SKVEipY7LUXVR4n+oCbn
2PDclGGJ1xjBF64hKLlC6wTt8Qgy4n1nolGW5nOCiN3JxzDaVqHs2/F+yH/phn99dEtBhhMtKgja
iN0i4i0kczY0ajkfAa7rdyy0po2k4SmYqnO9v25qoawA+CzGRICd5eFT8NhyMhA352o+Zvm3Rnku
svfc/N3dW6mXzHdd85xLL7S67QoPmEow2a1pAC4NFRcPIBXRHwtchnAOypbUMmibYVa1MdsWtP1t
JTN0pNpsTW57KaQiuYrTgT9XUbg53zMKqPvsieDEZdDFfVS/ldO9ejsrCQgONlG85qCL4zqxJjho
M85VJJXGfNRr1B4HgIStxK/7aOXNegm749kIHOxoqcCLEh0c56PqJlzQI02aj9rgFZBaR7q9Otr2
Dwr5zaIF0KvyU303SI3L0j9N64XIjmQPkMZOs5saas5K6kBlMq9cZb7Tx+9JZTkZMw8GXXmULG1Y
ZF+BSAMvLjpAhHUOx1obLT2cj0BsQ5usUR96UM+7Q9YQ146TwWtBhu2WVvcvskToMUDGBnlRHc2R
wrLXU1u1JrjzjuZrBoJ7pfWsCBDxfVGPXvFyfTMtLDpuWSh54y4JLLrYO5ih02nC408+xiAS9Elc
EKfqysRv+rzaXTf1mY0Q0i8oc0F+Ao8iJN1EFZM0tRkzTEaOlhl9N3K58MoQN+d8JIo7T40MWQa0
IY+NhEb+2QBDpT6TTd/IxS5CIHuEriwNMiNpnLk3MqhL6ObGHAa2UZMkcprc7g+pAhF1KydNUGWl
5dOmr3IkD0Pyqg5j7yPbrPrAQhQP+STHj2McWY6cD6WXo99rJUotnCyf9XYLTyN0J2uCl1d9V6dx
T9Vj2QdF1xyK6cFqUTKwrBU3XQqHp5bEeFTESVnPQ64eC3MD/AIApDNuQo0f03JHkjszBzPYkLhZ
7JRatEnfpvC2p5CDHaUf1xdYw8YV1hcfYuBNKNvotr2QUEHtr7FtfIhMqNdqSLCvAeIucVvYFqcm
uDufXFY6qZhHm2bqMdNvjfLObNBggLsE65WtOQZje2cCCYikaj4FnTG5CtiJUl8F6id9/DdjxXMI
JzoOPbGnimRt1nZGrR51WQpUaXDNLFl74vEn9OV8/mNDcKG06WXSdZV6nFyqermxLdwyd81tc5M1
fh16+ev/NCbRkZQB7VV5gTElSL3rQGYBgn3dwiW+BtggtKRgS4CuB61owpDUsalmi0rasR33o/HR
ai8dJMHe+3BT/K4VX9pct3cZ3WAOLWMov/CoIwuRtO2UuYlB0HeEZ24Sej8WOzlvV4xcur2KMpKp
agZCJAqvwnMEkiytkYHF88hitK5PtAMrN6pKK9ucz8y5M4B6AMGT15LwH0PIt0htATUtydCP3cao
QSM/B5IrJcdGf30i6Ro+cmHe0FaJHhB0YCPbaQpXgTwbojZLIv1o1EVQAzomeVQdVtqUF8ACaElF
8ghlCcCmL7JkzWjKTDVbDCmsmk1Luga6GRDfaeQpC+gYJ76hzdamzhjZscoE1Vtvxnem2pXbWonK
HdOzdGUtL2/M+KTPhBIOfRyJ/E5wEl+aOQUz0VDpx9a3zFdJdmrtNwPcTNped0zueOerif46eIYB
PmJQ6V2wSEHMC5TkLTnOsafLqlP+NsaNPq21OFyuo6ZoeCrjVo6GRWSTz4cTc/qjqTAIXpB1vgWd
WukojWr7yKc1K6f7wgOP2+L7GvpP2N/CdcnGESrrrU6OZH5JWvsFAoi+gtJ6Jnus9QczcXuzddCy
2FkzYFfbxFB2GQSYy30iAaD1vYGQLvA3w5/rM33BboHCF9p44ch8pnGNFmJAbYD2PUHt6shAotWB
CbRnD1X92tbzr6Ejbo2cZT6ArDaSXTW9T8sEhb/7pn4pZfa9BlLEoMofdbZWHp6X2xl4KA0ThWiI
TL8YNMjAWAOiQ+VIpBuzKB02lQ7aEq0m3pTz8yg51bQS3RfuCdwkrHGn48fouTOMLKIkxV+OxeM0
FADrh15a5qkTyZkrdbg3yKnlDHe17RiZeh8zX9ZTNxzMfdT0K9vsMxl07v+gNQI/MG/6Ajex6P9W
XWYDm2LtyJrQ9hUzKzZ1SMYdtNvbY6lVslOVUgi0mDY4oVUaOwmIbfShsuFjxT14dL74EhtFAR21
BwBXhcdk1rSFEUmJdjTJ6Oixb0o/OnRgt1bqEDAI53edK9/W6aYy/euWLz0AU3BimB8rJ6FG7jJT
bTVMQWZX4JScSnS8FHjJuoV9I2UPbbzy7lrI2IOXGVUPRQcVNzYEDxYnBkNLIgBBNcYxDsr4ez8x
EIBvpWOKFCTk5mhHHZ05ra1u5GoFB7EQG2Aa4Q6CD7yjWURDZ2oRStHQG0cVsndJoTq29sZCgFgQ
HOQ4cZMcNJObpvLV1ol+I0yUjV/lOzusdpN2SNJ9FOW+bY0r33UZ7flnoXoA5hQLHbnCEigWJDhT
jRlHSVd2aruvIlBiz8Sjpb4Jvw6CJboKiTQNrfgQqwTk6Hz+h5hoTNUn89ijBbYOGvCk8mxiOm3S
9NsE/O99ww6lto/T6dYka5fJyxNHVwGzkZE5wfpfpGd7RlEisQfz2Kk+A82lEX4b0iDtv+XDn7x+
NJ9H0GXTMd3OvA/sBcitaVxpn+enjbDVzj5BuCjJ6MNuxoSZR6NyibRRsmdgT5E8PVjdbQqO8Ov7
6/LsOx+wsLFVi8xUkmbziOevAf1bSDaZ1QQsiVWuPdgXbjKwBT4C/MP50sQOMEa7Oe4KzTyOMZoq
q+cYpTfjlszAcmtlt0d2IgXwwvTy8JD1D9fHubiwJ7aFWYW2Twp2WtU82uY2qR7K8DHKA7YSPD53
qLB2QHao2CbgMEZntxA8AGHQaZur6aMmyfCQOg+1xIvMcAAPAm3T2rNTgkJyV6vAdCQd+HoPdUvG
l6SKqtpJ0Qkd7ka5TX7WEKx5kWwbqjIostC7tBjB5jCUE7SKbPzPkUflHH0ZQxLTcNdlqWy51ZzP
FsQygOX1hoiZ72hNTioXbL1l4SYjaZ4snRWvWjxJP8uZZwOwC2Zzm6oFTnedzaZxA8IQqd9oWoU0
IUmACXQlqvEf7aTcZVmX/+zmFtpEYPwAWakaQiYpbwBEMuJsfGFyHzKPJsaANk2VFC5NVXTrlF1t
UjeDkPprao49XmR6KT0UoPMCRxgKpLo7QUfQehgb3N3fQVGuwgnYiAwGEODTr6ZgLXXGItTp3YxY
99K3fQ4SebRtBBnJ89qtmrDwwDzGQC/YW/kIiqxOCmZZjSAehQxb6xmYm8xj+sx+GUbcFm5bDCi+
9IpS2ltp1rXoZ2FXiDhyr5f1Jik18GtORTmoTxMkX4MpBEJtJdcv7HOgf+AkJ0KUgkfmuZFPQFSm
QWV+FMrgWvngzs/mCDZW5PtQAXe/tAP+Y4+LXPDgivB2HlindkQOTjEhIJ49gbkD4fTGAmC0t47X
7QgR5a8dRDAkL4EiADXeuZ0oacPImiARK2kfsWR56EhxOkXy/4UVNBqC7xp1LCiiC1a0jHVDR6Gh
2oIAsH+PUnMTze/XjQgn39+hnBgRtvNUF3Xdz1UWwIfcqf6QS6hjPczgk2SNd90U/96TyHFhisev
k2uHhPr52I4YDypDnhX0kJ24bkC4SF0YEJaF4qXay2mZBQZTX0gsO4XR+2Oj7YGEdGNZ21vh6Cfp
qpavEHgv7PJtcDKwcCztMaIYWNSGfzozc/Rk/DODKAH7c40AXUx8/TXGRTUAKQHJsejjjQymzsiC
saHztfgoj65sPNBiYw33NPppgSPXmg+mGTuVcYjk1wjduCW05cf8i9WPiw8R8hB6ZStMY/iQKgHK
RHlSjMyp5u31JV30Gc6sapg6MEqfcMOTqbWzqmTRAPckUeSZRezEubHiNYurd2JCWL0JCiSGNMBr
oja+AxLKM5t2E5vanwJCdddHsxg3TkxxBz4ZTViXGhv4aJL2Q67Amx6/r74mlm0gPQT4G4rwIo5a
rzTCZNZlQSNT15LeGwtU/Guc7GtGhLXP7a6oeuy3wJqPEjTI5eEwTObKbC2GJuBt/t9IhNODAW2m
oeE7C5QCbaIg9Je+kxLs82B2KqMf/2ZlPpk9UWyHNtb5yijyMEUQoMOsETxGmqfK1JxmrRltcdbw
vIASIbCnyCudG0H3KRtiLopttiHeWTobdtZYhpsO0JMVp14zxf9+4mmszAkJS8xdSJ9pX3isPk7Z
Wp1wcXOCvRvYRGjeQcbv3MjEiQBClWVB25hPbLbepTZc8QExV/E3ytiftKAE/TKfjScnAynM2NAK
0KgEyHr2YEUb7ohW3NIi96Ku3yRF99BhmypDepCqzK0H36BR4rdJ7GVqFDAjXMlVLk7syfcIa6iQ
bAhjY+RjhgYKAyvHe5U9X3fGhYjEpbKQFwFSG4kh4Rxr6IBx9vAT2ve4K1vp1lCq0otzc3KYvNaZ
Lb5Z+BSfmRMCYKWAOTcasYxogQBJBcIF+0Vm+cmS2QttILaQ7zNzL7Uq+tILn1bUS9bYHRYuingr
AemEHhcoGYtMWNIYagadBlx10saRW8jJSD2gPLMfK9lDOh7j8evnyplBYRkzI5Ynu5mzoAMqxBlr
iIFCP9xasbIQwc6sCBukxatDoxqGNZUfeG1U6DPcMiNyqsy/7jFiSufvGp5MoBC/cM/o067EGk79
Y2wcq4R5vXoAn4D+kGGvaKUTNocOAlX92uv6/2MalRUUcjmOTT2PApqcW3IGlGOQGN8ynM5RtUFu
R4YaM0l8S59cvcTDfnocDeUON8CvPe7/M3B0bCh4ctuqmMtEnkKeKMgtg3kovKzD6w4sMPnj9eld
uFgi927qqOuY4JkXSd6tKgcfitWnQfIBsGdzDLXbHJp9+RwgYYlb5vt1cyLXyd9B/WNPE94xdVtG
jQy55CAuNozu4yDbxUgWeT27l5vMyWPUbN9a5ftEcwgX+pH23rR/iH4f5i7VIeLuVKNP7qUtISsP
utUvEw5+yL2RLtMxEwbK6Yqj/gi3OMqSXRzY36rvEd6bW+tIYl8CTWbtogEJiVRZfuCNnjtQa/yw
99enauEIAvUsHB9iQDK4aITvGc20QyprwgtT+xiNt9JaWYrFHazhH0j9AIQvYlCltJcJYkUaaCO5
jdlzMjhK7EX6h2UrK5kVsT7xd9VRazIhaYBMlEhqWSkR6ZQEr2VCnEx6YYVHtGelA3kT8HBq8V1R
CfoLzQBpKxA3bOh4H+ubuuk9Cdd/w3gbV/JJyx+E1y1oZ1AqAN/P+c5O8KHxaOODevnGHsDU5WV3
gOdvIuWtp495flubtjNYHq22ifakeFX/Nmu7GJUEG22R/2KhuWodVgLaWaKcoInGoHlK5jTgmp26
/sNOVg7dxT1+YkA4BWd04wNvDE8K22d0PWxZPe5V60avfzea9WNUn0GeujImHv6FBzGqxP+MiX/S
yd2GpPCDaoBJmj9pyU2UImGWq971iRMr7X/diqtQQ1QKDAhiwg4xsyRpYcFKlZZ+joKjn0EOZaPI
Mc5au+s20OcEcao8Zl6iSeF2IMmwchAuTi7Kqei3QJL9omZdGKxmcSwhgFY/1Rd4kY93K5UzoONn
1zKP14e8eJvAPkJ+0oD6qghBHGQ1jAoIawaTpt8jWnkjUoot2+kDvckeRhnyxNcNLkahE4PCRgnl
Mm7UEfmgoTtEMx4QkPC9bmFxAsHDyGvkhgWm7XNXyZKK6JmVZECYZCDu/Vn0Lmld+svI/JBWrqSv
3e2XDepojkEyzcBOPzeYVuBYAZwiDUw9RhzXgnScfS3N/aiARq/uabIfa2skyGI18K+v4nkEjAYG
qolwg7oDUiqN4iyIO5aDggE9+hC0NrxeycNt0Y+2A5Gn2ZNyYF90G7wZ5tQ8TnaUrPjr0s4kALAC
3ImG9gs5R5XaXZL1+I7C4YxQrvJyfTlF6OPnQE8N8A842fqRKjEyoskADCiqV/yMfLYlr8XO3MS/
O9nZfi/ddPanQN/Gj4DOg8TYz+7SPYrQ7f0aQ+ligDj9FuHuCDR7m6cxvoXLEG9JKftE/Rh0tima
Y9O/kTCI85Vgu3hpPLXJz92T8Y/zINGQYIIPU+5Ur4e58abZp4nH8J5DWID62he7MP8z5QZ/eiOX
BHzCuUkW2p02yjlyFpnpxPWHYvy4vqgiqdaFBWGTlo2kGhmfSPQrb8Z973WZSwI12SQ3yQ6srrs2
dJJ1cpWl6ANQw38GBpzT+cC6Se4bq82QiBucVKM/FeaPt3I//KDlsB87zpIfjc8RfYrA5TjL4Fcz
VgLu8nLyfg+VA0jxUD//BA0VnrRAGiMwuuo9G2jlmBPZ5GkJPMF4n5v5NgIBKuq7UrRrI+VGocpu
ZfL5TU88TDnNBZozMBXo6jv/hCnNxypqkfuXSPyMfh0olCA2zpJbAF6iNOhpUFDWp43bp9Jm1P5N
vDw1L3hXPsiYAAtHgA79UC2s3FoHH/0fEmuurLpy46nmFzE9f93tZMSCu5E01eux4odq/xMdtcDQ
ZjjF17jWlw4CDpr7rI2D2EOIVAntSnkiIYDWc+508gBosN+wVzV6k8ug0OuNqjUrOZbFiAR4ABTE
QMiBay33+JPokGV2psetjIgEBECrvnYjmP/S16QIvZlCHL45hAzssQNbyTYt7SQ0E2ggfLDQGi7a
NeNBqSfTRCo4MxxrxK127bnKY6nopRrne4GKEK9RCRtlYGRqMwlBqLIPqgTqmeS5H2tnjD6ubwfu
7dfsCO+iIla6WIqQnKfa6OVdmLhqDr43XelxrOCExXsiYyt3lKVr1+nYlPNV6+aqka0KOdQ521j1
8/jHKt96T+EcssMae9bSSuF6gCI7WrCRNhLmMWoKFc1YDUJt+SGFtWPoXyPS+NxcePfgX85eLotq
kvYI9Lk5I40+f0vbgzSCAr5bA4KIaJi/Rmy0jlgImuiVE4JGKtMosnMkL7qkU3YJemW8KSk7Dx3J
kttKKtlNLALPLU1sVx3y3jMZgGqNXuto5W2qt3zIABqyvDIKQzc2Gb8tTY0/lo3lhq1UuHYeqSt7
ZOlqhEsR7oT4as7Vcr7KWa/GaSJLuBp1o5u1e8tyjMFYcaVFI+hnReEHewSdpudGJFtHdTqr8wAs
yFWBp+6b1j1c3yFLHsSJXHmelbcOCzsk6UPNQvNGHqBJwCHDBy3XsLNL+wGveEQSNCXDRYUTaWzb
SotlDAK5IlfC26MAm3NrHBCuewW1MrYSNhcn7cSe4E1Q0LJHCymhIFKOTaFthpK5q7nppUHh5g/X
RVkGIEph48X6oFPFbNGmpxjOlCGkkNnX5dG3QQTRlym4Ldb0cZZW6tSksFL6ILUlZGfzoIp+Ik/t
ydZXKRg/N+KpCcGpbTnXuyZkedDXaHcC7ZHiJnLMbu26jrYULzvw7nfztpLN8kZKKiRfVLhLEefk
WHe2vCY7tDZi4T2Zz7nUmzpGHOO1l1mAeKwhGJZOddBUgWkBuFOA3oRTXbcYevLKLg+68ojjJ/RI
egADX4CO53CFWmfJLXElBK8/etRBtCU8LzoDXaXFUOWBPtwqgLn26CqVnq5v5qVjFQQWJmoH4Pi7
0G7OYr1pQsLXr7TdgTLgjPY9sb3VPbY4bzh0uCImihVi9OsbtZoGCrgMtog7j/NWk99S/S2m+k0Y
gyloMv14tftv8XqNYwKQPdwboN7D/eXkPgT6IEmqiJkHSgv8DtOPJWWASmo3pfqdDbOvTi+Fmblm
ijppzLzQBhv19Qleuk8A0Q28C55PwKoKARnH0IDOzpCPOwaYDdsQ+hM0dbvRuplM6kvtF5vu+Jbk
dEwgEwIXPADrQjSbNVaWyligIivNwGbfmqBc0O6nOXON/A2sBl8eH+eQ4AzqWFv0v53PcEj7OmY5
1jVWAiV7oePv5mdV3s1rpb2FeYS8E+ge0fHIcejCqDKamSgDG8Dl0VstRBObfj+17ZPezw7IOn9e
H9RSOoWzm4DO8RNvK0obZ3ZimQO31pqF4swDaCuqFhwnWZOChCSzv+d2Mdyw3OzcEq1rrhxr0FnO
my82OXyuJbYneEk4zdrFWtYVaWTSF0UgNbU7VL/n3rNwG+3XSMwXdqcB7iPUajh/DDEEL+2gJU3H
sSqCRkOSk0Ei3drXe9V2AcDUtHearV3nF5fzH4Piu5eVLa1jwg3WXlL6qLDPL3J3Q9YktZZS8Qa8
BiGOmLxEKpyB2OtQAA4xg226A0BfgXZ0qHld7FqKkz9GSDW8zNvxw0gc3d1BIHatFrAQYM/sCwdk
lSbFmECtKIAejKPK36Qq8YgNWs90Xok0CxcMJDhx6UYJBD1BnzNxEuvUiDCTDgA+lqEvyekmSxXg
0Y14w0p7R0GDiJy1srZR+IEqPJcMHILoEMFVDX0IQoCF6Co6QMOuCEzC0ruxlX+Q0AB4wg5j22F5
WblWhc6EMLf0uz6aq61ijfRpzGgMuCubfcgM4fF9ffcunJsQwwEsnTeroL4oLLnGQqpYYVYENBoK
EMvkvZvECEjmoKzBeZbcGJfUz+AHKIeIsmoycC7FqZ0H5vxuNNPNIIMKGo+57SCtAVOW8Gs4Q9Cs
jz4LXApEKoKKqAkZEloEpGnY3RCboR+iUxDYwzjydYUk4LZEx24CRIA7EQbMB04Jf2R95eesaX3C
6AAohMxux5mOG7mty5WJX5wN3lxnA+HMdVTPz4JOpYU8TU2B6mtZbrOyUrc6je1NVho5WpG15EEL
Q7q/vtpLGwxATw7sQ6P3Rcqj7RJ17oDGDGazv4tM9WGaXhtIdzoyeFCvm1q4XXIVCUjgqp+NWsLd
j+TARQOoXgRVc6Mbx7xc28ILYzHBo8h7mj6Zy/jfT7Yw+gusbo6wxJX+OCSPUugwgv4qbXd9HAvr
9NmaCN4yXpQXkZBdEiGRQiasU4zz1LrL0U6mo2FqUiAYM/6+bmxh0sAOi1sdV09Er6+wGwkt7MiI
CXYjvU+7Q0HXuGyWDKiId5wyA7VWEYE2thTimSlG04Kq2s9Ugi6gtjO314extDToT+U0UXjzospy
vjSZAUL0IYSVNyDp7AI8k06ueddtLK3LqQ1h+Q1aJVE98pEALcTZlf2Cui1wAF+Ut+XXCt5s+9/B
CBt1ghuDPx2GepQM1HF2yfiEBObKdlkbjnBlk9thKsISVqR+O1Y3DfQbrP1cukn5tSaki+EIt5dQ
MWqJaTDEpu2MHsSP6o1NnrG2OxcdDVAWlJ6JgbQE//vJ7kRjHTjIqVUEtoZKfYNHoo8q2hpH7JKj
cap1FRQ/QO2J/d0tmjlKlOvLQG7Dn3b4EMYmpKisHeg6Vlx64ZwELAfZVDwT0JYiCr93apOo9axh
faravG20tnXMWCt2iRap/nXPXhgUqvUwwVH/yEsJ7/K6scaYSnYRWFLuTfVTVXyobQq+0pXXyNKD
D8VeBYK20HPiYnjna6QXtDKzSikCnnd8lLTn3vjVzAHVZYdJt5Y7qy6Dxn23snOXEu9oD1YRvNGS
ijEKUS4eQ367UItALjuIsEE6bHi0KbtloFIwxuhQ6g0yWLcmJAi/PrPAdwO8jvCHLmjlfMBRb4co
YcEp+Qu301QnKn+MoyMrT//CDnRLdXC/gn1GfH9VUmOMNcEKRjWk5kanbG/65kDX8HhLPvnZ1Ysm
FMQo8WiKWkCzqz6hQa581Oxgj29kjVJ62QQwDtBTQDJCpP3rZ9xXZbOgwSi9UfMtBi6M5cfrs7UQ
KizIRODA463pOJrOVyUuRitODXCNYxg6yoht8W+W48SAEMHLSh4bA6T8QWMfgPCe58ypm8NqNWRp
3/IKFvYUQCggnTgfRxWRCn1aFQ1qcgBmVzU9vNDCtUC0ZAU5BPBrqcANXAijUXkaGoOkNCDDbWVB
cD37NUSvSfl6fVEWzSDNixw8ssrAip0PRpoUqGT2PQ2AHt4WfosOsFrp3FVOf5HKmZ9HYEb/r6HP
YHFyUExmljVSOcDDehvMi50Pg5s8S464NLbDLX/3JAwqbPr3NPeSzRwZgdXaN/MIUop32f7+5WED
zvN5PQaOCRex82GDAaiauhiVM0rftOFHaDxKxkOif/0wObMiHPZR1bOSUBSyc5vd2L6eTWChWuNo
XQqzXNNZgxQ790qRaxKdZUpiaqheAXFRQluMbTGXtSy7YQ4ZHkg/Go6irmlWLwQMzg5t8cgHVJQi
+E1aVKROFYCRE3kb81ZM6YF0KwfXgm+iixr9hrhmGSia8YBy4jIo15om7Se0eGmTN7DIncpyk6Hh
KgSjw3V/4J8rPNnPTPHhnpiyG8DTawumJvlgpMNtkne4zOyR80I/53vc0l1E/OsmuYtdM8lHf2Iy
VKncjh2w/9b4VKM3/BaM8k6rzx6ZqpVL59roBG+Pm1lWJBOmKt0Pn6e6fEiNW9q/NcZDnf0I7Wpl
NpdSheBiRJ8FFwaCBoNwAGNThM0E7r5gbkEEoDiNFDtTVfuzpnpTHDtaAjFiVzHxYChq6+slgjPj
wr0KZCIFUSqspUI/mALOf/VorApM8BGIq3c6QsE3zS7WY8viI0T+LPWMnxJxTWjtyQ54Lm3ZmSSH
5ttaX5P64797za7gqHgkRxOjGBwBv9hQ9V5k1Cvzx6PSNROCY07dHEZyCLxEG7tsCwCi4bZeu18r
8K+NRHBKqFsAJxaRLGA3mzUGhuXfNj5fwOCvFwsM6KBsy9DGLCFHqwRrh8fSWQYP++/Pi1I4ZWsM
JOSV9nw/PWnb4r24sd38GxAs941/U0ru5Nv7DuKw1yPGyqhs4eIBRea2YhoyiVLXtHdtBImHkEjm
/rqVxfPkdHTC5i3sNofSAkYHnLjTeaOTO6WrObm/Rnu/FJY4fpdLuCEXJzY+S1TuSJTpyIweUPCR
bmMJEAAP5X9kX1ambs2UcBKjTKOCtQ+mmFI6qs3cKLY80iDtrLy23T7rHymYcq5P5JpN/veTAC/J
E2jta9gsUctu2AagNqdJN+0EjSr7tpffbWl/3eKig/wzoRcPBSWWEJQ1jJJss26LRt3rv7+UbgUM
GhcNPESgwiY+eCDS0IY0RHeOqbp28FjdZjeSb/4qt63zW62d7hGSd5vEu2516apxalSYR4syqR9M
GG28yH9cU4BcOobBIQOOKdCYcIGv81VSErycJc0G2FD5QSAxKcs7o3jC4ydPVzAiS9eZU0uCD4Zm
TEicAuti1l6ZjM6vGrFVKzbXZ2vR607GI8wWHlgDjoaQH0yjy1jljvrt3N5G2ZNCCfq2OM5iLal1
6Xecfg/3e7zv8BbVhZFRJUosSQf6pQXgYUMIA/+SvOYGC5cKbgW5WRniEpd62MaU16Oa5znKY9Bz
yqVNOri1qm+VgTht9Hvq0QU7JrfDc6iv7KvLlYNlpNE/k6mAsAtzivu10VsU2JuB2M4GVPKg9PLW
1KBXjHzCu07ChdFWCe7TQDZoyoGBXBNP11Z9CrUVXM9CD+zZYMTiXz4mcj4rAPbktbwro9e0r/C4
zPwMsNKme1HqJ4KsiT0G0CostgM1gX8gIEySqpX2r0WvQUYPNXkZvVYXfXBSoxqQ8MkDo7hTUXzU
56frW2HFgNj4phZ2U9V5CRyHWTshfUvX+j4XjkrMJScH4RBPXhY/Dx6ZpfZFY2IulVjbZa2+qdoH
Kh8G+pBOvQPGl3yUnWhKV06WyxsazHLcOdLunF9K2G+TbvMbyAizuY8nWPNHAT1MUvidbHmr2MXF
WYSGAYeM8O0n3DpGEPBkw8iNxaZjSg94TK8M5zLAYzi8+IJGNTwpP0WCTjw/DXUlnmNYyGIDN+jJ
6dEHWZZrsoJrZvhAT8wggQaYJzdTAGLFCRNaepj0/l8NhiNXLShpIAV5biVt0B/dhzNqSAX4xtgR
7ZRStJLbX2iyhgwjXA5Ub8jXoVdWMJKj7KnJoLcv7rTCQdOD3eLZeJf2W01501vVjULI7UwZ+Eki
QNVX9tViCDk1L8wkOPZIEhbYWNbk4o1+VxjfFEhuWvJByolTDJ4Epr2if7NS3e+UemeWoCGTOOnh
KqXH5fHNBSmRsUcGC/xnovSZ1ZZWWGjYgdq2bn5HSYN28vcUneXrk87BiOfvonNTwq4bo1yX0hqj
Thu6DetNHN1NSbYp2eQWiVdCt4Ewl/7+egw7HZ8QYarQ6IZpKnKemDW1p3JYO7v5D1yOykKXA24/
OMOFUdWNXMryDHSgLGMFTb9OHqPoKdJ2xnZ8kqSV3bEUuVRoF0FfB21naH8+d9x8liuqTbCWREO8
IRXYN8JJmmC4zfZGb+bO0KNBH+I73vV5XDEsYmvMRqW6FcFwwesdu4h5OSTU9a2efYuBAr1ujPv/
xZz+M0oxZFqNUqVGBmMs+WMVh3Ba+f2lq8LJLIpw8jQHkLQt+H2ktBxde4r0CATB1CF05TK5HGi4
hg1P9XFW/fP1MsFeY8oQzAkmZBFZ91FE3V0VH9rfpXSjQMpc3Spq6MtgTRvUG2MNq7u4aFBHAY8D
MuHIGp1b56i9ou8RsVX0skZ7JFPII1Rg3Zq9X1+wxShyYkgY5pBKWpXpQHw24/uguUaQUr/tnRwt
6P+bIWG3pcU09nOHEaU/YojlOJOXoAll5Zm2dNABjIG0KQqZ4OLl7nly0Cm1mVZqhdGMxRva2JP2
QOOP6+NY9EAULTmkHgeQSNNglfFYQUkGN35fcgqXuGtXnMUVOTEgjGEAWCYbFRio9sSDnKMLVcWV
++dne8zFNj2xIRzVkmzmY6nCRnljOE+ak90AqH3zYPvV7h0M727ogLDVb9w/FK9b17XcV3VT+x/a
Tlr5ksUFO/kQwc/lOc1TdcKHqPo+7e5ktpHrb9cX7PONcm2wgouD+qpJ2xI2mgCKse1tfZv9jH+r
H+3ojD5oUTeDqzdO9Sh9s3a116/QEYiSzvBFHJ4nQxQcn5MsFmSG+d43N/B7d3aKG5ASFCCpvdUc
yTHdcgPEXOSkz5XfOAk2RuOR+2RDtvTn/Kz8Kn4Rn+wV/OX6zCwGGUBwOA0AIAwiF0BfZGraSyqC
9U/V0wF5DMjO2JvJ7n8zI0yAkcqREtUwk+U3RXxQ2UcDqhi6U+s/QNX+mwhwMibhmJ3H5v9I+7Le
yHWk2V8kQAu1vWqr3XYtbrv7RXAv1r7v+vU36LkzXcUSijjnwwzQDz6oFMlkksyMjDBmnwLL1TGw
QE4N1kt7UDjlmUWvhVQOZPrANA0uk9swQ3wzFYwORvTwFW17liZ8a2qeTNYCeAGOc2WF8VspQ9t2
LAOtrmNtos7p/LVC9oP6vdd/oPRatYYNWrwEsFWweD5essUgB9UxNCwCYA2qgdsBKtCwjCBIh8uK
1I2rYFaINRm15EhZXeVWZSg8APBCzy8GixI8XsNf5y0T9YgRtNABN/A2J7PTVegkslIn6RxVOQxl
Z+H2ade47KvHJEDxJgGKgnA8Z3E3XH0BExMlkKSB0BRfINqD+lZDPzfOV+kW4A095l0Gl+f372gZ
BzK1cMBLwkdImsFREv4Zk7PggwMk/vZ4HZeuuCD6kCipD8WDsLtBV4Hta+Nsr76HEIDXnUZ/y6Pp
RQ2eZaiDyxVPH2KhIR+U3zgVaZoKtP+sqsIoq+BJSkMAUMyabJsBpK6t0sZuBF0Z0IklGfihtNnD
Ez/adFMRumjeE9Zm23TPQ1IqNhUL2A6tL1wK0//I9axDuRwZaxUiPnaOvlIrB7GD22cd+ovyztgm
YU2AURrNgyFF5g4w1mDzeBKXFguE/6ArAqgZQllMq1YKlYgGENJ0LxiNh2ws9HwiuxUTtzb+OZMJ
Zg8SRV89Pnjlyrf7DnLKQ6KB7XWv4nCSazfIK0sQvcfjWczdUGQk7fIBVzxLgkGbAv0mRGAZf3U/
0FtfrFCgHHHDBKdswwmVi5P31xbLK1W0MYkSGbsKifm82qrFVpU2ospL7S29UMErhDsZ3nNoWmcc
XSSzpgcUVz8Hsm/PwxQ4pdF/J/kc2WYxfMRJl3pSndqEZCCk7CeXM6c0IrKXjKsPuBtn2bfoCwHK
vHSQxkH/y0W2zbf+Z9BbwuD0/yajA2ojyIZC1Ao4ASZYyRD+KwKIbe+zdA0E6uSpJm9Ei1MKDDX4
WNBWi7LYrS9GRCubahAQo2oHjG4z9N+8lBxC5Wi8JbnVf388g0vXXgrZ/q855rSLxzQCnhshEUX6
33X6Kvn9KpBLV8tip205lzLqDnerBc9H5U2DvhJLcjBCBKg2oZEAGhhohHrCr7QZn2JjoxrxM1Cq
byP46v/F8KgwBfyTQoaZIDL5etU3YZ/tk6x1gmqndWgvQwsIqn9hwjnJ6OLfjQ6AI7QagZ7jjlq8
7hJ5khJg4Iuq9iqhdMXC3BYl78xeXLErM4yD6DOyUlncUTPoECrCVQ+eEyCLHNmftxEEvTkvyMUy
CEUs0aZBnZasbj1SDH1wferoEpKLb2O7jkFgWef1mkBpUhXtOi9WKF6F1XvbEI7ppbvBtWV2u6Uh
Sqhake37wAGZuAOlNTUYV20jbLEwtjkcH3vL0gqCj01GdRgXIojN3I5USoVYrghaJ6TmmGuRnUcH
aJJx3GRp/a6NMNOpjdBV0H24Saqvw0Ky4rhwhs42k1WX8TB9iwPC8QndNnSuAtrHDEirC9KFKhC/
WkbsXppyexZAfwlZDd6wFk1BaIn2eGIELP2bPjeS3vUD3FLptV0szZNTiMZGBmCfs6epg7P7DG0M
tAMRLwEUam8HVSiTNk+lD5SvUUI1bXS68JsICrKEp36+NCQ4PcYCX0DUYtyhzFMIyIMlfz8l2wKE
uhAh/zdDubLA+ELb5a0xKQBKh82hSNweGvX+Judl75e20fU46Div0jNxIvaghsQ4ItUTZrDs9yeR
WNWr4eeu0fWXx5tocXmuxkT/fmUtBCN8p1NAO56CoztHCholO90eSz30iI4H1WNzC4ODH0CrVUJz
L2QdGHNaPKjQPsGZ0oSjNc3bQfsJkku53ebVU5ZwAsTC2JD0B37zP2IrLAmTWXRFOXQ0IFXrqdmj
HzzUfLs33MdjWnA8VHJw+gNf+RWNbqcwQftDkANVthfRDa0adtVtVYG3YRfi0I0RZuJQXBhVhXYD
JLnb1fbUH0C1nVegXOFE8SVDqLNBv5fS9yE63I5GmdR5MhPsV1QOw4C4wvhDE1Kr034AbczxhqUF
AsgWgG8U9wCYZlxdlqdMiH0BTSjSyk/cuNiC4HHmKb7xrDBTp5dqIjUzrGTSVs1BK2TJ1THmXTYX
wC/oHwVzJZD+yBPhgX47cZ1QgSulTvJ9JqOoq1wMAxmrjuDU14u92ZC90nwKAJyJqGUHxPhMRLIK
Vz5KGqG0U3JeEWApMwIuGeAtQC5ESReYZ1KbT21O0MCIepQbjqFlGICRCvVBKgIrDF5Iaium0/Xv
gZlDuVL683hTfNHJMHEf5oHLBQ4YWpUqEyyJ0E5j0ADQnScRJKC3w7CphF0dCij59UecOl7QTMjP
NHY9dqKt5q+DWEE94DBqIFXYqcIfX/e6ZDV0TzkwvQPUWpQ/OZIagryL5FXWQrmac9YvUOSAzoGC
DdAZKQJTzExZnYlCF84NoPsQzYlQO9GCdWoSGw0+oa3/zlSrDCZXkGZbF3oLX9WLVhE9JcNBGmOr
gfYLnqvPQ8N78dK5uptLWUE9H23ZoIpiXEsctR5vXoC0BbkI3BGX5FVJqpZTNl7Y+YaIfD1a2RXa
6EH/fnUUBCOpQ7OMAEhLtyKIjZUPvJdM/YVXAl/oLwfOH4kz+o6h/NuMoU7yG6LWYFswz+Gw7cNf
ev49BzFOocR2Kjr1MO/GJng2P+L6D8TJIHp87qCpirNPF5M1WtM5674QIGghBC3JAA+hrYv5ngGu
oANKTvn4E7tNu89ulldzrJ+GkhfGl0yB4ZGqkKJ7DJNwO8e9H81+RbUMsihxjHAjq7FVjLFt5jzU
xLIlPGzQsIMlvSOtInNkkBKw//fWXA3VU6m9Tzzg01LVAIydf40wlzuUcIV86CrA/GUDMlOmLaQ/
BSO31UB90sffzSpWkU2Yes9Q2nPoN04IcSWl9wLkg7GcQIIJ+/afA+kgO0m7WlHaom0rzHLGgqFB
7xWAwLl+l3wvGrZa+X3kta8t7MkbK8yezMVSbdEjiJaAVbnmOCT9Qma/QzIRWBq04yHRxLbIq1Lf
zK0PiG3bbNEImm1Vc1cbu8/HIXrh3oIwh+5vPBLRncvmryfQK6G2DwI61AGNubSA5bL807+wgePQ
RHHHANKauZRrNZD+0KtBjly+qPM+C9AFzGsnWPJ02l36XxvMSTOJaeZXNWwguQvAJLHjxMNeB/ul
6TwezdKaw61wewWiC7gqxrMQKPpSCwEGjYonEoF/POBR7y7cj41rC4xX+Sbw+1kGC9O8FkcAqkwP
LFBoG0BjhKpyhrM4cWjLhtIFmlrRR3MbjCCLjInrAROKTmrkTgTJ1G3oPp6yJVcGywB+n2a7QfB7
awOonlqefNiQ3nXjJxT/utcqQMcn59a6OG9XZpjUpp7j6al3FGn3QwDaEzqDYIMXL6J+ani3hIW0
GO4IED6iuBtgPhl3K+Q8MOYcuO08bZ510pzNQHxKNdRfjFi7SIK4Qu8+GliykbNfF5brxjBzWxbA
DJJGJSKOHIxOQ2Tk9xsLVK0WEWtOAFoaI66xMtUgAJSbzRQHkLELhB78pjPujLO0MYff5TOVsHtV
xMZONdl77CVLVwJUDf5nkH11IJfSJWmLK4FfVNKLqreQjFfy5CkY28zN6i726lRuoZsnoXvChwaU
AtSJbY71ZEcgArOGPuq9CQn7SzakkYYGRTUvPBkkkR5Ex0ZOQX4pyXbzuezOAfmqYgQgYDUyZR+a
r2EVvcSQlFX8XWRaDWo3cRY43ThZhvrPH7UmDT1waICy7uQhEnQmJnKImVLxEmylyeqln4aI8qom
cGK3TIMzcwxR9SBciQwD4cFkNpWf55VeyrisKA0ohivXiFtrVA0HZKnQLd0p2S6AFh1qgnZj5Ks4
tCTdy6tfebRufdMRy5Wp2cWI9DFIyqfWis3yXel4O3/pnXP1lXfsnO3UBKlfdOhHydy++Y6MmTVN
z73SeQJIcgEEfwuH+T2vN03/pHTJy2PPXQg8wLR/yVOCfwBP9Nv4Js+lUIUJrlkpZQ47an5uC9AZ
7Scr8BUHsNb/oz3G89JySIR5wJq00R49RpYykE1gbso2s3oU/4R/ZQ5oPDCko4b/9ei9ehNEQmiM
iY7JBUWpJRivgtJYmj5YAkQ/BPnSBQ3nTPrCl9853RfxCW3Px7l+O6ElglmuThCXUQdUffsELYlx
ZIVKu60FzSlBt6fk6yl/reN6nQ6iF/m6bVTzazb5G186ZfO+VBSQIsfPbeEVphcoxrfHS74UhxWk
lXARQJEC2lq3X2hoVaDXEdpo5L4HPkNAY7+st14pT642KxOn3W4pFGPq6fTjqg0Myq21sNQ7uYBc
wj4pCpekCqS8sNnRU6YEL1WjWk0j/5lzbf14jAt3Q7rmAChTwkasw63Vts3BxgSEMIiTLoKeW/O4
1uf3xzYW5xFtu7S/C9h4NmFSiBX68SvcP/X4o2012tFAqUojnkLDkh08BEAJR3EiAAvejsXPgvo/
JLJyvC3NyYKOqZ13nhbw0ln0h1jXvTbExEtBbpQ80HARbcLOy6rgMhpHKJj0pF2Nte8qTbB6PIML
lytwWgE8hV51CsBnfAPglqJvv9C//usYkENODmJvl4a+zWQe3d2iLbCwoiIOoiWQl93OInTp+6CV
0I5hRAQc70PnFqArLc2nNonWUO7i8RUvnrFIQvzPIOOCtd+mU6YBTx1lv2fBS0PyKok/odjgFJ09
Bsc5Jo6PbQ424n8xqxpKkJSOAiImzJslT82+gawu+spzJ7WIYk+hk/GeEkvQWROvLyRz0HMHvlJm
7UDFrDYxAdSz1s1g3QsUFt9Us6PPHUF5yRBWueanuzypgp2mVaMbG/0xlALzHFWyepDAjcAJvUt7
XhXRnwX+DXBdswnDRu9Ds0oHYOUb9FiYn0Z9HAPezXJxWVGuo8ks/IOGt1s/qlpd6ztFAoKIDE8D
BAmLUXfUPttKgYZ/25UcmU4jkK3aHZN29h6v7fK0g02H9l8gmrJNpfms5Po46HgoBCmU33y5d6op
Sl2xDPF4HKreRuhrbZLkvhN3o4GepzG3Ww0P174rhb04Q1r48TctzjswbMgxaciBs69KMRuLNFIp
jgyCyUmsW/P0I+l4LNdL+xcra0ggHKRif8z+Ncy86YqBko42lTMD/OGKcWlaftTFq6rLnprs+HhY
SwaR5IIfURpXnOS3C21qICvue/TjNbF2yIbvkojW5wOZ660WJZvHtujHs5H32hbjVLOp+eNMG62a
kArDyr7gBhPROYfiou9CFxJYRrz/8WqmJ83VbaggRjoEJvZsbFalB8Ka2A1Dw/fACQcl12kY16rY
Ta4ySrmrpbMpWXnu1/vJyLTV4wEvHTW0JQr6Aag6YT1vv0Qp6knr0Ye9J3MJHt4egMMAxNheHySj
nSphCwkD8zJEbc8JEkuHKa6BIMBCL6yOV8it4TyoQhL7mOle+ayRsDfJoelix/gXmGfkv0yYQW5C
u1OCKOWkGYmPAQIyhEuOQZI16gSV004B70G/OCRk2jRADUWwRDLxfupxCDQlTjZVAby3bg+JAunf
5BPPf070WdrpSJYCikTlqRD1byePlMQfGtqwkNUnNOlbEVS+5Gz6F/EEwk0KmH/hGcg131pBSzmI
YnvUWAvc0g94Lry2SqivZzPwOVmXpZnDHRG5bPkLksdscbkIzUA1UGCNaTivLL14GtNfash5bi9O
25UZZndPc95HqQGKR1Rw5egzGFTL5FXdF4dCqwAo/kBogO08AtA/ab/wi2Z9DP3SAe2eDl25MPt4
vHEXx/LXDvteRLEur40cx1/U1FTIOoT4R5lwosNSOMSTHWVcSoOusix1CExlgoME4VBSQJWUOT6c
7fE4lufrrwn696tQOExCLrQ5QJilv8p9wyHyCxoJxX8BIsfD4K8ZxpcN3P9qucZIUiAtpNfO3NT+
n8cj4U0WE0rHuu6KAB1leyk0LKGq7EDUOUFzedH/joLZ9z6QKQKpKDW2pIPLsQ4dA81m4I3/NwHG
xOUGR66GlkdW4wPoczPQfRjqSOIp8oeSoD/G+Hw8YUtLj/Ig+M3A6IiuKzqhV0tfaGEeJAMgUdiO
pv6jUQUL7T7OGLccN6bTwp7qlHUMj18TSGk2XEZaOfmzCYJADTfD9Bj1H+ivL6A0Egpv9Ri40viP
ryzAgQMRBeAc/n+HR6gSoDz0AZszGdHiMb3MRmOJAbD8crIZ6u//dBrRuIamly/KSgAHGL9LxgqE
IznwAk0OocvPqdiXw48AXFmPzdzfFEDpjFQF5ReWsFpM8BRSeZ7lGgkqeRW5cG63dCU75eyh+5WC
EVzn0QYBDRvCor/FQs9MswZiZAC/hyY6hph5dV/igJtAe6TZOEGgsjytHw9t4T5G6arB5AhaVh3Z
Y2ZfqcowDVmIVDyoa+NopSqfyuDHFsBttgAKnIQk1hgVdjJPe9H/x3satpF4xK7G1KJr+3YXRKmI
LFCKSg0O102pgCZ6GNE6ytsD95vt1gwTZ0kRtcQo6WO0aqw481rk/DXppBne47mkgfR2r93aYQKt
plZSPqMJe28MmZtUgN8Oh0Fp7XG6DCJPJvQ+HlJjVO0QDoO7A3Pjkqo5joUhxI0rf07TZ6lpwYKw
fzwgxoaBthy0pKJ8Ab9EKZXtgZeI3IRyFkcnvCtfYiNyg+QDJGe/H1uhse5q2qgVxFv8PvjnNDA8
MDegTM0qM0Eh4ARRzDfBb5+MAZ2wj20wLvAfGwYerF8wPdi59TRfkfqAjEJ8qrPY7sNdNmwNc3Tq
fwgF/I8dwDJAKknrTGyeTFD8FmSEaXJqQbE4BqFnRJCNqNDrxrnPLU7alSFm245jkEt+GScnsf3p
569z/fp4wji/zxJ79NDMAea0SE5Ar/80RcEytY7TscG2YrGTxWJ1S3Uq0E2UJafEMg51b4f4H0Sb
PW2wxQ34Z1RKQc7r3GWbUu6sMsHcr9RUUASMDALM3vTHfyEbqJLt/beZczgt7B74wP98gTA7NNCE
XmsIfGFEOw9E12erjTpvNIELerxWzMnx/0eERyxUnym7B7OBQFhHWqhNJKc4tWXbiC15sOrMIvsc
CByOLZaY4s4YM319CPDpDCG3U2k8Zx/DkxBYSIakpgPRhy1i3SFfTZbTcY6p5bn8O0R2LiMyyYNQ
JaeOlKjrV+syQ4dW0vmbx1PJnPRfowN2y5TBGo2lY/s1/ArYhNLXjWPqyy8zMul+qVqdom2n9thm
3yOJJxqxtM9kXJcIsjsKQi0zsCiOcj/tAvOoDGcJ0jzgZ308okUDGAgCEtpvARq7jXyy2DeaHPTm
sTH3xHiewQf52MDSlCHLSxV/kO5V2da/TkWvfa37/rFoZduHiv08WVGTeR0yAeMrqUReCxZzzH6t
EUA3wMOjCYteHW5HBGrgWZGrUDgi1ZdNlgY+/C76Vg/fIM29yTprRG91dzYLz5i+iZFVgL7FNz21
Ku244ETJe7ekBzBgDFg/9Nx8xZrra3zRJ0VVjsIRvTi2Uo9uBrVYM+aUr9iEK0aMZBF0Lai2s4ak
L12CKzOpUOmVn8fBafdzOsXvqradV+roFpvoF/HtpsSOe7ym9xHlq6GHABEESU+R7QPQyZSTUE2j
k9YSJ0EsqeZV/pJ+hpHkBbkX8bQUFoIyEi1IgiChTJsc2DuALojjmCe4aRSKCumBbEXMNxNZEEeV
7E5Kt7MeHiCyxhnmkllogyELCco9SqXKXAtiXSkKrYPkRYOauKMZc+ZlZq+7vlIPpzir8o1ugnTc
LIdwk0SV9GomOe/WeO9DOr4B/ZFI5gOqxhYnhT5DW04zR6cymtBoLejYPm0hbErVr5zHy3q/cwB+
pdcscPGh0sXiGfV+GnpJjPOTfg4aC5Sg8anhXBnvPefWBHMWKZ3qp3lPTUiWAZxyZ+kosObGcZ7T
XRqs0V3iPh7UkkWEzi+2LmhVsW/APogyA3xr+amWHSOwZhONu/vApBWunhBU2jlOw7NH/361GSHF
ICmJCnvEcDJxtsLSlVV3TrY4G4z0Ip8eD2/hwEVC7e/4WNI6Py3nKIlgD/S3Rvuh1Zba7cIZwJVy
nRV2j26MaNOibV2piR0e0TKc8dqCWFA3AhDNgck4o3BBB1cN9eGrMWdNKvaJ7ucnFCTA3lBPT73w
4QcHqbtkxa4rfzXlT4iTGJ+jdGwhBpQXkt1EKTQ+oh1q7mB5ybYzcEScqVnwZ3wWlh7xEe2pIvNZ
XY0CHs4HfFbmCMFeM/bZd+lDgbKqJf4Mzg3IQFfqYdg0nryfecFjwQ8oeohuXEwPEF63cxK3qVTp
WlycJLCtt+ASQPCH3giuDMm+Sg86Z2Pdv2CwBF+MTkjjADbHbKy862KtVoT8FJL8kpxkA9eg7DXg
5j1Z5t2vtUYfDnSq8fSjClu342qaup1iOS1OQ/tByGCZ/m5wsK8y9/tn5ZqfkX9IjUuj7vWogJwY
WE4eryqLXgE7HQIhQBqQL6D4dpaTfOoUMdIakZwqt9wXT+mGHLWjvI03wRY6LkfzR3gaLurK94hT
2+ZG48QTNiNyZ5/xKtUYxypDk8op1xqrb1Arjqygd6DniH9e9EiGUvmzOeWQ0fU5tr/eoTdvYWbs
zIFUl0E+IoKTk2znm9JLttmq3eVr9KB6425cR6tgo3nxOnhWN/JReQE1mgex9FW64gGC749G+iUU
pkBr+ICWMP42VOIMQWrMgiYdSPlB5C0eTaAO3KjCSilOreoNI4+6icWhfU09aJ9RPEcTBRJSzGW1
0spyrKJKPUEv+bNEc5aTHYI9xD9efKt4TlePPe1+pXHRwD0SFxzccmge5dbVxcnQmk4WtNN7+hz8
IDmk5i3tuTzgqTbHjsi5xt1FK4qbQV4PBBmAuQG4cGstQfotCdLEPMmm2/WbVNhVxJ7QI8Ljm7vf
wtQSZBvRiUOvb+wOavqqQUI+NU/9ut/1b/m5OsjffW/YG+vkOV41brjP/xAe2mRxfFdWmX2TTClS
6j6sTuGnfxSGTyAfrHalhzUv7tNfutklzPiYXZJ1ddCMDWayrB2/eIPitrquNKs71eIedC3m9E0O
f4QqgbuuoVmZgJX3sefcvXnw1KYVVXTZq9B+YF/cfinG+qSM/qlTrWit7BI7CFZP2utjKwvDvLEi
3zqMlPplNsyDf8os781+/Nv3+5sZAvPwNLpCEMUJP949TaqlP1+GF7+zSkvGknFM0Z9ilgsIK4Ry
qN5AioltCavSWB6FQfFP4hEgW+GX6eVn/7u4gePHke2/mS8zB3LJNhJC8gnvCPCzgEITgD+Q0txO
nT+JAelUKTgL62AX9c64M0133GbeuVuLP+uD8VS8qQ6vGWBpUtFzjiwm0MV41bPAHHWo1DkkYXiG
mjdeK409xJYCBSbFqt3Kazgn5YIXAmmEqgQCJnpDvm6OV7cyqFuZ1ZBH4Tnfdys9swbFap596G1y
EnV3Vw+sHK5ZtPFcB1haZW68GkRao1lIEjwaUAz4XfTnSWgtiLtwdtX9Oxf8IigcAV1Dj30E5ttV
qwsfuNAmTM/oCTFW2p9atMK38E3AabCPvPCP+nvk8HPcTSFjkdlio+wH0E4O0rP0K0f3ztsMtlV0
W1o9T4rhLjgyhhiHJMNYBWKAoUWBNVrqSW+gGLN+vNHu4gVjg7m5TXKvpxKOmHNPCfZ4mSru6lDz
V+42oohSxQp+PrwUT40dO/pToq27dwccFdA+BIqdRxx/nyFmRsQE+t5X/KCZYXJwfw6vqWyjiHl0
jXbr27+PvsIJVHc3esYaXcOrAZpiP4PEFNYquF9q+S9x5+G2Nx/MF8KrMi/ZQgEY91yUSFFTZCZT
kjuzkhoZa1VYaCYWkGIBvbptrIXBAlb4sWPc5QARjXAX+MKRIbHDsj2Fo5LMA+rNZ0MI4+cuHhoH
DJY8laR7F0doQGmFmNQWGqZvpy8UW6Eawpyck8zpVVfFo3DXFi8zOT4ezb2bww6eezhNcGsDscit
HaJOaRoLHTkD9iy16CAT7Mj4/tjG/dWQ3Bph1ifLZlJVw0jO78kH3CE6hV76ln/TfvUfydtjW/cP
ni9bYFmibAG4GzK2clGGxrE0k3PrjckP8iPvLTysTeVX5r8kyUYFoU6a7IbM1pDzlo6yHFg1eAA3
pmppoM/cpzz16sWVhJzzfz+I2XYDtLviKZXIufqWTW5RxlYMPsBU9kRlwxk7dYqbuwEdOyDCtEuB
YnhpgL7ac0o5d2iFUcl5N9jvphWsfxB3hhhK6ET2aH9vLh8fn5N17iyFsyfuI/+tYbpBrwwHlZYn
baiQs/EK+JDhxB/BJuQE5Pv3zM3oQO5+a0QELZiuzzKMHMpzufnpb5KVuRU25gpEdd7jqbxPFDHG
mNMTFQCkZ3HrPff1WkRi6Fk/KYG1stpttNes4KV/0nxH4M3j8k753wrebXuoEZuzGGMik28KuMiI
HbnSUT8IByRU3cdDvLuIMCNkDlETUgNSjKhwdqrjpv8mcFIs97dG5veZyKJLY5e0PvxePmaVHctO
+DJlTjfbgaW7DXZl5oCC+dc8uVDXejy0pWnEYQCpQyTBAYVgdQ5KRRhQ0w3Vc70HU+vO37eu/ww/
WTW7afV/s/V1jb3y/dgsskpTfXIWV+M+dqxfL6pdu8WeJ0LPtiQCxoIU2d9BfQ36ylATRjMRIh2h
+lxfPKW12p34nbzku8bpHMNS7Po1dE1wGr2g35QzyLtXB2ObRp4r2z2UTCaSmeRch26w819erHkl
/IBY3ye4+0Pa4PrY4EJAuRkr45wVcJzQX8SkqtbsiW6/Nle1lTiPjSzciG5nlHHRrISwcTUK5DzY
8SZ/qQ4BdDecGhOq2P1ruO3eGk4QWzgMbsbFnE5obKpzv4JjGqvC2o8uZ0/TD745AFSavcUdSARK
GUqcdFqvlokk7aiMMdHOIRQppPItSHm7mi70nQUAvalMHmgc2J6MyEwz+kLUz+W7+Kl7cYzNLDTW
5KW4iruJE/JuyneeoCoosgADQrFpABEzQ6qjQs0iRQouDRi9LnWBVGGNzW3noR57Rg2kA1SEyak3
Q14wvguQ1DLueuj9A28EtLZvJzNUwPk/Z2Nw0YuNgZduhavrwBXmo6fW7YRSK0gNg6MUz1z2Oun7
QVjGMcanVqGnRKAnjSB9DuDBijTzRtMTJ11JLa9Ra2lWAZdERRK5BAKq2duxKQDWtBruPhcAhuxZ
O6BqZkMl1gIfoBT/UtKZs5/v/B7FcuR3aP4T4Riazrf2WkUJazCGh5dpK7rBNthI7sB5wN/nC6gN
eD8SkFS2iq39ZcIYmVFPwku4IdtxP+60TbMnXuxyYX4LnnFjiZk9X6kgD0vU8FJ7wlpYo+t6Wx3q
dWKXrr+WjtFG2sbbmocNuL8AMQNkJjER46gbZpgdtuFLtCZ2/iIdv8dP1cbweNJs3NlkvD8Pu1kQ
AK29JE8XiOyS82xjLg/VmieawB0WExMrWQz8xMewhLWx0r1g6//Gg2crueI6PPCojhcd8cpJ6NJe
RcghM5QwzTGs6OlZess/0JK7fnyq3D1Gv1YJtE3YWcDhsVQFuYJGukRUwgsYqV1tG6zHtbLyn5EH
eWzn/j4AQ6iUAV7zJYHN+juS/oWWaHV0KdzZk+3ZSR111+80J9nMtgKFgwK6xIPVrb9xDN+HLAKO
RhTQNMpki+B1O4ddAfkNv5TjL/cPTioqKemnviK72P4/WmJWi4wSaFR6WGqdfjNbvle6b4rb7ArO
uXl/E0AH6fWQqNtcuUU4FJE/0yEpeDY9/ehffnlgrz5MXngKvqMwxjtGeVPInGrlFM9C2cLehEgl
2LrbeZ2DjKrEeRIubGMMDKSaoJJCjxg6qG8HFqUZqdBKH1+Q1kR53ZGejGfJDa3qTE6PF+sLYHx7
kt2aYh6BRTTrKSA38aVy633qVXbq/Oi9zMrWkTuuh9KaXuRn47naqLa41jfTafz1G21ivG5Z3ndo
zDsxznDeVi2+Y9imGwk7o92j7bmwRMic5l7gBqtoM3jde7JJv8VP5kqxWxsEPRuuU90fEzcTojFv
yNCoDNww8SGl0zoNUOC2cGrffn2PrfpQryLPd303/seALniygt58igKG3rvGbJkkk6G5NMCzeg/o
BpCBQK9i9m3DEZ+rffuxteNjeajeJJ5m831gvbXL7KAszWkyC3aDD7KVdrKEerLIcbH70Hprg3Hm
sQwjA70FdNcI1mz91Bz/nHm8I4KGL9aPIRgK/R4VoGzcZm+3jCBHoPBoCbaMilbRl0n97U+84M1S
mUAtAUO5MsIcr6UvlXU3wYi4Ilt/JW6Hr5p840UAWHQrf9Ws6rW0nV0Q5nuFU3jDmpcuun8sEHR5
KMj5gWYOqnyMp0xmGyhR2qQXLZ+sUemthEdpTdeDnclrC4xPpF0cQ3S9Ti+9kUBP+ykDExtI3IXE
UvqT0nKZV5bsAdcHJhpZF0WNrRhBdiPuGpUkl0Y5jp3dCoDaucFwEhS0zkuuCgiCn4mbopNXterF
6CrPSecUaCsv91pYWGXhPY6JS66EFwTlkkCHpSYyrlTLWYetKGOKfUhfI786O1maQruyrz8eW7pP
ecChUAanDzMQRsK5br12mEHvqQ1lduk+mydpl9n7YFP9kl7jA4/xZfGwBPoVJBwoDYJtmrn+lknc
Qkyhyi5zOk8yVO6D8g8Zukiwu1Ao/uhtC82KUG/nPVrMm/dJHifNTgN/OGhSW8iAspkxHjqNkP5q
VK2rVpypoENl3e76+5ipiLR4CoKqzS5JsRvzaW/6aAibQUsDjVc5/V3gTCDgXZ2CylFewxFAjIGT
VV/aWqYGBgxAhEFhyeKEVTEShmxOs0tpqFtz7M9CQ3gFvgUbJm5fQPUoKEbcCVyUWdYFyANnFwPa
kCugjAJoJvQmx4OXFttE5y6FECFooW/+1q9ogypR5yy/1E7vzI6E66yx0RwCiLq5RcF7rXGQHfel
MYRekAASoqDoLKNh5tZiLmVEkKU8vzRWhfxn4Jr2i/tRrtb6C++CuTSH4EgCnxgAUjgw6d+vrn2q
3ldl6xfAgNkvvPzq8sxd/TgzDtMf9Xyqy/ziN93wbAq1/K5OcX0Uyq6zQ7qylkSptS151Ev4ZNlI
oSUDGKvYo4acwKo1Mim1mzKlWPDQBOfV441yXysBVxBAEUjXACYGjD7zha2vTwHIWfqLWNq0/zOs
o8Gu5mMV/GljbwAcyjwN/SaWo7MQmlbVhc7UXIIuBN3zKvAdRXBNBTiHCjp0nE38BeC53cT4NmSx
UC0HFhEdbbdLI85ilWpCPVyEal0Fklf6Pzuw9JUxhJMG259BudS4iVpZme5FQrTxe+C2wG+QQXul
sLP30XxvhT1gK0XqaaobZus0/OxAg2c8QwTKxX/d1YcYpIw9QOYgmwxHWwMnWFG6AjJaIop6/4+0
71qOHNmh/KFlBL15zSRZxXJyJbVGLwypJdF7z6/fQ+3G7VKKtzLu9FNHR88UCCQSQMIclM+C6jba
sSobW/R/52LhhKfoI+s3dfKmx8/WQBq0w18/k58uDDBqKk4Dc4QYA2BtK4xoG2P+fzhn6EYgud7r
jtiloqvG0WejAnWll833vhMS5zrdL2/PyBvJUAWDB0gHIa/H+GosSNUj7ONFM+D4y9dGbxRd7OQp
8vupuBejW8Ugkf9kjU+RgHg5JKUlOeWN8qZ7srAD0vhDbNixadL4NE60DKgm3YQNOjk9da+arqbb
0nGKDBsTssaEic/oVgaQJODbypqMx0Lf9BGtlEfrQ+bh2vxst12QFsEWcJ+B92+yLc251gyGXwvD
WUxCNPhizbF6Y6nbRqcG8K7nY1dhz2tkG3ca1fda8KAbx6oeiRFvzFO24C7wel2VxWSyor78Ika1
x1odkyn0h3MfYQemO1RuUt0mFm2ClmJL4WbSD9iEg6pIcdA9PXzFhvCQ1MIt1mVk7bPQ25jZ9s0t
lPE4hc5s2HIGpCW4VVtC47K/TVLsW9Lp1O4Duw1vryvKz0AD7fWSjJQhIJkBvMHWOxIsfBpneUzO
GrH9yZlGvFydh4lotyHnLbOYn29yYigx76dENiIV+GrJGZDsmjdqkkTrGQg4A0D2Odfux8tiIYW+
qq8tTnB0jCOofLNPq3lOzgkBbgp2C6JNpp4I7438w98sZLAEGZll1KaA/vXdqDVmF6fowAYZ7AKg
iJA6Kpstz6t95YxZwcF04JgM1GUN9gUjWXKZGXJTnJt6FLZ5oBYyLcXITzZSpRcaLSYDszxpq9ab
Oe2A3p+qQBenQzIlgBCvRPQ+CUBrLmkum9pEc38CmrgfGgN6v8qoiTdx1/XBKRKEMCQjRnYkoii+
/FCVigXV1NDgTjN9wlr2spuxNEQMkwFWtvYtJKRCfXhNLcDsu92chwo2+Qj9S1TElUDFejIEjmH7
6YYhc2XZ2Y4xJ/SWs9gTolrnQ2ZJ6Xl0W686KXazCd0IJbr49Kpu0xFLMzk35Ef8yVBkThlwUv3c
B4j6gcF3OEbKLhto5MHAzW5LBdu/5/YXr1AEk9hagHw+tv+x3SLdVGMLGxqi8M44te7QuOguHpD6
c5veafMndd+8hxhlQBzMYfVHHgs+GqPMmGbAdhjgyDARhFSa/iRFWXZuHIOou2NIda91prN9nc7i
fBiF/kaGkWhqhFPWdoinO5o9/vPwyWso+5kmY/hgvF9jlWEalCDgb4x9Sw4nxYkJ/d9bGhkyTAJD
NPq5LJuFD6ciMcyMSU4hGjLodXH9DKEZOoyH0QDq3lgZjgVNMC5Yct2AqJ6JtbTGLia8Abc1lwB8
CoBp4zW4dLoz1rOvRbOOlIWcPTitJ380NumfgAr56/06Yz+io4WvC0KMuoXjHE9DGWXn54rMe+x6
dDKXo2o/yxELjWXvAJpAkbJiy+yIkVDcmQrQcG8gNu+QHB7uuHnZtRt7SUX+7glis6owUwYqSDtI
xJW2mO9Ea8njY0k/OY/RNaEtmBAYUwM2EmoS30mNkpmkUhTkZyEkz8VIAU0RkO32+smsOFBk9zDi
IqJgCqxhhp+itpRKVTq8pIj/otzkXk/EdkMbzkqI1Yt6SWeR68WLrUPoKwg56DzPPrGOJDi3Kdk9
mLwx8DWhXdJhVLpIlVGxItDx72TaUP0GBRWHo2o/4kBo2iUNRpvVKuy6Um/z897XCOa63sec84pa
vZmXJBi7JmDVS291DcSVevJGpIIjvCj0gVd6XaTB2udLMos0L05FnFtFiyRwEnv6zq0Py5CiZ9T3
ak4ewkde8nTNG1xSYxRaknrJmhowhWmE1yQi9JNzMIvgr7DDLsVIkSzUax0v99ZT7XjH+fVV63zx
/ew0UJmrJhJr+Hl9t6DCOzo51XT7PlGFVL+uX0ueArApUaPWg74Oq/w8UQSc2GEt0MrGhjrMynDz
gmvBwCVfzN20RrHvi75ezgWBgCvHJHEjV7A52sa5mmzSJh70UahnKFtrjw89zFlNIzvgHRJPB5jL
WaTjNEwJBFd9xq7qfVh7D0OZmpM8TFt5L+Np9XT9qHhsMTHOEAtaUE4gaEf3H9lht+WxxLk2FmML
Cj8VfUUEgWeVSlv1N/YteddZ4FFgzMBQVkI3i7iY5nE/uyPBY5t39zl+hnVmIdZGpomGwx+AzlFt
ameHJzrheMzVGOCPJmOC7rs9m7pUkA3sioImT7Q/VGR6H9zd1qSC935dZBxj8AOwpw6w665WcGns
kMbW3cF5FEUyEPVXE5Kc8qZcOP7z50sBmM+SKCymzbU1E73B5Wtmp7uS8kS4FuBcipAxBlgeL/lB
+WUMNNLbJq3d2da29V7FgC+lKeXIcUkG/HebjSme70cWNKZa1MpyfRLyouxjW7cPj8kN7xJd99kY
6/1OpvWreGgnyA9pQ9VrPJFsOYxct6Iqu8FXHMRRjmroHh6q7YN5G+6pQ03j37zcLs+HsQZ52bSD
APiPs/hJSOPOlIZ4GPCs6HWLAAi77+Lqc0XKJx1h1EBR5jQpOoBvQhpRlfSvOd6nxmd3ALC0w3vQ
rdNduiGRqcIQAGNMkwBwfMhOwHo7tX1sSBYRjrleN0R/KDDyy7D0WxSLND9LD8W9QNudgkJtvLmu
DDw2GPFJlTbUIjAgEFW/IBXvbpXbvyPAhFKiPkbImoBANpOU5MT8HT9ep/BfLM5/BMW2Y1gdxmWm
CSSOg2nrdD45Su7s6PQ/twx/RdN/6CwG4iIG9cMecRXgC5EjEJ8AAHzzmDqcu8k5cxa6ELpmqlUL
rRqoRQRMuI3OrjxyiPyXkO0PI4zljMtem2ojholxzU2G/meBJJvGjk/plnc9l1fZT6P5hxRjNNOh
zpSsxdMwPuw7R8NWNNLTf+ZjTre8rNi64fxDijGcUtX2Q6xFqOrtniOiP3BY+dn1wxw/c+Nzq4mk
usPZSM3OIJJsSxqRTsIJtRsC7EfiADvXvr9PPiJqjERGdMUxCOuKjpWbX5hK6ORlLIKs9VoZdksx
kch09CRibNFsBPQwyvN1iwb8OLYLSoxZwLRnl5YaarLyRxXQGimdkFj2fjyWdMsJttfSp0s59j9c
MRbCyPI0i3pwNWHsJaDD4ZU66Xb3+aQgSpE5ur8owRXGWMgC5MYGpINBLPTCB1q5103RqjX9w4rK
WAizsgofBiI/P73MIbnPfj9c//1V84BU6AK5sCTfmWOp0BUMBAiEv/Zo29l2eowzgsjqOpHlR36I
6IIIcx5lWdWlNCLOMTdwpJtHzHz8HQV26X0tYAQpDBBih88zUaFa7UbccsLD1YP+w4XCHIVSdv8/
6r3f3HE0dvWUL36ayUTJU4Q+zgYCkp+GjbaTibrlnDOPgoIjuvA0ZVtaCYZbYcrQW9c6D/79X7LA
mGUfXW7okQGB9Lang+1wn9DrtupCSIw1BkLaMIUGVBVAO/dvBb0dbPFQUw4fHF1ly12pVQOKSQWV
6e75zXpFhPn+V5eBNbmhJbRSJ4NAeJ63yeZQuPXmOoVVt3UhKOZOT1ObFRpKSOfUCx5FEnHTzYum
X7nPCnOfzQL7utLlnaRunmpb2ZvhYjMim1cU5DDCmlZDHeY4qXAtqlNAknNOeS/zlcNGu5GmKWja
AOIMW2fLKh8PilYpELbgZV7QySV5wNOoteDoG5WFzcu7h5Fyq6xBpXEU900iXuJhEw1eLk/Xz33l
jn+js/z7BR2pqPJRXLjB+99bBDbxdHflQLDADE0u6A/EE4Xtok9UJQ/RYlfgJe7KKdpZR95u359D
rJi5uSTBCGueSqCtCCDhv3TO8HRTus1j6Yi29EST95BwbvuK+/tGjRGZVRbS3JZ6cX72j65YURUI
Gj2in/rj+tHw6DBXspbNoU2bhQ56zEeinKh/4j28eDSYWwkfImh6D8lNVN/4d8g02uidx9rA83Ve
VvzgpczYTHPSGoORLHSAnkyKnptMWLEuWNOGBzAaQ9FOx65lsdpBkoQZsoqeBqchphd5REG8yL/+
a4msb6QYkfnCAPw2GaQ0TMEaeLS4Ic0oNCB0sOLsFy/hs3pCfzj78nAXF7SJsToxXjjD7g1XoD09
Je4nx72sW5sLIkyYIqvB2HUjiCQk9vaTM5+QJ3m8u64DXCpMxDJprWWEIqhUjro5JnuA4j9Kn4/T
Lw4hnsiYuGUs5wRtEl8i616lrf7g5C+f13n52W217PjQ/9+KTuAbsqXgYpCGejDU5YnsH5NT6U27
7ORvzr4dHaMjWiEO/4xP06Gw0QfhXKf99duMK/1GmwlqsPnFxGZ60M5Cmr7XdmQ3pdPbdbjJnEDd
dvW+qDDJX2PFu41W8Ga0e4WKzkSBGTL+U2QLVki0x5iG+pntDKfaKW5aELMm2dE8yrtEJcFHlZA6
JtlbrRB1IvHzcMgDO/C3XZBR5ZhmFpG24qtvbgRsavtlJjQcX9F1GNXndt70uROnHjYL9rxtMSvO
F6gWGmYrMbaAnh8mYd3nOQDAawmvX8ku91hQ9BjZ9nXx8kgwd6E38LRVrGHJicvU1Q+vD7zBi7Wo
9BsXzEVQBFmf5FbMz0VNnitHpkqA7ZKQ4x1vtnfNWn0jxdyFrlULbGUHN40Te2VKn4GGWNMqpUvd
xfAyjm9csfPfyKnfwwkrlIGZn4HcXvxAK5T0z/WzWTMh336fUX1srUrbGR2j5/kGVX4DHV0hzcn2
qdjK99dJrQRG3ygxMUWFzgUlkEBp2sj02GzM39u/I8CEEWqi1bGiz0sRSaRv+m3NYWDFCn5jgAkf
Rqkp8jzGVUFq2FOdOiWv20/OcfPuyvINF86pGiJ56BIocoSZO3fqnEnZ8vJN1w8CXYPfadSJX+uF
ARrd57HYqHb55HM68a9LCuDc3ykkytyavoiT8B8L0p8Hi9DCphwfy2ODufN+pfeSWYGNfY9E/ePw
v2KSLagZ/zGMPyZwUqkZlUpENaUgx4jE9r3lJLxJDB4LzOUGin4ejM2EvI+IomRqV3bP6YRdeSt8
44K53r6Q69gCtJiPaIc+YVfmtZ1zDIjOVp3GJGpk3wcFYS/ujkvVBFBao/sY2LzZ1+t3QxeZ+y0i
Rz9jtSfuX0VMQgN0IlRbrn1fqaJ9kxhzy8sCMNBJizN5xttKhpc3aHUwnnackOq6XddZoBmMoBVK
roKZs4d94pvrlpAjKTbEhVarVpzix8XedmeSfUTHtuImkzmS+tKMC1tVZJnaDCHs4UAV92WZq9QJ
lsfznrscY/JVcr8g46tGqPkFFEwjris+0PfC4RjdVQoywLWxzAArGn68dXQT+Ai9gktioJuqmIl2
R4Z3ThS01luNuYw/VBjT3uTKHAWWjIuyNYjdpNsK2Qe3BbouALML4qO43W9ENBUXCCySk77ZthjF
7359Oq/izY6XR101PX++hlURxOKRIojgOSHFS2X/g/5qjlRXlfCCAuMECrkogsoHhbYlFta57wdc
1+t6vmrdLkgwLgDDkGUu5yDxhGPTQaXg7YXkMcFEezGKQ4LaQsfT2nYjYh5CLDmkHNXg6N9XJeVC
w9MurORhABGNhD1p8PKwblyMxRTn6+Li0WGcgdqZTVS1ENdEX+rZtTAUQR3t8ToRnsSYMK8ezajR
cSrnfX1w0Zto10+8zcs83WUcQdQPY1IMIGHcuP0+3vIsG0+tFhYvzqPRjcKqGpwHBo1HuwW48MN1
GfEIMKbAymfUtWH/z/PDs3bfudy+6lXT/OdifD22LzhQ4zFMsgWiHtj7nkWek9NIUNZMd4F7nRPO
UXwNCl4Q6kYFA70CCOW/C3KDmx69c+64xNFambnkjdB1eifhtCuntSVXpBrqSjkVUGiOMFPa19S4
c2ry8M5rhudoMrs9XVPDbpmBXIQo2U1Mfu0Gor1flx+POfW7qmGHUjmVFWjE3uCYT7+ljbGZP/7O
vnxVwC8OaTQ7q8wNEBmoVgB2y5boP/XpL4kw917xqykF7AruffUEA3bKPAxdUV57zlpV+dKLstOG
cLDt1C8KZ4/WBuOwPfXac/WcuOrbXt3yyP1EW1heARcXiTEFceP3Q99A+Z77g6Q70eF4xhTibTJi
unjcKU+UjqMNPqXE+cT06L/MbFx8AGMq4i5INQABLEp4DLbBTn0wyYNhm//mxfaHDFu6VftxyMPF
WT+Lm/301aSCScLi7bq2r+dpLsgwMcEcGnlZ+Ti9Ea4BfXDvrz7NN5w7tVa9uDy0r0jsQt9FGIvJ
CCEz9JIODtYXYasv0ogoLIXyMSYlrAcPO4bLGRMoRH5kYDgOArTbnBQxeUUeLXK3WH7ylyJkLEY4
xNWkRhAhXqXZY7T59ZpT45aXUePYPrYml4qCb2SS9tXyO5LA6x3x/i8ZYQyGgQ18mTaCxDHbum78
njcuTZ+vE1llA4OMS2eNiYXYzPU1I6sa68JEpABQ538KgMfp2+jfGL4LGswNLZNIFyQs9T5j81EC
tFxppz5Pe14SddVR/KHyw6NXmoaCtb7EbvE/yh368JdmX4PDy/pr/oIMc0F17EydDcRvZ3ui4a1F
VNoSadeettfP5aujhcm4Y2j8PwfDOnVsbjCDtgCdpNwYjvHikwV1jFAHGJre7tSc97EnuOauIQZe
RCWAejFRzXmCr6dyLz6CubPLzne9jBZm5WIf3GGBkP4AH/IrJMIms3m+ZN1EXJBjbu6MZeyjMEFR
9kcZ07K21C9NMvKGx9Zq8HdBhwnzo6wYsqIxlqcdKhPkubeD3fz5ef0EOTeLXeVaZ30aYb04GigK
Uj3t5YHgZYRhlOtUFhtwTU3YSH+0Qh/gzWjJAdAQGbCK5l/F+hfCYizElGfhVPWLIupEtTHc/P53
HDDWIZJbjDcN+P0RsyCnnNvWsES/VyTEOm4MgU9TokFCX2Va9y1wIo++xg4PDWFtsuHyxrKNV+Eg
IysmgJGlr0GmNzNB1y/WvXH7/zmaxXrvftT9wg/AUUYA/Ew7Et49dRgSFm7C29KrxU2PqjDGdozz
9ZPiWFh29l0wh3wpQy+vcOtBuOnPwAtw9dDmqPQqewDpWHr90GTOyhHzZzXsqwWj0z21+8R7TGyu
FV+1ABc0FqW5CICmIUqEYQCNvb7JD+JOskcyKfT1370zTczvAq8S0FEs+gFgs5IoiKICZ/WUngG4
/BSQCJgpcE3XD2f1nXlBiLFpep91TSXGCyED+1wwHchrM15X8AsSTDyCTc6zlM7J0oYkITqdnIZ+
jBS+3A4JL8u8qmsXtBi7NrbjhB1bkFuf0BNQ/fCCiGyLFzOse5wLMoxxs2ZzLo0YZJ5nez7c6jfd
4a7gpPnW5YatnZjihzZjXcF3ZWv6ecIiiHxpdejd4nV4RVxKG3sqiOrKNlfllgjkh8H7Q85YdP9C
t5sY68IEsSzwmJ3d6QkoheR2pv6z5HA83Lr0LigxsVBl5VYfa6AkYiP2TWir2MuUgSGeMqzq9gUd
5rZi5WonKFgdebaxekGAnxP+xeyzZaBDAwtBlhF1tsjfDWqfDFkNdQOapE6XuGNJN/M72df89SUh
RmS574965rfLNU1OETZm9bXdHt5GUtnyb2hEc6jOLf03B3VJlRGgKLS+Ok8QoELm5wzvyhYg8z1y
QjxCyw+xundJiAkYR6kXxinrirOBvGD6j0obcp+T2alP5Y6TIly9Vpe0mGgxjcUgbyucWesigpsc
ablVbmOXsBa8pRVr5uiSFmNdtamDEuo4tn5By91ikqOwAddvX7fhEk87ln+/uLpGo1hY7A0yJeqd
C+owcE1vsKkCKt/T1sEWsgBmkAsLxyPLGFv0yEpGazWLgZrd2gPIoa2+qg56l1snPY0v0pPO32+/
dqkvRcqY3iRF+3ICPEPchLkg3dPkGK7hWs/Da0gDFMoMk4qak91yR424isPY46hXRlOrwW4NKWOA
jZZ7QMgAO7bccMEoFiX87xfix2YVJUt1OVUXxXHlBTn94EoHnWaaQ6YHnvasBTV/JAqU7O/ag2d2
LLQYk4GSpu+yE5Dfg915/v6Oo6XL71zjibEmw1AOrZ6CDlCI3jIndD9aJz/JWCLBjal5LDH2xJqT
MhgKkJpdFeV/LBhCYTtH1yM3uFl+6RpTjDXRBFUWwwoHZZgx0YbeVZSPSb2zUHzMRbtGXF3ber8d
2o3VvVZl/z/DViOPioWp6heOGsCNGaVMjSiqw2Zami4N1IQUOFOnxIs/p9dPb/3a/YfOl0+/MDGI
uDUh6L7oNC+DKzn55l/0jwI2EwhZAFA3MeDEsCKYqtCmxrjoIWYflzMTjtorf4vhmh5i56uBWr0o
WzJblQ4GS2gCYN0CrUCkbg7tuNU2j4n7fl1iq/bikg7DjyY1U9gboAMc/d9YtUsib3KtjYTic2Dz
ev2/DoBVxAtq7AGNkapmvgxqWCpM3sb97/lpx0NLktfM0iURxlTM/lBX4WKWBqyoy4jyG885W58I
sIzsm/vZdvF6vQ08VXXGz3i7szzetpbVMsXlFzBGJI1EOetFfMHc77Ri/7i/C04dEclp8BB2mRyt
X/Nwl9QYO+LPXWIIM6hpQB1AIqN7bl+va8navbqkwNiPUZ1GKCmcSvCK3ro+pIZ3ncDPncuwEJcU
mBjEkCex1RrwUNvyAmoz2zn6wA2ieRl5PgZ3EU3J4N6qgT0+OvbrLqefPCu59jS//AQmPukEw5oD
bQm5gDeQIJErk08etjuPBhOMGFGGXS5LqNU9eaXTOq+BzWNjNa95yQcTe1RN3k6m9qUOBrafntFF
7Ph2j26TR3Fv3V4/OB5DjPkIU1EqssV8KDfuQmakEwof12ksv3HFaLDJ7zYo/GZq4SeRCJJfVZJh
dRt2K9jXqXB0nK1ly9MsR2MEKgPUDuDOc0hPn9dJ8BhhzEKujo0pCBCWHSHYJQmdaYKOKV5f4ao9
AF6kqQO6UNXYJ7kVl1JR9GJxflHc2Utu1e11Nn6utl4u6x8C7CO8FLDMOapm8JGHjqvvdDoCBCIm
ckFqePVTXlPuurRVo35BkzHqsZIGsVHB7wIRnhZEx7D2Et3qdk9Fl1Y3f8sjc1ZyVZR1kkGIiN9V
KmApovyYugnVzz19DR3BE5cB137D0cJ1DwlwfVnGHVYUVtn7oVQAtikh7bDp7fifhoYiKc67eOTW
P9bCT0Db/ocSI1FBhTGaFFDSZGh862rkOBb2vOlk7jgRjxQjzMHQi1EK5cVDubGdHA87QOjzq7DL
z/wwFBccMY4QcL6RmSk4sybZIl2M3c8qUX9LDh1ml6cfPFqMS0RAm5dxCpZmtwfieBwCUk6hzc1d
hBEVXo5otaZ9eVaMe2wGLc+ApIlRHyAwKU52sGokAtrN8ipBy+C+2KJcRsPN9Yu+aq8u5Ml4RKCy
joXYg6pibprmqexuzXajPYrpo9i5mUiuU1utPiJdiX1fwFxGcpwRaVIaoiAmCl4pN56LdrvheBjR
PfZvKraXZBhZYgVeCWhDdXmbW6RTibQvX/Q33j1ebs9PXfzDDCO7pAV0vBSAGfT0VSR8XoZBDz4x
noBueF1u66f0hxITU3RY+Ts3Fh49opM5Hyk5LE9IXozJPZwlELh4WtVW2QXVcjh2ejjmNhD24ekV
h3et1n3XH2YWZi/IhL6hCnoIMvmt7Y525zSPlSc+jK8DiWltd5z09fLVV06JrZ8JKVZOFD5u8fOc
k/JUorsz52JMfdnsH1RU7DAHCOmyZnoxjxdMSQLAR8MKGrdA6Unuc2TTpy6iyVbZhq58Rme+19+n
js9TwlXNuKDLWHi0P6h6mYJujYrGS/V4W93eXde9VfldUGAMe4kuxlhrQGHvHzF8SGHXOSfE44Gx
6ROW3qNcBgrYupJtg9PoAx7uZmi2wfBvpneRIv9zTowB0vI6mCoRtDDAZ0v3Isk3d7xpw8W6fNcF
gHhjvBoA6BrWY7DJeFUN2rSw1O5sezw3u3zetZ/+ftzXD/ZnNPz9M5mD1eZuCoNZ6YCo0rjZcXAp
r+DKEwRzsAMgoIdAhSDe7m95fam832YOUh/bTO8M/HZGuXvCVt5X30XD+o/AEjqAaXdnxb5vbMD1
OIcAzvfh/eHp+hmszAx8p8T4kBKWUOgXESXEA2rxQPYwGA+6TVz6cJ9v9i827ptjOxg9dDgdgV+F
6GvKxHgVHxOVSd1DAY7uy/AYPZpORj8APn20+5v70Ma6d49uoweHdvbD9pTZPg1cy3u/LgHeOTJO
B1tjY7Gv8RHuPXKjHL/509V8ly7jarrenMTJxI+P5IN3y1fSapc//mPKzuw0rQkCrTs/JY5wyjbl
W0qA4R4/2gJvg9r1a8+O2/2NwLHv8runkiV/rjV5Efgt5yh5X8lc90pofD+qoMt//csL5Qvv2s+d
YvmLqQJ2NK+x87oC6ixs4ySIWTRM+GqNEMLJiq/kKb/rCHO98yRrI2vREaDf3zeWIxePd+l96yKl
bB/eDx1wQ6f9QXlqNWocw7dwJPEh5kHxf/Xa/feL/mOubpD8yTCXO4Zl1lQhCbYuuoclr92QfFu5
z48T2Wydz79UB+ZmT4aR94IIwY6Ecn5a4akac7HHEo2fiY7fxqMsqUhyV2x2zs1hIvfUvuvIYftK
3x+6Pd3YC7bbTontihfHcj6ByXNfv5M/1y2Z3/TkKzS/UPAolDDOMYOf/UtHUOGObffoezWRifOB
LQDXqWHP3tUwQv8ybRfkBtmajSGFWlbEsy3ijbbwlpD3BCXTZisQr3YxVpiRoiKqaienIxpkNE9w
vNDdexPS23JAlLcb7fTc5rST9+cRoP7Ylps5R42IAamcoHS287bbPDebG1N0lN/6nYTtbhsVK3w3
1kHBPj0SmiTC8slxVwHZgphH6R6oICQI0Zaael1K2lv9U0IXpQf4BfwHsx3tR2zqxOqvTXr49anE
KNGbp9qWHprcjm97Hys87vND2TrFk+EWtMXnCr/NVy3+6oiIczJsFBe7RRtaHHwkl7KNhH0fx9ti
wUv7OIpe625K98MiGiZcPVTMqLirnOMAolGyHe24Q00bKQ3tTXTm/XhTkf7hxnRCikQ2NpHpNLRL
NzbJs1cRLJiGNyvoeIMeXldoiedqG2iqlVE8RylggxXyethsgQVxb2wixzEcZKSP1l2wL3OUMe7M
XeYA2nNwS5TO0zcNG/RmMtmjRK0PYy97aku0DBXf021oFyPx9Gjpm9L3SNDdtVivOfj2u4bpDJNU
Az28im/ZZver2p8qW3u6kXunJw9Yn5bbGfCeFE+w7/xd+WictZIAcRWQxlga5AgIjTcAHJZQ19BP
/WBPW9Hxut1j8ZY1VNuENjU74MZErnGC73NaapRA8sJcG1o0oCNYJpDMyN75nlNuHwaiABM3/3wf
bPlm+/44/NIUQsKdre8mz7zHwMUO3bJbUn/oA9nsdCj/LJD2SEmOyIOqMF2/saLpbCjErbG6Iv4w
qOXFJ7S63BDnoSapU9mJDaSvHjuOf/W0xx6nXWJ/dhJgoLY18XbKkc53p8gViXRfP4awgGcEvjiP
/nTy8D+7AylHCA2Zqx7fYgcU0t/q7ycNnUHUxI9CEgJ9Du38bd64QGfP8VfJ2WfExa6lXwKK/e++
U7wNgLhO0ZyrksGOSsdKndP2F00/1M1NsT91FJwCUMJASXgTYT/KudxYt5K0T0lnJ48f8HITNP/g
HwAeWx7fMShK1JK8i1uZNNvZcHebdFeQe+s9yEn4GdnTs+8+GrdYWV0+dqi57gqMHNu4aCIZHeTr
t0TZ7Dwht/0AWhk6Hc2PKHhvqPb+mlCgxyr3C+zPrrObhpJtSiDa38iECt4pbcl00+xTp04I2XpO
BZB4y8bMdODItwLineSmJNuJ+pDNJ2wV8EhJu398f85unjJ3vAuP8audj+68FXEZuvS408H/dYO2
5mY1ABmphqqoGPJlzacexoYgRH6PHlzFxdUfyUt0WhoyUrvNiHmjuwsMvOXhqHYR+r457ohLn4mp
pLlR6lS1esBHShmV9tH57EbA0+9c9A7dFl6JyFm5tWBG8yPnBfHFG+Pcv/HORF16FsZiboJ2NZGX
swUUg4j6BFnK7XUhrzT3YALhQsiLQ7xwGqIYGBgHF/rzsx05R6DeKKfqGZdFwzpfg1/j+pld+06O
eYMFZpvOeo0zLUvy6x/pKSZ7ycUF4LG1Ev+BLQUrVRRZ0QFR950tuexDufeD4WwRVPtz0YWFxCh9
cYte9xh4WNUtF0FupQKw8PaHJiPKpIq7LDBBE8jueQg3iN0ukfs5cHjjhSjfWbt+/LzfYj55VAo5
7ktEKPY95yt/pn++xz7MQYdBI9VY57YE4BZJHO2kAbh/IAWHjMyjw8TigCArhCYFnWcXgGqEHG8E
+nI8Bw5cHdli2dLT3hHJw9OWh6+4omEX+SD9q9Z2cXGCpKmkbHm9oJjFe73wImF2AMowx3IQlufL
07533dA+x+gjycmvMwIQ955sHU/b7J5CQgEV/z7RXWDz2mW+esAZC/SNPyYY91U5rdoR/D3b9vH+
/eZmW5F/EFq6+4JkDpooXRd6XtB9v/dtrJoC/ltA7BnFUfq5uRup8+Ds1P0DXAO5jez7Tzhrb/ex
/TiJ8FC/FHI8hgjBtqZzXaO/JkmvfDdbhxOsvgFgA6Jgyb3x7aN3tAd86ourbRs8GzCslrkKOWCD
YXHDq+BzbtPXe+BCJeJZwjLqJe2TUYenburPUty3C8WOXulDmI/V8piwzwE5eoukN9R5O6MlJiQI
03K7s+33CG/BCTmdJVrTbIrQSid4OnFyu18w/teE/N0G/R+l1FMhkfEx2Ltge8/3v4I71XveHG2v
ouZtS5zthpIH/InJGbQV6I6DD6Sb7QOWbAImY8vTVs5lZCtQQmiYer8cOhAVea544YXl1UL6X8Gy
VIxM/HAl4RRkbYaluXiw1BLCoOHZ3GJMVLCbPe+U16zZJS3GHmsh+soAadfDakZOv/3tk4flLK9f
kbXgAquq/3DE2ObJj7Jk1DUgPNFjcv+W0fQV0wxcBPgVCAB4wws6jG22UrMpLA10DDz4BudFeaux
EgRotzmAywW05GPLKXEeP2v3OoM8KTIp0K6JUeFNv6QoOsGLAd/zYAyE1xTHI2N+jzHC2JrmqAR7
duoTJSP+7wxKkeIGXmdnNdODQR3sEJWtr+WL3wlpoZEU/mgiRjtKGN6CP6i3Al6cIZqDarwiMjtw
h63hpR8LwkLFuexrFYVL6sxdl0qlnKJqod7d3zde7rz/X9K+rDduHFj3D10BlERR0quW3qy24y2x
/SLYiaN93/XrzyfnnnE3rdPEZDDIvBjoUhWLxVq/uszeasr1lACn9FPa1HKjgoCcbbLJKXRX8e3n
YE8a1/w++Q6OTrS46P+gCXxIXdFl7Drnzo7MfiJNJi710QQ8ETvESIy37uza+eNfcfdJiXtHJWxr
7dQY3Dn+93h2GgfBa+J0O4IDkwSZydUU0DKd+//Z4h8/QIjndR+BrdLRrAE7J2XL3xNMKgHCXwcq
kSVgbu1ROqV3Xrn6fwkd5yCTwVz6PO+0662toBAbHoL7y3TWQjFYkk+++FDMDxufRgiHkEgpdtRR
+43klldopVCuMizoSo8+/ArE9YcYNXR2XemWyKisufdn38DdgxDbX5pwOcgJCaPEbXeGJ7v31dt/
Fip3H/xYkjCdjkOcsEMH8yNYpbN5NK7/YpJ/Mc+fQuWegVhRKrOfPhhaUOwyAC0MG2zX2go5Wm7T
1yf0kxL3EETMoFM6gqNlX6gJ6Kwe4+mYnrtepud8+Eox8hQRBiqFlEUKyj0FOZFq05SXe74BdOU3
5kjbABTlb5cVdP0p+GSQMycxDXMpDBD6ZZgZSbYpMJdfI2E3kbKo2CU5crakUw0TK5dwYvR2QEYV
O39tAAijwFjCsTVtfxMBanTbw3oe0qO0D26anaifT3CUfONFKjWZ4lO8rZPdPHYdMGNYUDosdHv/
97+WKfBtGVUUOF4AueWOLhumsi4kMNtvnhqAhNWYPLgXva3r+Y8TKtzJsc6c5wDbwB++m1ZoJ6M1
ArE1sBpHQZNM6kab4H56E1JdOcgz3riDpFmq0oxCLfvNh0+JWFV2kYvcHISbN1YO7ITUl1mfxlei
oFruXmYRzMZqruLci1pwVRER7h2QGauCACCPGK4wr/LnHHmydkfd6ta8m29TYxlhRr+bXcJRKXa/
61tl58F659bhETlSx8EIqgP0GofsTGGT/ZoXeiYA/u0osinPlxOGrIlhV7aJXp433/v2Xl79KNEB
aLHdZEn7yUcV7bIKr70ZmoxmUJNieAbr3znauUaCJI5hFyYbs4C+572WQvfwY8KdswpnRLiHKRvi
Af2gIFK52bV5TW+6x+DA9tVWc6PbBDO9y5t4nbu7qxGp8N8dGrJ+57cSUujWhEELUfJiLbw4+x7u
/TITbawaHd9Tb46KS6i1Hd3+ukWDlmi8XChf7gnLJL3sWANSjr/UYRJgID/em8+iiGnFvJ9xxL1f
BP22qRaCzPEtOHwzoDKDxdzLurJ6hU5UhTN3SleRik6gUX7zvdqlm1vE8AJXXsQHZ+wSJscBaZF9
PcbfIventK0Rgv3Nm3smLc64YYxHiWsCTiq3cQu3c9GEjec9Ey9UXnPjT0nxDe1pII8aHt7hATPK
ln6lXgUouV0Xm/axPIr4Wkt6nBHjjJw5oxeaSpCefCM/ERiS415H9VN2Nhg2fKGH6RgcUofBnjjP
3d7OX7VdYUu256rUgmnzLbvaH8KjijoUimCuv7k+7Prny1q0lv46+0je4oS9UqaLRIwRwwo/IhXF
L8w668Om6Hch23aqVahOVG+BGR/LN9FkzZodznZN7DRz/RjFIzTOT6Ubh048H+rytqm2pLwXfOby
GRdsls7ZrBiSZG2LsgOx/YP2I7gaPyqfW5dcASB4F1s2BPT2qwIgSrT5LiC+ftWYrmLIgmJ7DXeQ
I2OTVoQ4yMkeXp9QqxysFgXz3IkOwzE1UN+b7XK23OiB3uDl6vDXxBquTKd0BF+yUPoiBuyAZXBz
DOXLukyiSGogYbMkHOO4R6JcRhkc1dv3av9t3EUYZXpG7e0+tugVpuAc0VDTuqX+LP4QzlLnau2b
YY+wSu3s5B2LR7M9Lum9gMtVq3NChTPSQVIyOQ8gbmLXvyQ7eUZWXoSLu/4SnBDhTHQKSCjFiEEE
nsR3hiGdCNHg8ECs28tHtpINOa2X8WjWHalITUvQAebwnXKvIgLcXaawbtROWOGs9FxnRtYu6olH
rb95f053hSPwrYXi4my0qmG0t85BY8LmDHlXXvWH5pcdb0V7EFav2icvH99xkhIPwh41sw8Ng3aP
e+mObXrkqC5LbN3oabpKGRJkFDlaXLMTKhElUd6VyYC0KbBF/O9mYqtX6BWBW21s0p39vMRjCrqz
KLIE2vd6+0ug4utO5skXcDpOwzRoZzUcHp7G3AKUYHDor0x0LixjdbFFrvKjcQ0cSmxezrfCaGLV
mJ4Q53R/MlUqjQmIjx2GtPe55Xuu1buuwGivtbWi/1lnGsXiU9OkHJNRHHZqqNUD7hhFp0If4UwB
pmGPOXaxHaMdPVSWNjvtjy62mgdsEbwqK5gtEgMskv1I7vH/XSnqGlu1LicfxTGPUo8+s7SH34Sd
TWli04dHAP43Py6r2PqFMWQVAy4yVeWPXTQnKoZdM3mUYoHIw3SYUUl6th+FhYZFfF8eAwPPACEM
0wb8qnMfSxHG0B8XTvIn9nJFb9Mbth/vxszKsav35VbUSLuWT9AwEq/iOJEHojp3oAXm1zXJT4eH
6Hfyfdk7u2SWI9vb/Ph5jSpOYOlH+XZG3819uC1jSyDS5Y3n+QWoKOoQhsI0VeU83qkgxRiTbIAp
nTBfUT8kLjArPYLlreP2XjSpLC9G4BI5zqxGhVxGRlINgJvBbojqejMCwt9H95UtbTURHNpHre8L
NQV7FTRdx3XhxwWCvB6q3IC+1M64iR/azA50m4FaunNt7/l5hjNYPBNMRP8SiHVNjZQTypx30/qz
X0R9M/yBxUdHlbdkNrAC95eyUawKGT7Bk7h2A08Jci5nMKl+IXVgNfSto+qllpZaZNOKjPyalYOq
mqquL1rDOHXpk3lOawCIo5vNsFSsA6xyu6G3WYkdxuR1NDZMMm2M2tkmsJ6Kaz99zqTdpL/GoWL1
5aGQ0d6Y973Fip0cYpifCD5wZdZPQ4v15wdyCtYoRaSWy23CVdI3ySGwguO7D8iM58Amu7QSw36u
OSOnFLlXnMV5rxoBJK8C+a46pA2scqMuXYiS/8TY/no+migIhXYPHx94FEJU2zX/VYFNJCZjpsZ0
7gPCSFL1KcYHaMCr9O5MDBWM9rUkzOOuW6pPQsaS5z0xv8ZQT3O76Nh3ILtjKOopsahrbvJ7Gdjl
BwpNcK5flavS7nIrPpjf2qMox7VWhcPx/sMrHzWovdInpMInXC145v1+eK+O5Y/8at5m+1dMkWK9
/c6N3V289a9FiaQ1N0qhjGG6UtaVL4C4c+oraVpOCKmrJWuGXj9hP8vKcDjU94QGd5bUSNGDV4DG
sf2WJ/aSSznAcdk+Ii9poYVGckQpj/Ub80mSL1f5clUO0zAPKERrVxmisKVZ1v0GwPbwKDnyvnoT
Fv5WH50Tkpx19P2knPwYj6yzrDVrbrGxG5hjGDWG1ojBYFapaSqWpGqMmtTgZErmtMeWEoonfb+J
iJ07gD9iN4PXvsSHSZDcWY3mkCv/X2L8k+N3GfBTGhD7riPXgtqwjPVNCoCJUpEnuJo1PyXFSZFF
aQKsWmV48LftLwBIhdeKvm+KDf6r3BDluPFR285IOw6doNKyVuLEet5PLrnXxuzSiQ0ZSLcb3bqJ
FbdtLfRJpLctejLQFS5yklY9v1OCyxmfmJ4sr7IE+0qWHFMsI8UIAweYNUtC6+LfvNwaWxb6qYau
MM6VTRCTTZmpLQ4goEzQTrXEEKP9U3F2oSvuK1gNNOEoUAUxGP5pnHaqCZMkINDAqowqGoGNTupn
i9TJfMMy7EC2+q4wW6fMdICQ9n4VVVab1nKNRYhGx1y/U9rfqqTLPy+L4WMD8hfXCSO3xrKG2VQ+
Wv5OBE7mRCrkIRkfUoRs1Ja7p0k5pKo1doNlhsXGAKZM+kIAwCpjssa4i+efXWJV6m2KElH6pL2a
KXrateotlW+V3FKmH0jduU19LNTfmVLZKdoylbektBKCxnAryW1Wb6dmD6gGnQkq8quGGwA58LKB
CWXyvBRaTPRBjccHrByM2Xt/nxeAJX1N7tXHy1JbP8xPSnxhrtLloFYUUIr3JuC/MYkRvE3jIcEu
LJzeSxRuY2S1hr2A7EqBVUN17n8Z/BhHPDmsxVsLAE42YtRRRo8d6nSqfWiFmf41T2dZm4xWDRP7
WXXOt4pHdSYSasgPERaZztfNN1Eu7CPa4LXulAJ3GQxVKhKMz4wPeoF+Vcm32ORObp1jHCQ6zN5o
Wv0+vymprT0p4T4Nt36JuRYsZ4msbtwBnq2xFdUhKlaLDkeCfFoMbZ3tqdwbwVY6YAlkz65Tw+nK
nSkMpdZ8Y9hElahURkeVxhtFdSBJVuIhrZ3s97GXbLYvsW/Ftcv3/ih2+9a0+pQcZxLnnA61RIfF
Bi+R2/EhBySY7v5Y6iKG+/seSVNhkmNNA05pcjmeydfGBp3qA/amI494AzSwAvtd2D4DeIeXOIUD
32+niSB5Vh3PU7JciJyXXRbNM8gWwLIGHsQNIBRgiiw6wLunzuIZkd2AhsbqqriqnfhYuKhyCtJL
i+7xurkkXdADxnSsD+d0s9A6PzMasrQXvKWO7s72a7oVzVus5rBOqPC5ujxGEBdU6oCrXFlvN5KF
EoqNVX2t1d4nXnylV6IRi1UH8JQk50cUrZICIgqMTS59nx+czYvTe9QJvvVbukt+hq7AWq35Y6f0
uHsySjlBJyfoHUvsV4pK+32+TrDoGwWZJT77JUp/rsXiGpCcZBkXk2Ax97nv0EpJmU09XDLa+6kT
6ohQx6hNbWkGfONl3tZ15JMUFx4Pk08UuTOQ8t6qT41mVbqjY0hLApivspmpgNrqc6MB4pDqAI82
0EJzzlnQssgPKThz4No2d8XBd/C83LGrWNgfuC7ET1Kc7e/6SZKHGG7RhG2b436qLN9BdwFKaLnr
NPfSHk0DIkVZC2xP2eNuHKnmMUKD8xLYEru7DtyfnTOjdSIXlu/pogNfL/c/7PFBUF0NjSqpIJVm
0IvWlmnopMyW0Yc1H5LOKfPUTX+N2bEoIrvrnNYd5qfYmK0BGGT5QaVHc3AGHxnCQ9TstSCAKtt1
t/E723zpzIe0uPKZ26c/2/CpKY9m+GsGgEm+m5JNCIyxwC0QedW+5g30hjTX8bjzU8E609XYEp2W
uqybGlWBEnSuLUgcG0YKFOaHp6sXwuwCHZ2ufWs6v0uMzznCJqUPr4OX6Sk97vh8ohZNr/ojsLkn
dEGawB75jtKes7/b3+n2N/fHsz5Ztmanu0O7BT4JVicHN5hF+HX5Tn44XV++A70faLNTVE2n3HcU
Cdbd5sYwPTw9IWcxA0AVuH7zDq0KI8ZGLM9yX2N0E/Tb+9Iut7+xWRy1yKvby1/BWQYgvGNrwZKu
JxSuvqlxws/8dCRxEKYeLa6V2TYzS3qNJRy7PT1Q3bpMjLusX4hxHE+knktDDlKvjMmdWpmW0VZH
ZWgE9kfAE+PyQVltFAYtwJMP0MnZmok1DZaf2gF6XQt7CP4bV4x7p6pe8jOMyqUewwhz2hxL+Zbp
AmXh7MCH5ADqZhgM6+ko4V3cjulkCOcs9UiMjfLNi9kFVjG9Xz4eERHueNoGmPIp8J+9TEUmdLiT
MyDj0cSeROmytQNimFYw8T7oGi79+Y2vwE7Zp0XqDRmw65P9aFha/z7I2kGXtE2ZoeM0ywRKscYc
IgSNLHk6/G/5+0ksItdMH+e+TD09Jlbq70sj2ER97DRMYM/WlPyUEPf4qWxQBiVrUs9oUjshhyL6
RZgq4GaVCIO1RHc6vD6D81VMbQYM0UJECUMI671VtmYgWDGwQkNGX5qiLd1pKtE4vUbXfReThmSe
TuNNXh0mE8uH0Bnyr5VOVmSKRjiylLb48mw9ROmkmTTz8kG6ZcAqNBrD1rXneNxeJkTPn9LlCoGQ
rrGlD5ZSk1M6vze6HGiwmdd248JOpZcCCsvJnhj0PxQUmcCgUkMx+Rqd4bd1PJRy5snNbTKUNrLv
dhodKzPYNNrLZW7WDgdx9R9ai+jO1XmcWNLHBIeTp6Y7xG5LsfR9+PeqvKQmKF0yLXBTl484uTNB
Gsq9X6qZ1zC99XK1SDdS3ROPNv2/BHf6Izu8QqgTMKyy5svHcU5ySenT3IvItm0zpzP3UV0LdG1N
aIiDleWlU4HSxQktMjRDbfM494LoFnsYLBnpQV1W7X9/NBoG0yE5BkRxfukQDTIW4mHLPUdqdm9y
sv+Ln0ecgrZRmVDGZ3J7c6i7sihyrw5dWTvq+ZYWf3HzYZb/IcHd/FaP6ZTE4GCYXTo/5enB6H7/
BRcIfRhTNVTO+VaZJJYIKVGl86JytgEQaWWUYXuCQIFXjL6M5Dogj1SAujOD827iXIaD04NKIzNn
iFD6Um417Rn7c/7mzAHojhUGqHaiQn9+U1hal3oTyLk3Fa5Jl0Pp89fLEluzLtonCT4U0Pumommi
5J4Z3Gn0sVGRRI+YRQj6k6XSvUxsTXCL1FDRgpqhR+ScnxTgQbJem7k3Rvk+BhAH7qNc5E4495vL
lNbM8iklzsZ0slTOQcdyT7aeRS3AIi6Wv5/Yr4gBYCcs9dzTIleixyZ0m+w41gJZrRwMeiSgwjpb
Kt0qRyWWgcUQllLqzenLNHZ7Od/NJNpl6dJEKSgDrHB0Rmv5lhOOyMQMKZRAazjQKXJagON4qSzS
5jUqeFs0NPPIqFlrHEe10kiF1OeZR9oc2D5SgPU71c8ZeWxHJ5kIVu1Dc7l3c3nK/iHHMTVPcZgA
TBjkXpqwsZrmrsnqDQ2wz6je0upBG39ptaUiFIs3RuDRLcN47eCZamDDjDhk2kkiCay8FGefxBmO
LCjiLDYhgbC/6nJvHm5CtvvXig8SwC9B6z/ecZNz4dCvoGKZV5l5yoTNSsGdXD9eJrDOwycBzuEp
0l4bwoWArmOQQd3n9bfB3Pw3GpydqPRanRqpzrzOuO+Dx8EADkkmMOJ8c87iG5xJamH0ROnljvYx
YCshKY11tiJH7b3RmIbDtDGwx6Jqb9QyKDboYA/dOU0KS5GIvIlom+zb0UwB46xoqP33yd1l5ldM
19l3cdckAKCHniwCNoz7fPol9W//7fe5exGRdqJ+AOGydHZNrbnqwkRQglrVEXSVYRUJU+H+cOc3
S03COgKPaATs+b0kH27/ggXUZOB1I1YhGnd0/ZjogZTg92UgnivhYWxEN3X1EE4ocIfQq1Gu+1OU
e0VX2xnq6LoocFiVEbx58icM4r1gFc9TwKQ586T4NRoPJH9pcoEtWD7yiwU8IcExMakjy6caJDp0
0mUoVigbcj8ZjcD/XZMVykAqCgWEmehXPL9IlDR9XHUIUKLulbQvjToKCKyJ6oTAB07FyU2d/G6Q
SYRgzqTlVhq6Y8bIMQ6S35e1SkSG808blgTxwECG9sC4Rx9iKAmBEASyosq5rKaBqtI4K2Al6CzZ
eFCMX5eZWDtzVVYZRZSAZZu8B5z3nUb6RVb5oOywh/GdSdelHsxWO4tGCVZ5URDBIy/BcNO5uEfO
qR6G2F7jNeX3sWdWoYngDpb3kFdgrDX4hwJ3IlKpmaMeghl/rn7neoKRiGFfVM2DTp/G5DjroYii
iCfufLCseO50ZeEpTSyA16ed6NlZvvkrT6qJTgNsxjBM7lJ2WSyj4KVnXh+kvVPL4bup1M6coIlO
ZXaCNDUxMAajPRVk2hPf2FzWjzW3UlV01UCrg4o954sATu5SPpXzNFIjg1tZIn0Zhoeqpwc9/z4P
dFuTUdQovy7QT3qcqQ7mEvETwyvba48xSsO94ClY1fcTfjhxNko3F0zC72+U3/TpWfDrqyYBAke2
AnARaFc+l5bWtVRFxirzRmmjGZE1kau0EOnc6pEs2QmU0gmS5ZzOqQECrkIPci+b4rcqRWo5GF3W
7FKFOqKM7wfKxBf1wwJegHqA4pdOFznpgqGNkBEZ0h4NBRj/s/opmHezMfW2jNZsmyQauzda9DUB
Wz/exE11W8bxc29IrV2XM7X7IAgc2YzNXeK3mLStSqyoMbtRFMOtCh+NF8h6scWR54SfsbLuqjZB
nNVrVvMekw6S+fdpD4C1obuRoliCp5LzyMe0oHqd5fAkAt+WZ9MuQGuMv1++dKtKekKFeyHNtlMz
hYJKGTjtsI3o9Vw/Gj8vE1kX1x9WACLNp6FiNDBPKaJpT28PrbmJhvs2FpC4xMdCgrPHhMVDEizS
SnJ3LA85PZalLUxJiBjh7wPyoFIQgkrVvU3lY19fd/X2v8mKC2K0GE3Ew7AwotyilmPKh3l2/4IE
Fv+pQIJWdCA+nJsOmhdFbIR17vkGmnMnDbCqEvYAIf/lXCa0eigmgj0DJ0Lhc58TCny1wt4DhJMD
rTfyGFl5KFuMAT10FLj1i5rytmMJ3TG5wZD24n0LErcKkVvYDh1wvRKA7AfH8H9J08/BiHdh9jrp
voC3tdfjlCJ3PVMDrbplk+WeQSQrMb/7VWFdlp6IJ+5qGn051JkECtIw7ur+W1USq2WHygBCau3R
1k3i58sU18z9h7XRdOx1QWb6/Lywm4rkiYl7OhLEL9ZU2GjRyl+o/3CZzppeIMmODDvAKOUvCqgO
xayXFRRwNnZlfJNedfMmSQRE1g4IWWnFJNjzhdkdTnxTlsVZN1NYNv1djdG/Gf/FNUICDDNKeOQZ
9mieS6vpZBbrJR7HMcyzZz2tapvpWejFPWCMLwuMb7v9yAgwjajLNBQFTg3HjK62PvbjwCposxla
xW0DEM8gjlyieCXBVBIgbGvtPUMz6GXCawZvQWpgJnLvGPRa/n7ik1VxoZdNOOBeVZNbxqFtRu8Y
hP7XRFQU5FF5Uwicdd5b18N4GJVwTDxdS9l9XQaAuB3V8VC2vS/ycVf8dji4aPNd8tYUJZ5zhsqo
7obAmBKviPxNFUY3ajhueqV15mo76ge/GOFqEDTfq4/KCHBls79lfQdMW8NEw28io0/ejFCKxvaW
y0JYuRNnH7ao84mk2dC3JDH7xMOK+ufQxAZTjAuyKN7FusBW8k3jizKdkeIOtZ1yPdS6LvGSbtrk
xKrCQzQ/doZpqeqNrO780mMjZvcjd0xiPD+R8zesoqeZYVJGwe05Z7XQepL6yJTgrW6sKfitoPW4
0PZK+nSZzorygs9POtwFRb1wMhumJR7Qc/ybdsiyvRZND02ft4L7uUoJ47ayQnBDdX7NraHNkjaU
c+KpQe5o2ksYYoPgyDaX+eEHDf4c3AkZzgr0FfPTUlESj2EMUTcjG9kGa879zSz3b0lPYQMqN2nr
Yx9gtrcYNrrZbqkyllZGZtcIOpsMoknCVdZxdWHGzaX0xH1Tzdhc6QMuVAQYK2WPkRIrFpR+V54l
mDzG0JOPyUj4Lef6MqdSMaHSjTtLjGhX57WTauMjq6vbjHTfR2MUdQ+uEsSiOjhHS6XO5O7i6A9V
iMgt8QLpR1hoDpmt4rlLBicZf18+0lVzdEKJu4qqBt+YVaA0TQ+K/CDFaBzHLAUzkOyfNhhGuExu
LbOsIrGHf0iK6LC656KMEzMOq1hKvCEms02qLHa1ckCLnUoCux0B3ThWCSa6MHlrJV2KJu8+qHa0
zGVsEk3e/LIdnbDGyOHl71pVIky+ojSqUg3bq84/yxiUsdcIPqvJD6gzW9VcW0p3/9+I8LKeui6U
AXXoARwFg4jeIAseyxUTTuHo6iiMwSfQNM7dzdHUV8ayju7gqTYdOt12SyYtKG+Blje5l5lZJMI5
vKBFYcnR4AEHm7OhuQ/yYwnbpuXqS123u7Brvl0mwfcpLuYGNHQ4g/Ci8GhycUJc9D3Rcwisnat9
bgDTs0fQzSyzwTicgl6f6nuBSemssCqWPitDbAfj6OgoQAwYPM0nlK1a0TetaMrZNynnmlIpGgp1
hpF4ZqI+zdG8S9E0QbPIRh/6MN5nWLucy73Tt9d13UCZyWusFC8UtjKhkcCZWDETZ9/C2aXWj7Hv
OUAfHNoJ6Z71qW6RZCoPeldiBGuWsBsgm4ft5VNZPXhMzyAbA4P7Ba4lj8JyaAccSqXFjV2GDaIP
mcz7y1RWxXxChRMzCbB+pgtMuGTh1oxvGJBO/e+XSaz5tBStKf9wwolviBpg4pYQX4bNXPCpFPhe
pP5tBL99IJPVE5bG6upOqkSQXKvXVDGW0RCA3gBg4FyFkk6p8w5dWB4lW5Ydwv61fSSNwBasWVpw
90mFuzxlEVbzTOfUkyINk1vK2Lppih0rddnKqRP18nylM7P+EQ9xvS+7UbpGdgujNlIV2LIE6CEj
brATNfZ9gfu3rkCfH8YdbdoUYT4Uceo1bv9NErxn63rz+ePcmbKumXwYQbRtktxqtMqZxvdIv72s
OaID5F6LgSZqUxtQnC7AwGqgW930uwkBrW+IBl5ElBZ2T5xykrfmgmWJTodxEyjHedfPu1r99+HP
maYsH3FCpG2SoYsD6OPYHaoFPtLfG4DuuCyzVVuFAE7FTj+UJvnZ26SrkOteenbbGNt9ug3MZdy8
mUBgKV4vU1rVr09KfLuWkrUzDh9vuawPh7m7iyP2N8bphAJ3tViAvP2kwDg5ObmW+28Fe7zMwuKz
fnlcTwhwVyTI+jhuYwhLHjRY10NWhVamf4vJw+KYBBgGnUQRxPr5aITpmoKuUD7TzgrZj8MJ/a1z
nzXbufGD2ybztwGa9TMYK3jxXSzgcvWuaoiCUQL5mFk817sCZhAKgWiios+JedWw2NIkUQciPzL2
x4k4ocLJcmbGNGYjw0syhB4d7SJ2BgC4jBTjpgrggWbaWNj8e9/BAR2MGmsxkgZTqIhZeuRxzQzQ
FhrQmzVsR6pHR0VLVqs5eecj19Ld63IuyrqteOQodSzle2xKYRqfHO3HfukGwvdGZWixZnKG8Keq
HlLy1B6ZLgqFV8+ALePGKnIRgGA7P4OojcFKt/jjRn0keJa2bafYFR1MQR+ViNDy9xMj0+sjabMC
fhNaB2xNv9VbRBrBZF2+OKt3/4QdzpRhN7rUpwzsJGSHVvpO4PvwQ/1/lAmHgkDbQOlV4biQGnSe
xTW4qPKDDMQTOd8neWe3GUowD3nEnKB173XhNNk6WyZF2wiaaFFvOxdekWZlA78z8RTllurBUe9N
waO8qnVIsv0vBS5Vker6iFkEvAGdWVijqltKRF6i4EoqK6wMDb2RihzpxUh+sXEnFLm4fcr9qJyW
0ZQ0lHYlCzEZ17t6l8OzB+BvaO7YsI9l4sxh+qOpRBngyxLVvlSEsE+FJDr4rVm+V9psV1SCV3X1
6f6HP40vCNVxA9dvBH/VoFrdHHwzInrTUmbRWDSbIGKGM3Fd2I1msogyQr3mKApbRb/OuVSd1AI4
Y4SoqsO43V2+r+sXCuMUDNs8MFTBS6mPpGKYE3x6UXV2HffbvmBOOM37fJafokIdbBRS72uzuw/r
0As7UVf/KnMmWnMwjmUync9rG4OkS/IyGNNg8YGlYFzlLq/q8e0ym2sNl8hfozsCiHjI0X1M3p5Y
P1MJMzWN89RD5tOeUS0fM9mZNUSNgWIX5RVa6NoJwJIHDB5G7ewmPdn4abhrE6wS1YPNJFf7OpY3
YxV5Q8j+wmM6/TrOapZtnsXRiK8jTWoFjWGVyffLAlhzaBDNE5OasgFHjzNgaqerSVlhFihL90Hd
uHFUbfphwrA2vAPE8/0up7FzmeaaR3NKkzNpCTPyQtIXmQevcU/tIOnsrHzwIc6k+X2Z1qoey8tE
OEFdE88Ed0l6mtaxLsN90tXvGRoIs8rcF8H4nADrac7ZkQLVpg7cMdReogSbAwXk1+X7SX5R8xP9
Moo4zIxgSj3MkQHKI9midI9xtWrbV+TYtneBFDojQ+NufVWhQpQPIXaVIHngdKETdvUGTZwbE77X
7M82zUWLMNbefnkZzDCMpbGUL+LIYTuEmQbhyNOmiK6zh6QReBersbysggi4M9ApwsfUCVPrwkS0
W2DnY+oDY6u5k7XCzgJy1xiyXfu+azQYwO5Fol9Oln/HTilzwYCcAtO9VwiM7zBbUYM1OsN13r6P
5Xs1vqsqIFxydJhVVxLcStmnbiMyLv8H78suIh1zEKh1nx8+UQKj6PUabzcpbb26LQzArEjE7qfZ
nhX0rJvZIWiv6qgXWO/VG4YMEAV4L/rc+Lx4m2lD3wcDhO4rXqZhLqZR7a6oLd1otlUkGmJcVaMT
cpySo4EjraNwhMcQ3CVDtZXCW1M4VyLiifPw5qhmckE7pE3U2qoqEwsBXuXskJnlXk4y9/K9XSWG
GSyMFCLvTBlnNYxiqDAlB91RatOOBrfWsHyDvJRI5M2R4A0S0eKkV/SVkddLPijK3bhBPNe8TZLV
IfphtBItU19zfuQTxjgplsmIN2UhFmbYDaMfDFnZoN3XTnEXLotw3fKekOIeLzXqSUAkBYkF9pbV
xVWiXPma5AZxYU/6G1zXPkavfOWVZS/w8Fb1kRpArUaXp/JlwHWWWM3MHEZXNkK7HX7XUWUPpYDI
qmVHdKagLA2AB74nEjBwhdx2kKQcGlsjODRx5iQ9jLm/afsHpBKtVhZhJ66e3gnNRZVOXhMd3WUs
GUDTrPeZ8pJTTFmr2dbQ9LvLh7dKCKJDT4GOWviHZTshhKE3I+/bCk90Ok7bYgIeZIsuTKchgWm1
XSGIOVYPzEBO9E/52eCuW9gGddUOeIfSILNk5bGPaouJkoMfvtyXBwHNq/BpKXzaL5NpJO6LtoRV
HIB81RpNt/d1lGO1UrazzrAalj7WMSms+WfcpNsS7RS9vAmzZDcDU3wyRKWtVRmbeBoVjH5Dxtxh
1i1Ju86EltbdddVg/apRdBals6vGcAIun+eagBUZ8zVARgQ8FD/yHWh+0fkKhReEjlOQ6vvHXnjj
F0PFy/eUCMcQVUjbRKOG6f+wdOr8kKGn6zIba6bylML/kHZdPW4jy/oXEWAOr90klShNHs/MC2Gv
Pcw589ffj3POXUstQg37YPdhAXtVrO7qyvUV4zkC3mSQ21DHDRYplbufUr/RQ4W0qPPKGP67TWzt
fmTsIwEoBeqOaKW9fGyThUg7gPuG5pOCVnm8L8dp14QnpcNruE1q9XqWpbgLnp2CaOSSVIkWEjgB
ZuolekxrwKc06K7ijQDyiDCPLDPaKQt1HJ5mveR9Q6LISbP0f+SEMWaqLw1GpBjAtej3piBRPT8K
Ne/lrAra2XExN5MnGAYqaxyXOFBzW/HgWhcpupJjNLoDYVCF36YxPMxdHGvWjMnCXq+ekV6l9Zxg
h5O6H2Vx0xTlP0FocY5tVbDRqy1qCLVFdNhdCgAwU4VEQSzqRVHlaTpaa5RdVKJyiE5nJDlvS9vq
8eloHwbMDCadNEYQSkX1q6ZNMJwvtrDFQN7bmLFS0ttUVsVNR6cEhkEx78TKdJ8peSiMGeYGE4Dr
xnKlUlXvJNjjId/cJrX6UnUT8+kwVpjWZjJWoxBbWi1iRNEaVLdUX+swcEdgHRrx6TahdZ7+JcTW
8Vt0rBp+gTG3srNI3Y+ONbwknc65Hw47LNpE1TaImeYq8zTDJ0Nm/qjN+zDF1iI9cG7zsyYJgElD
ix3yi0DUZAKUZCrSRtWDzAMqPzqudLVL/sFkAk/g1qQbC0QABQG8FozGMGTSXlG7Tof1Gab+MAkw
sWVQ/go76VGtURnP/KfbbK0dIDS2Yi2j7ugyZgTcHLIgqERM0VZ1TXPzVywjeyI0bj483Ca0Wss9
p8SoCkB+BvMgNpkXA2iHylOIjmmr0R4a1dTdQDQTWk51u1ODpMcchvWr0/2AdoooAHvH8mKh0mmT
KcFfvIfzr2K0iRDFUT+OeA+l8mqYPyURUJ/7MOMh4a29BlODMwEPG6MZKsO8PORZiOZE6JGkdPR2
v1iToeVhCq1pY0BUoE8XfV5LD/elatRT01RGGQOBctEEAF+1g674MNpq38iCE3fISUcS51msyQ/e
BKYFNBOtUCxYZ60FbY46YoZBylkhYX+PhcfAV01FYKvy1CSPlnzJHhrKWhP7jBcvw3jLI6dLYztA
QsD3Z/u2sK69QqT5MJWPhh0ZCNmXlOA5FcAG1TJPkUcv1iQPGzQdqWk32AHslmnC6YFZi4/QS2ai
dxcbR9AFeElOlWq1zFo0QQOrNyN6p5+a8U3prEOoHRS0AOH/2lujztHQLODeVyEIfWyyjvknA7Aj
zNvHhhF9FEKM2Wohskph++BHzV2OJEFmKhtFQ8Z2zmlWxEexGg767JNoaP5C/VhAdAViMEaALFbd
yVMcTbKBOVxrqvZDZXzLYoWWSb81Kl51aFV6kLlG0zKuFi1fl4cMmUwKScN0Qz5PwF4dTgaaA/tJ
O5pc33uFFKoxwAvCZg8dYT1zn3mb65aFFYGemb+aNTZhdaNd5Qb6BV5uy+kqIUSCcIQA8YUptkue
ZKnU8srADVbSUTO1+zz7zKe9oBt/HnRqIiYNACQiSchzMFZJa8wEaTFMUaiCuAvQ1piJzeZvRqYv
qDCvrlLHsDF7TE6USFvFxkOkBSQu/sJlvaDCaBFlbsMyXKYA+l6469GTqQtPsoDFPkgpt5HtG7w1
E2vvDBQXWB/rywYwtwSQ/UGLymWCx9CxTkdPqZU86NrrpMOil05RF6QIelKJ3wLAzGFAZ3dbSlaM
D9C44bYsKDN474zkF1Yu9EMh4p2rIymzTwQafwP+c0GDCTcbHZURuQONTC0JSuOKqRIt+/4XjKDG
j205BmwO298RpSlqkSXAbGL508iRiqgfYovXbLH2pmQRACYmSuMokTOn1c2V2FdFWnhzpBabbtJL
4mfKr1Ks7oCoVXMszSo14LgC5QAVRJC7fMFdrI6alZiYDQnmXS1jQ05VPWEnkp3nvG2DK0YNq3kW
VYvuGEyIMoIvagBtjNSg8ELrpfbJnO1i/WAMW4WHHb0mbzLsGLI1SCFZ7ChKJcplqftC7ulV4eR+
u0d++Jj0yuOfS8M5GUZdjLFuoSCbFF4zI1LaGBmxBs48yfIymfAWY9S/OWGOTDabMdeUuPCGPiVS
/9lhWcbfMAH0MhOdMogAF/k4yx52TSgWRgcm9OoVBHTrRew/b5NY8S6WWfB/STACbYytOUeYhPUk
DCCTaOprYrUz2hOcJALG9qjaQlUehEx/vU13zeNHzhczQhJKKxpSQ5e8lTmcw9bQALJR1MrGKrNy
U0ZKRyIf68wy0YTqhaO1GUdZex0UAyPIpUGTPFYcMzbUHUqfMRXLCaCVtz9s7c1hFNtA1zcmHdFs
znxXPYSDhaytJ1fTRrMMBCOzOynHYublxda6vwGwDQy8xa2DiV6eytn1jlLfICDAU5BibTeZlTsn
O6UyHWOwqNlSEaXUIbK2QPqhwb3Vaq5vDPZURPeDOVK5ftJVXrPUmkgDmACLA8A+MqnMq6knoEcE
UVF4eaVVxKzVgIaq39PbR7ymAs6pMA+nHga56BXI3Dg2NfRnrVE5BBKk6U+le5vUqnmFfcUQoQJY
XGRqLs9YKQo5kua8QDLo06gkOqDNrIyWIuUgAsHoUErbUT5MORq9LWOnV+NfqHD05pkL5BkGTb5G
8s/uuAyyWM/yukDpco+1EtlHU5aE84bXzhNxnYFQRLHgUjK3Ng1YGdJ2FW6tEewo3cy1b4cjJwzh
EWEuTRszQEcYYKRAexv8LxO42DIPXG+VCJINMEWA7UQMcnlblug3SmqMIBI+ICdAq/qY98NfXAn6
YdAEimoTzovRPNaQzQVcnhID+U1BjPRY9vEvWcNEYvo37gI6pJZtq+gNQMHgkp8mBgxd21alF9fN
Js6FH5P8j5RFBzze23K+Yr5hIVQFzwpVNIPdbzvFYgTcpbYASk7rE6sUXKEN9qaB0CIebC37dpvc
yj1dkFv0yJlUG62fIQ/WFJ7ZTcQvvksJ6kxF9ed6AhO5X4UmE47d1867Myr+mFVi6IuQa/QE522z
CbaRlnCs+Nqspm5ihnG5HxUTkwuv51TEEBI9lqXXCOZmsNT7MHgpu+gIwHl3bkq7KL6jlZbmcU0a
P9ugeYQmact5XSuKF+U0oMh+oYiiwePyIzBIkadR15SeWZS7oq73OQ96d0VCMOCHnDhaOxdtxDwt
VC26tIvT0qsXsH7/FKqbADvElCwk/sgzbSvsIFkNtwJ1MsUw2QEQQw9y00inEqkRSZltSH/1oYUh
QrbbcrjGFKrqWF+E+Sw0nTFKaVA7f54nGfrCalM3q+R8pw957Pa5KhG/xJyfOYcqRyxXmIMvjgoT
uANwNrtkIUPdb+gB0uZpaekkc4eVpLH8F6PvODoVV7WMRwK051IgWsnUBGu0SkxgWOamLYVkH4WW
sFeLseG8gJVDXG5Jl5dhGgPrIy5J5bXYIamLekmEv+COWq/s1aqLiD7ripvnkUWMolU4SYO1QwRB
ZNEMFIeAp3pJdGytTsj8vPJSv/4uhEuLuuVvbkvHipbClCAG3pGpw+QjC4cY+ZpYj6FaeWFzNAG9
UVslkCt4SFhrVJAjM78aLNGfxTzdRPPjvDDi2lOAnmvMLygJ14Lz55yc02AebxyMcqPESe2lhUI3
Feb/pITThrF2IegcQFQLb8nS2QxY209yYw5RDasYb825/pXFfzPEDegpzIShTQ53wgaZSitpdaeU
NSaZ9U1gYOVeFThd529vn9YiO5eBGZgQlyy3itACgMaXspUXdTMDyRNBuh54tfqhSzWpsxYLhHmA
mzxK7CuNyxTWPSwwevFkxO+Zjxk7/S4R3m8zdH03YAh6AFeDYO3qbprY0NtJ6WHdf0gTaXkhOe/n
mTRDCVynoINH5GE7m60Zdp7o9v/GAONyqZUeBWEHBganod3u9o9fP0CEKsC7h3sFowO03MvrRsPC
1JY6Pr/2N4aFddjtqxlydOQqDeRqkTVQIFhsF7dY5UgMBwZuoH4wo1dAF4vyy2021m4BOuRfEowt
0+S6CapRh9SaE8n7VwDQ3SZwLaxAoYLCXZ4FDCb7LNRcDKcUC2u9pBlrEupi59VSiap8WcZ0FIaZ
Yye/XIrLd3hJkHkd5ThgLAlQNF7dU3PalKXdvPSVUweusI/yo9RzBIHHICPHQZ6ro4h6pacXvkJN
tfJ3Yya85yIaU5U6qzkacxHaa/aAAoEZbgMu/nKhZ45j5gth3ikz2BOUwc5bjFqp8AOkoXbk/mel
tPYoFQLxp4Gj364N9nKuy2IuuFcaxscvCff+HBlYNoOcTb/JSjfLAxs7AfwmpFHycFtm1nhc6gcL
pjoGqFi0c4yOxV0uw8GyjNrLgH5nYPMSdjeYmSv7MSlMg+g8p+76IWC6EJBCsBIw2rrBnGuRFAqc
HLHxFOVXu0Bsc1qpV47v4veZ48vl2BgSBb8/jBESDyefxMFdEZHE5BzeijzC0OHY4IGgV4yFglgg
Oi1llhs49T+H9ARZ0DCTl3ETSasMLWQArg0/h919kmUNdtKPfuOFurYtDeCiPHdCQeeq36capy64
HA4j9DDhIARHAbES2+mAfb3ZLItRC9sakQKwNmqIaOL9ttStEsEekiXvuWC9MC5VXQhzYKogEuC8
ivi179y0eb1NY0WyTfOMBuNSCRIwpbogbQEoI1IzjffYN0pHrImYItEJy1/KkJCxlSNOxLIq3KYB
lxe+Fl4WI3x1r/r6NGUt0Ece8/xhGHg541WhQzSLJfeoUgC38lI5pGaBYbqiaT2xuk9HHzma0YZG
GmXZuX2AK5ygPowFW4BoRQ73ipO8EpVpGDsvAoSDowxVv2vayOIZkcV6MwKHvhrErKh8owOKtVqt
0Ia+1amdN+UzTa30tQjNYy9J7pC0RM+Gx6nLHtU532vRRk/2kvmq9x+3Ob0WFbRdob1nQaNF3Mcq
ethHVDZ1pQd2ip87IToL3FiQkRWWB5/UcpI6YYDSPFab7LRxyna3qV9fKKgjcahhqQVySezrbku4
hW1l9h4G7mhvzSTFxj0Ts706JyS7ViOXhBi9K/Vm7ge+0XtJvM1TdyjdAaM9wVHQeXe6vN/LO0Wl
HYYL1UZgFcNJv5TRJvJrs9F77KUe4ioBiHda7UUlN50cwLk0moFgaVmZT9F9XpNyDCRXEJtic/tc
r5UMPgLTNAh4EY2gbnj5EZGU6XELCfay2bfHAAgSWMgr1Crnwa9cH/Ky6O7BQ0HRkE1Aj76fT9oA
OEZzcOL7JlhGJb2wzDlkrmV0id0BAIqtEQh+tOUzzpyRBrWT1EhqoApqlXgolW4+hgJmnZQ+/d4a
QOXWJ7HZqun0hEZ0heOQfGXiLi8UMK2YzgHEHJrCsXbvkno597M5FobkaQAumlQsw5qxgfiY/hxi
OzlY8+Mkx0TEesjO1ZJ9+4gf2kz+c/+Zq0+JvxP1iPIw2K7P3VzGmIGyiLlEZP6XAzs7kEzONUwU
h7IXjU3pTLVYGw9WHvcV1UKtwGBeiYoORyWuDCoBXA9APsvABK6aLQ/3nZz2bTpjnZHREwWjZ5nV
YbzRJAA1JWpl2UVqONMcO7X+5+oYRVvsDMHoIRJhmNK75DeQ4rRoUknylEzAFrxE17wmaqvn249m
5VTRDIROLoQPwDZlc0VVWvfofw9wqnkk7cRerwVSYByPdAoC7QFQBByldP1KYcPgD6KJbMEeZfNg
VTyPplFOsofpShmQfTqwtH6ktVZnx3gsIpMjySsxC6pf1hdeGCr8V+W/okZdIy4ayRN1O6uoamCb
GykVG/D5WPBmnTKM4Yx/rOEvaTKuiBj7Wj2YhfQFhlEO951daFgbzoOaXlERQImFVKIXDyglJhNg
JhWCCmT6JM/I1L6ms9ZKGU2LOkfckiZVQdGvi70hZtnOdhDOGEHLBEA33hagayMD31v6yukDA+IK
1xmLy0xhFHp8hCDJG+SYTHsE5pkrxbWx0+bIHTo14jzLNZqLDw5QNuRPUI27fBoAyp9HwOtJ3jiZ
3qSHxwkVQFIoVo1VH6IXWDGHybWTRrcGCn4G2ucAcXdJMBWURm2BZejl+fBPGGJYEWiTcoYWS8BO
bvM4oULRkCqpOdK78lhgBfD8YV3RBsP260p1KNfRCJ2HLkHBMceh/V7ImUXbuOknjhFf0QQA8IAR
x/wPemRZdHQry+BoYpsBMJ6Cx7bHGHtSOZ0OLCL4Jrdl5trThFVD/RRpF8wRXIHmJoNQ1j0A4bAJ
QA2/V3rdu7JQi5zDW6eCRDGaOvHu2b68QIuKWYIG8tBXHZFsKrttUg68TvG1K0L0jh+CWKAwuBzr
mVkahrYYUiNWPDPNZk9Uuk81DFpaoZOSo1XWKS2jwmi9RWmEtcl4aUmcpIrnp9qPcdCeJq09Cb3/
6/blrJKB1YfzARcdmGmXDKEcjfJpmilotJEB4DMG1mbJlmzLSpw5SbjFhDFeBnjRYV7hhsOwL6HC
2dnNoagJTaDLwIRP92iMokr1rapFmvX3iiBs8O8fs4aKHLSGhKklLNNlWKsMQw47NOJ73fiezymx
MNwm82BjrsUOVWhIHDowkbs0TIaIqKaRBoBwHSDKKkbUy+k91seEo5BWiaDjCoWWZZWBySikIqoh
z2MAImrTiXZVFSj7DWZpRn9DCODgeOQaqknsSIzVJWWRa5W+gGtWVM4z+D3BnLc///RmcP2ol2LV
CdQ65v4uJUGcazXGkk8dC1GbTHQay+irbT/BBSJdXknx45+Tg9yJqMWhMoLA+pJc1/o1MN1Cw0uN
uiO90T+pobnV/xyqA303/3E+lmlRhSEzd9UAEOrI8EKh8hYqAGH74/SNhV5PZNawrQdNCSy8j5Vm
epEKgeH1bfSCoMVHlc/4WaUmbxLv2jwshIBa+5WkhNK+PDI1RvnXNxMDRcWPJhGeC6w4ylQ3kngJ
gjVCGurZsAwqtk2xG1LroRP9MgSEs15YNBiA0BtgrF0EsjPvem5Tulr1OaBFU+xEXA9gsxy5/VDM
0h46oGGaPNt67bDAUfmXJyyAvDy8sK0sBKSgpPhHqahPwGIqheYkBRWCVE42dJ0rKAWs2gNcNxuL
DxWe8Vzh/OQ4CmkeyKFbl9F9kRX5ITcbzsNdUURoLkOfBbpM0ebDctYBuL3LxAFeQ4jKPBGk4NVA
p/M/t9/rKpWlUgY/Ex4YO3UdJbLm53IlA5koLiuSK3K9keD8/bpNZlHNl/YIMPFfbds4PviWjIxX
pdQGZQaA+NZIUzu2MLaTCqJCK10andukVjnCCAigVzAHgl77S4koIlnKh6aFZ6dGPQVGcA/8D8Pk
VDTWqSzLn6EeoMCXPz8zsIDdnU0z7AF1EWfWIyYsY1fPQ9O+zcuVdAO5F0obA2yGiAQi22EpDADi
CwB65HVZQGpffcTCOLtRYM4N9UkpGs7RsQ0+qCLAYQAzOL4l48saC63pzMKK/eH5IAKNiHSn0IU3
7qK10akfxs3nbe6+9pieScUVOUaLA0tKzPUK5AZaEH0kRz0lWU1rR6HSq+g58vuppsJ9TahnUOcl
cj8HkrmJveehsLLrfq6+hPGXCmz01YYJENdH07A/zF/Jg+UiI/xolAf68tl+nzwaEl4jOZcqI0RW
2rV9VoKqHTy6GWm2Gpmo7CAK6j+JElNE8fkmPPLyPSwM4hW3y2s9E94+1epKNHHu04sSklbY6Xth
KerQEZvnxbfifqxo9N6+tp/VFFBULyLXep7Vb/EJMxc5oLl+3BYEJgi8+h5GO8AkhUnT4BwyouRk
I7rYxEFLylHfX1M8t8SNcfMbS9SbvgaZ3k5mmu9EgCOT4PQak++9Q546ot0Bhip4lOm4m4lBjY9o
kx3lt5Pobt6t7+iM2PiE0v5TdAf79C66Cn3QOC+ezYv99ywA9QgliY2a7DCZn2ZJAijM8TkhvR3S
kAZOT6tdQHlY+VxKjPRF/pAV5QRKs2uPz7GdkuS+pYnLOXY2T3TFESNthjqakQ9MseeuJh/9rjyo
pInIPrG3vLQNlyVGkLANtSu1FCzpx+TUnbrjfLI2ZUPSDe/tsihuV1wxwlTregb0R3BV2oLm+IZI
eswejfJOMkj++TSG27wi5T7LKDoIKhOo5DvgE9X7IHaNwr39ftik8n8/BiOriyVHpZv5GCvHrm/Z
gGSX3tHERm8CwKuQJMd7YyKF+2lu6ew0u/hQH4ctT2AX1Xj9qn7TXkLRM2Wiz4j71AoHMda2+X3s
DvV9raIdmbaO/lw8aG4buqrc/xXZZRQMza4iPCSG5REgX32TmMNzkmybABCiT/HPLMC8ZebkfUZE
DGP+o6QUMfeON4LNBNf/Oe0z0gzHZplHtTotZss6CR2wsck42ZZ2mEpb4gHXrdPCYhID/Y0iFoJf
nq4WwBMde9xs63b72cZqnWqX2T9vyw+PCONEq5bfjlMNhuS9v7EOKXmXXjPehTGVrP+e2m9OGGOf
dEWhz4v2lYdn2LYxoe2dOm3abD9NnlG8mLzmiOWxXwkmisf/f3SMTZ+tGov5OnBVOeVPZS9Rhecu
8VhSLy+nnS25TltQ0IhdPWLNM3To6IwbXk6ChRG6OjtGhfolsqSpAkLmRpNJ5Ew5NirTd5ns487u
vg3EdEx6WybYqaP/0rRggSQsXcBywUvmMgRdSe6D5kCNjvqf2MwWvifOffo9Lw+ZnTpPtwkuD/b6
un7TY65rCsXE70PQa7WfujG8lB+oYvcvVltxCK17uZin+3/OmGsL0RKQ5H04Pr/9CEZS0HvVfk+3
w7bZjpySDI8n5t6sPIpDM7bg4GnfooL4jz5tOIHIus0744a1eaJaqO3iMIifyUvYkpwAyfEQ2AJH
Sazb8TNCjMbNYoxVzhOOLfp8g5J1d1gyN9kyOfyVpkBpCdX6RfDYWb5JFAs/x/IrmNbkFGzvDPot
e47J9ra8rRvNMzIMP70SqC0wNOCXaBhaplrqokC30Z+/JT9bJ3vDLgvd84aI9Bth/wlkrurgc1JM
q37v2RcwhqSfazmoNXxBjPCHjqRxpY1Jvge8A13099XTOqPDhMRxHJStWZXLgYY0dv1701Z37+nD
sJU4As/hiDVXEvLoit+AUuEEp5A++ttkh7k1jm7iUWHs1VykcdzVoKI8hc86je3KFt358/O2gKxr
wN/HxmpADNTEWKMFMv4v5Q7p0k32y3JM23eFh9Qpj/uBcAguKu7GPbGYdAWQvQM9A8HeNchdcWy3
wUbZnyZi7Q7S7jYx3hkySlBMxEHqAtDCetrvIYRPczz1jVeP4lFhFKAWoVoN+KLxWT4KHbFIQMQn
42iSgiPiy++wJ4exUBOZbrRDYqkE/vzMCR2ktlHUKZmeW7FXnET0a7uPomLTlwMPN2s1aketBmlH
ZAKRYlp4PqOVa3OfimE2PhskOPT35Z1V2rGtEmMjOYVPkCd2Q3IwfRp+/FWAc0ZbWTySM9qoiaBJ
KAVtN70L7/zwvne6b6Jlm45fOLcFZFX8z2kxr0zTJyzFKUGrKw7q/IF1XGlkT90udUzfTsR7vUHh
fdfYMl6fuvkfiTPeR+sbeWo1KRTJp3882DodNgFC8sW/ajcAwXrg0FtzFs+ZZb0PMU57NQO9Gg1O
zlvkCFTcaQ/5IUVvlfMe0M/CpwXHBK36dUv7C/CMgHmAGOryOivTjzBotpigx6MLwHaVPuoEWUvZ
fnr6FDhvZNVTOKfGeAqRkiXA3gG11J5OZUIxJYiExn6eeC7Jmh47J8RY1roI4kTX8/HZxkQbWryJ
TLbbT9/RT7wwnB1a/vJSz0kxD78U41qKGvD0BugHkpzU70pmm6R3eALC44l59YkehdAyIHRwASj9
zThEu/Zja/u0IzzXe01pnvGkMo88DwJpKieQCl5Rxmg8wba558ajwTzuqQnTKEWv3fPrQN8OyelD
sd3QRqHLyUpCn5AMe739wr5yx1cq+resq8yLRpuynnY91MnhrqGJ8+NHRXZH90MJnWfVjien86h4
eArsLR2PdJsjtbb7GdPbH8F7cGyHqA9oVcWXlls8lm4S0GCHgU663Qbuz22f86gth3iLZcbG1lWt
1N0Mlif6ZpD0Trd1ItGYGDYPDpt3nYwi0fy0FasKlBJiRyfVDnYm+alw/JMvEJUrfoArDvR2mFhV
ZBSIOZQpFgtLeNfq9/YulZ3uvf+hE9lDAPqoEN3Z2k/N3RMdDkg+uRMZCM6Vl05cNfVnH8Eol3as
pcII8RGv9rH2wnvJdbvvFel3j9+QbAt4OA+r0SJKY/8yzWiYpOjrxohBr7Rf33q7otU/J0ofeHwt
P3N1tqjQA4EBOHBAQb40Bdk0NUqZaThbOBbOsAsJNXgGYPXozmgwR1cmQAkrsK702c6+Z4bTby1H
tz3pZd+RwxEgIbzwdzXjDji2f5lizs5qrRpYOSAofnxgjcw+CdyAPD4+zqSiwT7b3O2eQ7sK7HJf
PX1uH4ofD9vQoS/UGT97J6AvW/r0AN3HE+SFz1tnzejyNDGxIxIwWc9v+mY8TDuOklk02Y2f/7LD
Z05aii2tRlbi5wHIHWzUp/1++/DwwLnM1Rf/+2i/ovUzIllvSFVtgshX76Vdp6hMUI7RW/QTywiK
jmhMwK421DqZcxJrSemQtIPoh49KItllInNU5CLVVxQAQoU+bJQcdVbqgyIp1Rh4Gc/5ELtlN1Ct
Gmigb/OaZ/G+XOMrUoCSA7ayjA0FLEReL1ddo6PI93z8oegbgGa2JPv1mNHQtRz1frOhzpP47bP+
SP6h9SZ2PofDQObe+cm5t69mslvfwVjerg37rurH6fnNPmJZKbnDuDpBkyU+BXsayIbW5Anr7vHP
Z3ocyNg7B861StenriuAfDbQ7wa0O+xwx62cyc4Q6yGGa9rhWQgJ9g3sey9z1JiUh8hrHQvudbuR
t9Nf+DWXZBdxOyProxtxHjSQ1YiPCzB3nklSh2cKv0rvlwcMMngZUNpI0qOF65KMNDS14nfT8Kxv
NJH4+yB3LJI/zTbKARaxfsT3VWKrtPRyy8ZEXvs9+CdHdb1B1/mxf41Hnjd8rQ4uv4d5RUI7A3Z9
jhHKJJbW24WBdTBSpw2fpVgC5K2RgOJCaqmqnq2pN0/ioBgREYcOA1W+Whg5GdQs56nAr5LQ9Slh
PhcFI/SnswPmmRHLPjoOkIsnBQAFSLKvRaKc5LvGPn3m9KU/PsXH4ttt1Xht5Jaj+E2UETxRUXrd
NyTUADbVS+P6d09whba3aVwrRuDCoqEKA4PqEh4w3rMlY4+TXhmLlE1O4oS2tgkoUiicd7ySDr2k
w7zjNGujpipBByvf3Oh1dutv0inblaSlvMTQ16wAe1nnPDG+s5RMRmwVoDXsc+8ZA1R3FTomDDtM
HGX3BvWxPwREIyntDiZtbX0vYzjPKR53myC04++zo7ozdSLPcmLfNh4GbyKabdgx6Y82N0dxbTUu
D4a55G5MMDsD+YZkpbvKOT6btuHIO53sy41POdewJlHnJ8PolFqctRTIYcttv+GFH7/nlMvQ2gM+
p8E4137czZag4vSXe17G8gOn3RpUOAr7kv55bvPy9Bg/sDKmKgTO5X/e5V178F0nsHkrktYMwDlH
jCPoV3qB1k0QqY7SBp0FvC6G9TeIBiLg1qF7ie2dTANshZ4y1PogqcEv5/tnc3j9m1f+mwJzTF0z
ClOCSXwk4SYntsutSTI7sLlqchHW65f3mw5zUlOnG7WwtMpo7t1bSt8K4prv/Wvmcp3zRV/cosSY
rcAPtXpMvzi6izaxndGcIAwettwgeP2B/uaJMUiNKMaKVYESdq89VwTO+EDUJ52g5SbeBHZ14OG+
rGSeFqH+lyKbtpyqrNRiC6f42jxU9NdMT9ldYNPbIrGSC7qkwmjkOFST3tJRCdPI7P4IbfHd9ySK
tjHDTjiGjMsRo5EjNPuJ/nJbGekcFxXZnyfB7rZ/d3KItmGgF8RRFrFDF4Wg0eSvNpOP4AH2uSQm
EZB+JbyusJXcCI7vjBSjSod8NKpE+iKFbIVb0PCbb8eucAp2NN9kDa04lnrdhJ5RZBRrowdyUOao
KMa70f6RHMf9jDa7wH3gOf+r+uiMEKMtDL/JGzVBdrdy3kaDkMROqbK7LX6LJrh6v2c0WE0h9HUU
W8mIevlbiteU7jnHxWOCURAadiQbfoms6iHdYfk3SXaoDJnObS6U5VduscEoB2CQaZ3Q4ajyt9qd
6Ef4dMQsNbwEw0ZXzV6k0i4jtY19CuiRk3+q7wbFGlPXdJ13HbuE3Mae7pPdXtsBgvn2p3G+jA2r
O0kPi6qCtBzV/YzAerIjXONtGl8h7Q322bDaGtuuzVQQee1zcvzwaQqfRbNr+2je+6o9UpGEzmn/
SCwn2ojPdv4La5s4Ps1Xi/Ktj2CUS21EfppYX4rMIuLxiLpZQsrte7Y7vdBiF7n6I88zXxEuZJ2k
BQdhaWq2GOGy0rGJxaAbnt9mFwnudtvYxdOfp+5QYoFjsXQ1S5htZPhaNuBG/tLGgo1bLtIJbn+A
LaDCBrAA5NOnP29f5to5AiVwaaFWsecIyAiQ9bOAs0pyVZiwTuwZ+8RphpDz6BboqoRDGkRkcgF8
becb8xF4V+LjbdLqijW/IM2wKsh5pOUqlGn12dsC0l2Yao/t5QvewmNpf6DBlginiuA/Qtuggyvf
q08j/Z48jSf1QGnh7a3dInmBm26Me473tFLDxE2cnQzjo8taX2vZUu5CnzeVEDok+BrNGWLSuU/m
yTn5J23HKzmvdFwsVDV03sAZwKg/Y2EwZl5XeQQNpoBi5yz1Gje1A2wfowZFAXX/NJB8L9gaKRGx
8aRh+XXmVV1QZ6yNliHQrn3kyMWNvDnKjrSFF++M+5IYH/mm+FbwxH25Y5agjl1eACRDl94Vfnfi
l5gAV8GuRuqdZHcbxA1E2wv7xcbx4oavEYorakBnAD4+Jq/A6aWw12k39omB0gZCLuPguoor7w0S
39UHgNCehE3pONsHtJMTh75jMekL11Vezu/GB7Bw5XAqi7BdaistYk8JnkO2wTLjYzGQ0x69sMpA
UP/j6Os1n08F5rsFRAeMGWGc95LrcdazsFRMpEHl/eQorovE3ukeVc3gn9sveqX4gcWEZ5SYFw3g
IDGOgCX1nGxH9IKkMIGzW5GMKlgHQ4PnHO3TM72PHEf4iP+PtC9bbpVJun0iRSAGAbfFqNHWsG3Z
N8T2hJhBzDz9WaXu/oxrs1Xn7w6Hb0llVWZWjisN38QIc0JCw1VP80dubZ4mMdizHv8YRn+VXuhT
ubn2J93rulWaS9GrHBUyyYvmssb24cDwtATDG0JydWSAsrhei5Z3zonwfgSjzhg+DRq/wNlLx1Bf
xqlRNQS7lRu7VswYENwvgCXWSB0bObpJAcQY2YpmCjBqPDSzSUM/Pg5GtWtgdGOxoYrKSWHONnJn
ZJKjZq4cGdhz3K224cXo+53qL4NqjS1+jmD0b6pk3j+PqZTaDwlhvMxrJWIx11yHgwJJNBcmhgo2
nokzMRZreBB7Xnll6s0ec814nGmC0U4tBdeVmcEjen5pnJ7wmJrwun4wxTgGKfK1iArAlCRi8ScR
5zlpGytYlqrRY1oniYg8PM7151r/CBt7ERyC6iRgbrbaJ0rNmWqeyJ3/1EHGxkV0KDhOqbYPGdkm
ZKiN12AXLrfpMlxeP3xLtXLVDJaqU5speVEc0bS0xDB5+Y2J7n/8EOy+mUsYz6KQNT/NzsyrBE8J
/P701J1fte0rauf679jZmQTeMPWIA5OXBJwWrxFNRudzL1QbIQRNYa/AsMyP28CVLSkhjxezcltc
D6alPIOXLphyiX/wyqj5rO3/LdaqgtJ16c50Vz2q6WulO3JnYmE4OicbNEnaSWQU8VpLbUkD1tMv
ab4CqrCUPGOA6FLaekuEYa3mJSmqbRUt86vhH+9r4EQIBpAiOh+O51YDzPvPWymFBSorRdCfJFs2
Zoa+2vGyNDwKjDYMednMuvbSnxI3NHUj3hn6x30eqJH4w7KPeGBEfC7UvS5cKQ9EejM6hydGk0bj
n++j6+jnGXnYNitWPTgwBxxS/lCRF8N7u8/DzZFjmADcBS0dAr8A6BqMPY4L1GYQCPSnciU6sqWA
0iHa6MbnAu1xzZ7rekxcyw96jOUd5AoofDPQ0480G4/seImu0MXSd1pbd1RMlAlohzjd53LCMgJr
FjO66NVBoeGmr6PoIppLvXLtUcirxX06w5CRvpOvc1JXbuojv56/3ic3cXE/yDGiV5R+plchyElQ
w5mmEjnd15pmhPOM6MkzkN+MPODFCRMu7A+ijDT682IBxDH4GQB3f6qdepsgNHwH3uSvAD2H9xmk
doQVmtF53mzu6Dz7WZXocYQC7cW/nqLsYl77i/u/kWC8RbnuxV6MQSKpAyO9voXx8r8gALgNCoiE
fCeLo62rWBhYU5nQIjiiakbK/3unK8VE+abAvALaLFCDwOv7k49m9YvZclR3won/8XnG2MeSVkud
BAYC8XUmRqaOhxYQquT+MU3p65gJxj6Uszr3VXoPClYPajVQfzyMA6W6ocfvCg+0fWLM+OeRMdYh
nsdqMCTz/rReb28ld+S8T/H7KTPIkrxvGmsTbcgLRjqN1FodsUfDSLcfyBlzmOYdLfM6eTOxy8IA
P0MYGlJK722jkKrgxYGTWjSSD8ZMlLGCkepY6E/olkZF0G/tbiFyhOQGr/GHqo6IMGYh1IO6zxCD
oI1ua7eHgCCKJ/quI+HxcJCw59nYpGRFjgH2Ez0cv7TD11o/fax7574YTWXhR9IKyK6fj5k6q6Km
SyCtwv7y2C2TQ/Mwd5MPH0nyjHN7k+eK3a60902B3yf+JCUHSQ00eNyed02JJn1caq6jNfmgjEgw
qq2EWrBIepCAS4Wi/PZhWJ5S+9StkftzHGvTmjk6aSuE8Ed9+fXBsfWT4jmizmj+JWoLJVRxp/r1
rBTPaWolJee+JhnE6SEBiI4fYE78PMOuD5UuaILhJIr9O0A0zFrvDL8rP+pCqKx5FGJtSMtDCJnk
C0tLFlj5gx0UKqN2coFGryGIhtO12HrR7lo9zme85TU8GgxjdVbNA0AKDqdQe8vqhujiaubzsOd5
RBilk/XYiwU9hOkCSLgkLZt8bhVw/zk6NSno2K8COCe6a4wV9EHNh3o+ZMOtirbWnBmZk5nh2SmZ
OZnZE15tZipxRQGSAfBFwTjhTf2UCiQmelXr8gEe77ZBGkcnAHA9iU9vD9neJoW5Ua/k5XpIHq+k
Xx5Tw93f53gqs/PjBzDvg6x0VZHE5XBan7uA+PDkHntr+5bbdmIcAqMwrdrMCyP9ba1E84oKVfCA
oiwvp3Mriv9hVEfnwAhqKQ/+QiqL4fT0tM03ryV56zPDJ87McDDU5z/uRIyiRSbQqEiIsICj/pO6
OaLOiLA2zGZdLVyHU5PvZf+IRVkbIf/lKcDvaeDUeryFx9xrZ8S5E3SvB1ovTh2tG731+qDbb+W2
I8vPwHCsEDnoq5Edj/uZuee9xNKkKn0zyy4iUeqoTkSd0l6fNec1/HiVfw3wp5bEsRqrNV9Wv4+r
1v1aCcR4aSzrV0h4xZBJNQN45hyw0BKQFhlzW8mtf0kA1HxqxM9sdrjKp/tSzfs+o1V+0MqzvIEa
h8lrpP1azDjZ7anvA5YGG9xpnAfw2J9aew3Fct5Vi+GkLrKzdLme9awz7rMwdUsAktbplngUpf5o
U4yaYSguwnDyioDo/bJWnrLevE9jKqtClyv+Q4TyOYo6Blkvw1AZoHWKvTCEGIOY1+PpORFN/7Gy
WhvdmHVC1BOHLHUXWGUHUCPeQqDlAY2WUXZBDRMxq/HWt2E3Cw3sUezRV+TrVUbkFusYsFYU2M9G
IsEYrxe9rm+DcK7GBHBGskfqII/tIgYKI8f6ixO/C1vRgFgPLGDsQWZ/V7BorylaKOaw/jPRuKCF
yy62yfY0oJIw+4WSa0hW+gpQKCvXrd0n9/9+LGgClgBWAewTAaBUP29D0oIk8cNhfjLPW9kIVoUJ
l/xrz7F1U40HYzIsNH+hRVdNGcBlYSUEPT3J69XyX/idNvTnMrf8gw6jJJ4SX/qkBZ2ZC39u+/DW
AVLIGBwLxo0c9y7vDZlKvKBVBG0c9EEDAiTjQkq+X/QN0GtPaBvNyOVh6cCYbgTbWnF088/nQoV0
YAYSfeE68DcYtdHihVgENQYuTbsk/cvGGHjuzoRz/5MEY8E8rU+79hrDuV8Na2JtVrsjb/nahCD8
pME8/X4RDLNCpXOjqAwXxpJsetPiHNVEjeonEUbXxQDuxaUCI+sZkV92aCEwTLS48F417oExT/hM
QJMivFAkpbcS5lTSA28yn3fpjHZ6fZXl9ZVeernvz8fFgWOMOd+/MTiyxXq3gMXP8P0SoWRKjMo5
cuwLlf+fCvnjKtj2jkBq0BHQgIJC6CR8YFxc1/3g3QSPD2pkR3z4+ZAUjYKLiH7rv4Faxpv9mGjV
+skGZXNE4BLOkmpAVzDib8XNHBzVClLVkz0P3Weimf4nJUbPlTBDPloGpeFhe66N8/n1YrgPmfH2
sLVzDPN0mLZ8gJfG8cl5OsNmkIXcx/JFqvzz8+tjQ8jGskLyi6OZf5pnyhymIHSkcGEtGYVJw0WF
/QoZRkLQjAHDjACDDC/3RW4CbO0nEUZpBr0QZ+U8vVnKX4cHAG117uHgb+vKPGz20WDqOfHRuoqs
Locyhz2ZyY5cGjoHL4LyZVMf0POyKQtysQOncjUc6fywIc9WtsR47i/0maovX/6AWSvNkLj6MFEu
+3EGt26ZkbzmM+A4XQUc9JP262mLF8NekkfV2FytZ2tn8IT2L4bwn3tlR01LrdT9SwpyRYHqBkpx
6735X5mqbxKMBnbyApNtNDFuFiTKjGfA4oW8fRgTZe2fx8Yon15hlURb4QK3pm3bn+Kj87ix6JhX
aDwlHH+ee0fMc9upF1XtcxwacnqD/WDPcUnO1U3dDWo2OTpA+RhDfzr4P/ljXt9GiK9tjhrKaVjX
tqGf7sv/X6zk9x0x767SpFLaJyU4Oke7LaaOTyjNkoub70xuHwr9qX8+LN+0GFMSobcuFDOcnrnt
gAaBtV/o6iLWMUCHmW7yHoCJQvjPk2OMShbKpSfIkIz1OiHmFte1XD42hvNZuQd4lysMGOsY8OA9
bH/xl/5hkx2uwWIUzCLNwGbiG8rrCqKooVGsdDnCOP2AfpNh/OYMsNkKxrSRCc2IsFw8mG7La2wQ
6Tfu3Bi7ELdP+uCqY6HxaW2e7dJANytyLQuTWJZxzB1MbPKCDh5TjMlQ+ksb9UXRnxa/FESZ9jIx
PmXTwRDcC0ZeeUfIvSrGeEiLeaVmCkQkzQBM5m/L8wrT9fs956omWgl/iKLC2I35Rcp9n9KBGMJm
oA6AzljHMixXX+p4UDjHyHtPFcZohGox6EKc4y1J0KB7e0tOn+Qd+XHEVIbrm+YHx4782ef0k0PG
jugXWQ4WPihGZGu229LGm/JgcohwHmt2GVnoIRVb55COs4kethNZIuePkV7MDq81i6fHE8m3nywx
9qOMSrGda2BpDXKvoHexD+TTsx0rRX8g9Ppr//EhcOCuJs29KGrKHJleoPUwEokhqhL+PSRFrUl2
BpTq/SOc1ujR9xlJzNs+9ZQGGi2RJ0wwvL4+LJHQkwmagTQcpetyRHECGgCnOCLIiGIH1IA5Ev9Q
MZS/gFJGA3vD1qzm5T5n9GD+MFUjOowAxkAIV5oaB6e4stk+3//4RAbsJxfM05Uvrok6i2/HBgBP
jEJv5ivJWLn6Y0u4ruCkERyxwgherfbloplh4NuPkTZAkZCXmJi2R98U2DYCH3t7sGMa7OTIIT3A
rH9Sc4TkASBFeLZv0jKMaDHvVCP1aILE1rKTbocPuYtq54XsP3jOBUdvbjm7kfdcxf+5fukYOIpz
//onqh8/rv9mb0df90uhqWPqLD+t/9XR+hq59qlwlg4S8ZvBaE1rt0vMxHYR5fFYm8g3/qTO2ARV
6yus/8EJrtG0PCzjOabQrxh+tyvDKN8Al+h+uMdfwpo7EkR15o5OsSOKSXyt4poGR2FtxN5LRa79
QyPaF4lj9DgCf7PEo+PV01ka+cBZPqkP2lJB1pQjg9N++0gGGeNwnQ+zqMroCZqoZcDLfUBsVaGQ
0ZrGqnd5dQueubjJ04ihawN0akBU05SZinEG+19G1rQUY2X+V1mAEW+MtVD0VFZTjcJDYEpANebO
i7Ha7yuOeZ2OF7/JsOOJV0VW84geYdARAaLQArEQM/CiyonIeQ8Gi6/f6sW/hW5tCpbiequH4vyr
ecUYE/eFn3RvRzwxOagumGfzpKBikZCnglQbW9nAq1CRDgbAkxWdV9ywm37yjkqxyeceULiAD8Vt
IStFzJJ06+tR3wpoduGNgk1HxiPuGLNRFmKdKCG0CtEPDX4+gWYG58Uy3K/1nocoMJ0EG1FjHAtB
CwesyQBjJmoFWzux0Dq0PJSm87KyVj05ughP1h8cu0zDgT9Pk+6uVmS6KpF5W8SmW1T5HNGrBNzE
h/x4WiI+EZfEwvW5GAv++mpvGT8O2enH5pssIzf5RZrlmngjez4/LIwMWwgsOPWGsqNOvfGFPt4c
feaCi7IMr6g4Ub+gz8E3dSZGCtDEH4vXCmUxo9qEp9ftknQG6J92Ox4611/cxW9ajAyFUlT5ygBa
66d1ZdLOsIDYB6dCqQG204Ljff9o/yK03wQZMSp8uRCuNHimESfMJmBYF6aD/Nd+sePQmo6SRgfJ
uKZSopeLhUpfdcE5Y6ZvS51hz352rN1vC96wZboc7ugX78kr8w41WhOGHfW+8ZKTBCKD1g3n99Xh
ovz/xWf4PkfGYS0SoczzGUzbU/WuEgnasXRSd4Cn/4w9IYMh24CN4rD3l2f2myjzFKmX8t/J1NKq
zPUFHSrahjiYda0N40NZ7n3z44nXEcZRB9TZceajt7aqLnKjU1/2appnwdiq7gP6qEuzc2oOf395
1v/DHzYj/iQlXtQkSWgs86o/eOaSyMi5G7eImtdoJtGj+rukYLXxT1JV0ALq4EKDT9M2H6iLfkgc
O1i/IsmJDAz422wsd24YR9cEzpobmPv4Fy+FNp0d/EdDVHayHiZdTa4qfSCh+/YpIMjHkGGF/AH3
bKff4u+zZSxNM1NnknqlAgtkAgxapi4CbG3HeTEWPDKMfdEkX2qvLchoEdEvmD4794b0npDKjLGl
EfXgxsTAWkmWqYafsXx3nM3LaoW46GhZZHmxPfP9/RkDLGf0w+r7bGN8eAiaVysL4XOd8cL16QTV
6AIYEzVbeGXo0ey2CVi9fIkp5xnchj3HLE2HaN9nz5ilAFOYnUeTDhlGbo3Zq2Abe5cH6kUtzj2J
ZiySOk8zzach9LAsTI9QrNP7bEwnbEaHxZifxhcrsezARkSQPNyf0atCsfMOmDIjFVR1ZxnBI6Al
j/s1F6X2vieCcdaf+hrmiqcLNELcgmpp6Jbwbqz8inBYnHYf/7mpm7yMjF2klVHY0ZwUgB2pjwVv
1WnIBgnZq3EEKASvhMMx6eqtBjkimPUdIt8QKbf1a0FHseFgHR4XQHASydcKuxWOoXOfRZ7I3+KD
EcU679DOdKsFLlZeS+Z72AGlRbxh/o+EGItTXYS8r2hYnTneC557bDdwj1zBuO8rqmyRNhS6SJM6
CMbTOgcGir4TXoJjbOxvvuF9jm7x+B0Vu2HajY6umYl+oMyodDxtt3M8+VisQ5zISF3Uho+GK72o
PAHhvFO3J3NEMlK0dq6nOMT1BS29Rmn6pz3PPN33mrDk5adu+UCyr6IEbG3NwEXq4yE5fxXPWK6B
kIILf3tbinPvEBkrcqmkNp2nkPjONl/XmJvcPpyWh2D7eYofDuhN6iXy+UmIUaLFHEhi+mZ9jI69
6/JOluMKY7/dT7bDEtFpSlXvaq7Prw/26RE7e/DoH/fqMjY4zjBP7W6RwOgieykY4oKyPXPt/EI8
V7IMik3LuUzOK8Dm6ZQg9LEmHeoAKNzGlLdaTobYFHi6zSPDxEhh7f274GLbiotCum4ciPF7hRo+
dI/ngnJ04BYaj45u8P9jSNZbVLq9RwDG3VdsnuPJJuKaClmecgEt6x0TCaWHZWhX63dYfTrowOv1
5lgsNhvXxbkyaB0kIVh9YlT8g8ML72oYZ0PJE8kvaA3dRPs2fU7QPu5Y9GZQeXviEKMfu6PMbCLu
0sVYS9yDFyARvJ6QN/U2m1uZY5288dJJf8lc/fM4s1Cwfa4HUk5lu05MAYtcF26ouHG3ifWjVEDW
C9lJq0OPgbfSuM8n50zZ5FzaRHOhmYPNdfslvlx3XxytnZhvHucc/lh6WddBHKbUbU5+b9F9HhnO
0t7Kjg1RPPgOys9kZ2GQqSVfaLDiSD+XOBML5TP0Pl9LcJdZZ5QrTq+2uZa388JsjSG3vHqvPRj9
s7l3v47xNsxgttb/o3Vk03ZVHS4GDZ0SMFsmQJnhJaPdI8Yfh9e/pFn/kaHbnN7IllxTad6VMr3J
4DfayFRDPKNrjUOFJy5MEISoLsw6GscWmZG7C5Kdel7POMcmSkzg0l9ULRAitK0gKg9WquPyrBQv
7meX281TPVT8EhTO22QnGK8kR04KgODObHlfuXhRMNsCV0tyVS8okEhrYPPFxieRc3Aed9cDKvcc
UvP79uqWFhhdvx/VUdviOTmZZrsgA3rIyW9kMi8cJ5sjADLjWsSzoq6CARwhmMwAa4tgRebUdDjZ
NYAo/3RfpJmQa3GPJGlrANjGfMDGVp98Ip4mmCLdhbc2hBJr2Xgg8dMhi4SNbLqCITrtJjijMxT9
uaf61Azr7pMdWaeF+YlEjYWqPc2W8HuKJ93TET1Gm7xudinDFHemkHXn6r+it/tCMZ3LGxFgdKnC
aESMCXNIOqaA7Nc3BH2oOsaEvOxQK9uv/zspHBFknuhUUiOt9ugJkuXS8Wx0TRHP6g/3+Zr0M0ZU
qJCO7knLk7TLAurWDyZw4ngmezKpMfo868f7cXzRC6pKi33gxORWEuAYUp6ssT46Nkr8O1g4r4HS
RZvjPxGOb4yr4R6RGeLxNJll+OaJddLbQdIuLc2OXzZvuBoVe6DXC2C56Ob8peRV4iZN+IgY8+wq
gp6K4r+ImdvYFt5dk8fPpLkbkWDc9HgR6Xpwy3LKxvzwjCw/AlSee34Le/9wAkdU5J+CVsdNmQQS
Ti02X7HO57MD/BUBPA9aePzcui/UXGKMNSj8tu8lDcTM8/m6Sci6NWR0htryi6A9FEu3rG0ORfrz
77HHmociFQGjB4oRkPIzhyA7TFAwcZUlT9p518XYBez7gitNG3pRRMegDlqiHAUl5w2KJQhL9WWL
wden+9zxhJAxEjM0j6RZRbVYvpJZhNkTbsmJd36MoZACPW90KoTpMth2a93o0D/8RZ27EP8ckZ/O
0XwLI+uq10O3KHQd1J62yOvjCIEhax4AgIU/VJ4owgLWCtREQEn6/lFOl2hHpJkXORKjWdjrEJQr
YEopUKmKPGlr6Mf8wSf943trN6thJW39CC60696nPj2tMKLOmpOoyJqE9quuX5PP0lYgoXvNeuLB
ZkwnMkZ0GJsiD70vZgMOWCIeIO13SYvlOyv3GPCSsdMJmhElxq4EYqW3oUxlc0vbA4EkH0EXVqir
uTzcl+mOrREtxqzIiZQowgU+wNU81xbKXHiYK4JVFBiTQwmIc1ccrfvDe898LIClpt9E6+ObD8dt
eUAhBK0D2DjPtc+cl5r15JWF4s2qHtRqY1sQ35o7WHDD0btpJ350gIwhUcFQXdDMeb2KN1h78CWt
lYT4WNi3ww6dL64PxWOKsSpd7QlCoILebXo6NvXX2eP9W+L5hawXP0QSZQok7IfEQpKrIe9o8dXI
DqnevSud7pPjyATrz2vaItUkjzK0jc35LiWLAzeDwnEJ2aGUOmh7saKHhi47cvikowgWupWt/ZXz
aPIIMUYiW+ilquYgtMUG22XAweDjfZ0xDHkoiZJGE9brBfBMy+X9i+BZ0tsmjJHjHIt6npYiPl8b
7crs6MLz92FVLI01z0WnSvGna7FAJCXrdME1Y7MDBR1SRYgYTvusTSMzscuBt3FxMkMnfZNgbsKb
LcRMS0HCnq/Fx5iIXPPCY4K5jXLAvG/iwWtBy/N2W7+GpgTAhueepA42saEbCvkizg1NO0rfTDHW
WtOi9ir1ICm+xlgjvHm0XlYG50Gdjj1kLIUCnC2Ac9k5k/mgXeZNXlO/LyG9sYU/hn6ZimD+CXOA
eIY4/sOkARjRY9yHeSslFR11PA3vMQZ3pBXsJufceCQYeZOuTVA0ekOvCngCaCN7wKzEEtlG5Nvw
sEa8asS0N4b9PpIu6QBbZrHIlLKXs4HCg9ZGQoKSDC6FE6Fe2evF1IK19746YkYjsNOtFK73vAa2
SdEckWeEv194aVNfQP7B38NF+fI5D/l0EmZEgJH92WWhNXOPIpOSy2Z7MR7s0Kx/LclB+EAnYOcc
MXwV/+KlYKazmCOyjPzjsFW/HxbdqTMHkvwKHPTZlhW8Wg5/k/IyorP4GdmlejcTEg27856eVNya
ZvYPxTNHJicf8hENJuihLYaVWoCXtekBsQjtLyh7Ky8fHDL0Jv4wtSMyVFRGRh37Wa8Xme4dLA4B
lrUcbj2MKFkdex5DVInuUaKHOqKEclUbqwkYChtgklWlQezo03d8ZckLrW6lor+TEtneLFHRLsVi
gPit0RS6+IxE4F3LgXP1kT3PLgSbWyjK98UWdh/mXg0xm71WOCIy7fj9c7Ai27SVBlVZ9nMcrGnG
OSFo8EtJejgeuet2OFIvsj1bObBYIt3DusF13qxROUtgO1x1uedIyqR3MWKIMRptGLezCKhgpzC2
/dQnZROTEDC+zVIWyHy+Ckxpsfaq86/Z8FhJdqstOT/gvqj+iWshVZchDemtbgUjfymDXQz8kV5F
jtCz1JwXt05XP0cMM9ZkQMHwOtdxrnKw1ISUzCOjdsT361MtGYJMgoJ0zkr86NaDpVzOC16cN+mh
jMgzRkZvVW/RygBUTr6CiASPK5/3lE9HkiMSjI3xsRJYLUPIKOaKAfMUrfGUEyyxUVe/Jetocoey
eCwxxiZSUl9QY3qDZvsbO4Zperw1O+tKXINj2EQeLcbcND6W5mgBaD2ZdM9DZmH3i5nttq/1YGhH
ki03m9yq7cWDcgV4QWTyEg8c+mxnVnBdAGS7hPSkZvW2s/AM3VcHHoNsT1adFHmrR/QROp+91TKw
YL9tcYnCHU1xmJm7dlcL2zVMbqqDSt4d88o2Z3UAuw4yqhjmNv9YduRUf/rEzl1PNgCt7Sqn+5xO
Bx7fYsq2ZmlRiA6j7kYvI611wV6MaLOwU6TJOJTuP+wiW8PJAwV7W6mNo35Zb2AF7SZ332NCO253
vzMswDY53u103mjEHGNlsmyR5XIANc+sJ/mrWuUxWXFnue47fOItezx6e2M9KGt5gMOHCfjZu2x0
q6TBXuj7p8d5IG72dESka7QhD6l224ev+1+ebnEYHRJjOPK6jYucrjO4mrVq9oERHVTZuXpWU5D8
Sd+iKap2Mx4OHlfwGBuiFbMsbSoc2+UCJ484MFfo/UJijzc0w9Eotp5TS9eui+j9RL/D4/DbvX98
HFPElm+kdBFIQo+L2XqOrdoJx9RyhIvtrdLUqAhkekro+4tQ2H8BKNt9BjiSxc5BKv1s7ucZGPCW
mP4oOVtgOdEYAFB/eqbzpm56taXacd62K9qNXW3SwC5jA4CSaDXdHw3DetkdnFzhGZzJiP1bsNkO
K6whEnWlogZnddb2iJTy1vzgzcJOh+wjKlT8Rpop5w3GvxIwCJTluf1KAQ4cgCqjfIJ9Nwa3g5Ce
15334fZyjcgBOiRog4ieZ2xeK2KIBOeIbDEKk1w3m3eAjGWYz3zMYc1gGeorOZ+z5Ji74dPgHS+8
mI9nqNk2q2i2qK41NW9Xu9x6SHZcHT4Qxf2oD9u9f96UOM88X6LbUnosWnoutkVDjD2fDEdl2WHH
tCtFrRYRi7Wr7cLQHiOjQf0O81y9iZNbS4/c/lZePMRi1wqRJMSJDJKqi4yxRTDN4Bq+/cFr2+K9
FWzPlK4I4bykKtUqZoY1urvjh/KBghqtE/6PMRHbNqW0kjAUFaQvQkEreGqwla8xG6wS64HxdiVa
tbIE+74tvPkgd7TrBqA60q4oiDLfi0FTqgEecojJewWoJkAPcV4NjtFlizFZLYnyLMRSJb0igUdK
nlH/S3yFLhJsatF0mZ3yKYKmSUUdS1OAFmKm9uwQbV8M7H1bHQPb5OIvTpctAOr5H3KMla/VTKux
4Z0WEuhE4T5an7Sl/B5gVaFuuquQuEd3z3ka/3JZ30QZ767Ohbme0KUkw8PaXtozYzhgmf0X18LT
4PtPofimw1j4sk8aqZnRs1wDnPNh6ZloGaeIVFdsawOOHpfgdDbnmyD1OUZSWAHKMr94IHhFOySd
f8OAJgXQpJ4y3hU8KxinNzmiP+3IfBNljL2AmaRa0iCST2uQtLdti12bj95RNAXA6Rv7Ys3bHPoX
q/9NknEBC6GoLq2ACwTATEm0xw2FugPIF4ez6SfzHzJstHgBot5wpYHHU7zZ9sZgI1+UbfuArhnm
joNyhOXG8+ju9HImKWI4o8vBbPs1Pcm/o4h49u+stjh88ZSODRX9SKhSma6owtyQv1ZsG6Pn7pKs
0Gtw/LWrlxI8A157z7Qz/X2WlP0Re7N87slaBilJVNPD+ulLwOGKZ7nYMFH1sHpabagpwa5VkZxl
B5Xdp1ZzFjbS6SbnleHJBmNDMj3yWxTfYIjXGPULnu+L3u2tv2M62Niw8SQ/jZSbiTLP4gpbtLFk
9I1CbnWYOAmMCuPlm2SJ3p4Y8Ftm7GDu8/5P4J4nY0zySs6DqAOH+SbZvaUmbEi52Txv8By4vLba
yRBfVTVsudSw6JR19gusWRXzPER/aAn8MmxSsAFpggzwfZYmHawRFebO4q6Vk1YERuasMmLFKjJL
wRKwcBnm66TiiONko7qykFS67Qhb1liUfiARFJdFT6flTdio5i0zAF8G+6/vPhfmI9qTfbte+/Zi
9+ED8FSzONc3pW9j8szbkyqFhjoXyGOHaobOrMvn/bOcrCaNCTDiMfeCHmDjqACut/ab/blYVi5t
6EVpM4UwfjzN7PsEJzPqY4LMOzNXk3TRJqgHAqdoLVu5Gzy666f7RKYkZEyDeVi6rpJ1IQCN89k2
O+BThQUnap5MX4xIsFD6UXVtQ4lezHqbH8Pn4h39GX5pfHCXIk+9y2NCNEgbWdymnjdaQOEaMKbg
rTzzEQ1CMdlQn9RdWJyDo+LE2qsxMeqZjIhpXd1JQQdipYVxbYv3ekwGKqqkKAD+n6O+zWZL5n49
B+y0QNscVExkzyuiAXjtCl72s5xg9ILDz5QgjOkx/DQi2rjbAPSkgITPMbnsU+Ci3he2SRUaE2He
RH9+bbtGBJGrfV7DW6ut1/QlsMSXUifBslKQ9G/B25frCUboFFxgiNsrwt7a+AfQR250a61fBQtl
NsBIRMivbN8KhyAMnDtksFx3zmlR4t4hY37LdqagsAF2QczamsB2X5xo8q4HlxzrN+niq7KI2vJ8
oUqixoTskjifDUVL7w+Mnef/NoLhjvTPPJtxC///OMURLUbRegwYJF4JWk9rldiv+aPqhg8danHm
FXBt5tGz0AR4NBY2cALxqHHzyNMHO/oBjLBGESbo2jl+gHl+9YCDiAjDhTes8nyeKSUfHyojrws/
yaQkB501sF/yZ/94Xx8mdW7EBiONWTTrvO6Kz8eIk4RlbVrulYvxPJXLGfPACGF9yTKAacxxVuj2
el2SwGkM2dw8p5imNWoyX7YcR3Ey9TGmSE91pGSDn2WFl4EiTUecbXtmlTY5HrkzUDzOmAe5C+RW
xIYYCvGEeW8dVIyVfLh/RZOv15gZ5hGW1b6bx8hbU68GI5tYSC8T8ZljGCddzzEV5hlu8/ngo4EA
VHJ0Jw8Qh8RI1471a+X6Ns9UUO34Q33ho6FpStMwJsQQW2Qp5qwUCcQqukTDmqPw6cIgck6OCtYd
MmwSUff0UBbmMsjQfqZzZ6o7maC7HLW5/+r4vjliE4llFyueNqiUI3ubmqiFX41Hg1zgUn90/x99
+dPWdkSQMUD+RYxExRfpeBdGyM5vkimbMTpPv3isTbatqyNKjAlKYiHUowinCFVCtuHyWALVYEAL
yfpRQOUa9jU4CmvQ/VhYPEXmCAqbV8y0vNS8YgGIfdN7HJzNceV+KUvN4F0ffS/uSQpjooBAr0dD
AzrrdqXbGAl4HvZzY6+gZfG+TE47IKPTZExTEIhRWeg4zacIeXo02Nkd5hl1w3GcHXTta+9qxn2S
XFFhrFS+qLKuiCAq5tVUbo19nS2Z4jJ9Es0V7yQnTeKIP8ZaSRfR1y4VFMFsKI6BtMvOMwVWntvg
zVNuxobIw6JIQw02XkDSoVnOdvG6fN99tchdFtwtObxrkxnnppnN8zDpcIbFq/SMuS9ZIpVFfllO
Dge/AhSGq8nOHol2mJqCmyGefKa/D5Xt/c67UA7mV1B/Ki2sFPd39rZ2pIRg59SwfxGe90+8zuPp
V2dEkrEvHiBBUwHrg2nrGIzm4QVW8wtrIJ64F8nRcZmxL3GCWdGiVHC0FoV3zSsys+Rn9+O+FkyF
ZiMrJss/XQK0RM4yr4XeFZITVM4M85RL4VmvtvfJTPpr6NfGwjFsclQERr3hGGvaIGroPHaGncsf
DZ0+rO/vM7ocVYK4aBb4fmGZwI+myzJquzcxh3qfj2kHd8QIo8cBQCgaTwchNLkbZnTwV/52EIxF
Ta7bPSr/O+XUcdr2/2KovpljVFptrnE4l0BTAfg2ESwsckYR+l0jq0tBPj64qAKTMrGQIMbCHOem
MYcpY5Fz41HJu8IzfUsfkl8K5ioqpGKrX7nhA8aaP3JJefjjpVnomoaOfuTebgBpI9dUxFhCpXvY
LwowBeB/z/4fa1+y3DiyZPtFMMM8bAMTB1GUSEqitIGlUinMIwEQwNf3CXbfSmQULuNZ1atNLdJM
Tg94HPfw4TjRVpFky+uhwYKckaTe6jmzZfEf+YCZWOY6R83UW7GcTIhUccekxH57sVfddqVwgVmj
9/Wehsx9Vlrs4pETiHL0j5IoXuFg+Yh3wJDE2y8UWJ/ct/fRk+yAvGw2G3ScnunTBiEMql9fX+By
sx/f8ZZ6BtBwfO+yfc0OgcGAEAn/1Czxy3bKSgOiPWKBIugypDXn7tC/c+8EmGiiE0GzJtJvDNV2
5U5WSLi2K/tbeSq3ussRtugHZ0oxiHNVe72WMyiFyPOMrUdIJjxKOMDM5qWnF0kRsbLtL9tl7ksw
Rb2pj1QUWHBM/6xgJ0WYusHDijL7rFY2yG1bol8x6I9RfxoXYrEUxju6Ld7j3PzUItTOfg2LUEYU
apmIpbln52PaKp1n2Tf3H72oIeFOLN1CzXsflQGnVjBaSVYgjlZpJyfy1od1tDcLG1mxOHFWAMXA
NuVVBVYKmPFxQzdOPb/yIuLFUOC31mwuU7wqkZTGsC18gqv7ccGGsOBB8TFdj/om3eP19c+eUTOR
NHieQdZ0ScwxG6F5kBKv3ogJERCD+G6MbR0r7b3jdhNwvqzBgFUYRBi3ESBwq/oIPqQcNZeNuI2x
gQp8FV+8bNJyumCmIINYaoJNoVNP5aFNPjmO+9UKZJ4c9OEAv8GAT1rFQ6kZEIICag4KUZRpufln
DvQaDPAgVS8nXRvSNcVbz/I00XbhyMD7yuPE4EGpwaBOJ8B3Chdo84p4FDtVBhKCh58OvXOO7ZZm
vnPv2N3Y+dXo0d0b0M6Bq508GJhLAuogYys9iqDuvqy/n1HKCWzd5UamHBw3GITRgu4iCg2OM8Wy
Did+Vg507hLjJ3YhkH8H4wYDL4mqh7jYVFZDtuedXNjiV4USO1aYEs35Z2/C3ybPJmuromiNIqVO
+uPipy/hDgSMR9A3XYnwwMv2LIdZf7kNk8GPuIjy6loCsnbALO+zwIu32ILjND6utv8wQp5pxoAH
ZnLHVAC7Dm1ijPYTntQ4Qd7gGM/+TQYyhsGSzTKkMOykz4OBuggaJB3kC3jbJ7iSGNzorrIpdw3s
HyNWtzQj+I8eUCzYcnGensydm2Yy6GGkYaokajShoITeGVBTURJuxC28nhke3poMeMhFlQmJAlvf
ni+7nhSrioCPSObOMy92XcwCFjbAD9SyKPIeZzf6UUkQjMWu4BqWHTwULalGp2qITi4PiJa+tlH8
aPX2/Vt9a+a7d6QMggiGVQbJCDNBsgcjorqtbLFJOXNiFzRq66C2A5Ade1c0hsqxG9rmCh41RCxB
3zt8piSuLTEg00lynuo1bv248bzatkasige3srBGhQRbFe8rv5xS/n0T2Q3G6SRNpSLCnpCg3GFh
1BoMz7vDm0mwu8xaf3GkUaNhj9pUsQZDV0zs4b49aGdRSt3JWj8ZGcJBxSl3CgYF/VW8L+yvZPeF
Zw5H2tJdmUtjTHhCEq/sLUjDVA0pnNh+GxGdcF+oS3nJuRgm4p6yskdXSn4LGgSSgg9yNX7yakyL
ZjGXwlhpERVxcdVu8Q8a/GNwuIGcHtUsboF8sQF7LokxwLFOpLQPoE+D8mA7YeUb5tpt2uiI98M3
3iwW1o3yvtXSC2km9PajZpaRaUUwRhr9VmenF6HfQ0R5EvFA+uIZIU8U4+o0cypAsQJRNLl7diyk
L67kclZzSHv9ys7/zgrZiQNDQvaioR8u8KOjMhE9R12XVhsSHn/HYnfU/BAZh9eABT00L9Bs9GuM
kG09TBab2HyBXseQaJZTo4veFrdUvLE20GIc3JK+XH6ZxXhw/kMYf5hGch+19OY5O6dtCaRjTTn+
+0bOAAnYr1dOALrYBGOqpoXXnaajm465HVEuaLFQXRBUY4Ia1vofpiXOt6S/++/49VsMczVCq+0E
sy+AX5jtwsA96PJeaDmHF41x5LC3QZUmqTXpFcQ7JHwOsa4oBtkhwcHdV2jR+c7O7fYhZ9fOiNAQ
ECpQCH7Xo0xLw2oADzyyedTnIC2w5eV4F+c45yIpas9EVhr2WJkZRKKxGVQ2HzvFyzfarluLqMTF
8KvOfR0Xu2LnAplbofS9YF6vVMdsX4NGefU8+hwRvO9F/32m03VUp6zrKuh0nh7SmljPCaIl2jfq
fPG2CEnLTvQvI2THcDJVT0Wxh62/ngFZjo6OANAbrcC8wNGKWvMda79Nrs+00kwx1OW4pu9HR7T3
kV3WpFmpJ2PzfTTe6V7Y/4fNsDztGG8qaLIOHicInfav2OdAU8yJU23Th/QEXhVe6+MiZ9TcOBjg
CNsyLjKJWuPZ649J4CDMw8ou1ITfvr6/ucT9yyHJ72/HAIh4CVGBViGO8pGcHcSaK8O+nrgAshiT
mIoMRnQL8ZbIGOR4yQe9UU2kksFedn3WXG1jJ7KX+dz396JGM0nMg6STUzU0oRQOUHtLMECF4Slh
DZ4CDlQtFbs0dMBKKha9SCZWVf55x+QoL9qgVXGNVf9UfVqH63tTo21oG37et/ulOuIfkpgAYWh0
QShMDZK25733eWrfDpb76yfBSx8k9pl9JRo3Ml64a5h5k0TJtHRaXGE+WCBGZV2G1nTSkat5FUhp
11fbBJmuWzsvx2pX+f83y/nFA6+leA81MJADyIaiimgk/PNg43HMpVQtRQCyF2xOdL01eR+dxx/Y
AsLl9rtNNDGg8oc0Bv7DqmiycejEW4q2xEoy3PAflnchnyFJvAN4bLLbzsH3H82j6WHkr7LBv7La
4ql1/zMvPX10GYrLYKGQDP1mBjN4i3ut6oprJKJ6tt3Jbq2iEI6oWoTE1be1pouYOBIpmDC6/yGR
+citOMbDgNUdp+wJhWHDAN8q0sHoeRrfnhFXv/ITLQux7h8Smds59kISTkEi0lLkTnGCE2U+Q7qF
u9x4KZL4QxLF9dlpFlk+geQ3hRX1yM/up8mRv95WdreyTl/wgzIlGLTRLcrzUuqCw9BlSbZQHQbF
E0z4T8FNKSt45mUwKI0MXg8jnh5Ap+Ni1b1B4CETm1ZHkZXBpEDtm+8mugI+szfLt5PBvm5XWHYD
Smw7eq0Odr4/Oj0vbbjU8v7HL2Q+Qh/l1wYrsfALuw0KE1hVsYO9TY3fuuAKxNHYxDYfcpVodNem
+QlGxp7X974En3/8COb71Kma5pGIYwKdtUYwvIuahGeShBtu0fP+m5HPvgfjwJMktMrGKqAtXt39
UX7PT+7Ld/3Je94vVbr+0Ihx3ddpQmgXQaNu4zgrqwXxOKq1wfNuqxGFRBhsrLx0Z2GqABGtjxXO
O+wpgUEIr0a6srlV46VHzx+/h/HtcgpPrPf0MzvOp/o+feoOeFjAdtmSHiOPNGe0DSxOAmfpzTeX
yja9CJdAvmQSlbrdjY/xs1yDFjByntS1Hz4MSBNgM1fkjgSLI9C+d9l+hc647T550LYINL+/Otv9
khhhNFgmfsaIIiKyIH6zCrwBW1YtrF7jwCgN2O9YGMu4dw3LzNKzWoR/xnUPEqc/rJCY4A66LWPa
TCnm5SB3kdoI3U2Qh7R4phApRFp8sAWMc2Cgw4ZyYcHdNXY7rHsKMpCWgoxJLPsKCpZkdNNNaU+r
kHzuvagiGlpvHrOMlA6C1Mo/bgbffgRnk93FoMOiCEsf9SjZm3b69k+KV39YGwNl1aWcrEjHnQOe
nlG9wowXduvx/RYHRG6gP/MmRpKGYJnAyQfPo1SRPAiJGXznTph4UfnjGpBwcoSEYJ2GtRnVD46B
LcS0f2jJQFhZWWovBjh/JKNEW4g99UuN0SU6lR7v3nC8l8qAGAYOs0Iy6Kd26OJQN8S0/gN9znWr
yOdBJv3df7MrRdFFy5RkzWAbn4RO6C5XA6eajZ5FsuujHvwQt4bh/pPzm8lhzs8YpACnBzmvnhMk
BFkSEb3D1C45ghaRYCaIOb2rMlyt6NLQ06MOPt103nsEb3BfzFJ3LcLD3+fGIDsyhq0WBBDT2a3j
jY/KNgC54wP5uYZnKciq3d0yF9mOmyxZtMTfktlR20Q1w77vIHnAWrS3X4EXfiVkGuwMAMRdw7Z4
6WbCmIdAp4MLQ7Io3MnuxY7htwLADJYnHbnV/IX36fxEb9HK7H5nVR9hvQr0UshuK6GRXXPfG5+X
wOCdHoPfmhFomlpBirBHdPWOaWj0u6D9wr5vH0sprT+0YfHaasAAS+1dN2xH/hU44NNWK0wpd2vB
WX3RVpd4//zMkbrocmefi8FiUy7q7BrTM+ztbG8+dJ58bh+d6uVbcL4in7u+eqkE8YeaTAiZm7nU
VAYEgpRAci67riPH7+4TWMVdOy4t4uJMOQZCLpdCNHONysJSqo+aeOuQZOB6O3Lzg0sEjH+oxYCI
OCUYQsghqnJaj245jWsbg8UW0e3UFQ55vJ3s5vl7elkdC//boK1DHC9AJdzB5Zt9zW4DtgxFlkXt
h75DS1v/+crrQFt65M+VvP37TIQJFo68biGis28bgPHaFiaMtn+vwJ9pf/GobpZDJ+SdTLysRUky
mSuRp5pwuWJW5aRvmopcd+WvdJe//IxWmzZ1jt0eb94tLWhyTnKpJVaXZ3KZSzEYXSJVLeRGD9tz
c0JCStkgkWEf0UTIuYALKZs/RDHXQQyHJr4IEJWS7CQ9otx//OJc8UVEnmnD3II0CJvKNCGicnb7
/s1wMSp3XGU+L1+4/ESdCWLugFmLmdapIyKDZoXEZE7Sb1SFMLdHewhltzGJdGjczklPrlthBt0T
nq945pMXXk/z0lVQJF3E+jQUkJCawVWZ2WlsRGKg6RNNRlWprdTE4QVBi3kfRZbxGpPwP5Wl0r+k
aXgRW5PeNu8Q9G6Apt7Gt7+fr2hCwQgw5xsuBV1zcczRKlqZjGMJcSlxPj4msvfBPp2Rx5cVt2No
8Qk6l8UEKsIowIlfqGp4A+/O+5MHums/WKlgOEHynBt/LX6t30fJPj4zJH5NLfvfo9TtIUcwhJf2
KfQHFxSrX88RL5dye9uxUDnTkH1nZkow4W1g4H7HRPlMp40guTF2tW/M7cb1Md73izwE5HFDKMuQ
rm+eHaTyvvQDaNF+hGAncThfdwkE5r+HhiAze5XNRqgleuJi7jaXre8fIvD3/ny3R7RCftut7P2j
IV59LpMJa4RRSbTsgjPYns8RksTk7XEjr4JHTvjEU42BcFMR8qbOIAa3v5Ow2ioenlv5RyjYYuNb
xsP9k+TZLsvYbyh6GKLDDjf/FBK6CM21Envt+wQt4HjqFXbyCxhec3l6liINRUZDiiTRZLDOnGaP
WiT2hgR4rAhgViZnkM5h2rEcyFDbKM3wDGYpJp2LY0417+GdLheIQxDVPwyJnazs5wBjbOv757l8
NX+rxTjCwCjL/kIN0zgc0aCIidH7f3/R084VYdyfHGQxCLcEKOIMsh0dJV8/b9RP7L1fhXvucNdi
jD0Xx7jCsJX1xKRQg6W4meNU6mr0Qtsdvfd6vWk/Vtzx8SWmRVyz3yfIAHeeXE2MSEBBFKoLB+t/
sIOIUkb6T3R3gE2r41diuh3RXd7ZLj2P5qIZHB/lNJTNLJJOr6MPd4zljemV6DzT55gI26belOZF
KSscaXu8OiCnQIMBB0IWX84zRQyq6Awe68u1GieseUEAQ6kqQXBu02HKg/kA8gjs5vtxxKrmL+63
W6r5z78d252u9PE4lGaIA3Q6V8CXQ9bO54XtS8XjP6Qw0FFMstb0BSzk1fnIEoI9zeGTSF5Egt6J
0KHbsXjhLf2Lf3d/f9kkWyYczKFSGgvn2TVEIsF6ymmvBioIqLl+cz7eYslAwd4M1FVUdNawVD3J
1Oj1oOXSqRttR3yRaL3qsXyyTY9H37fUbarPRTFg0ret3OtWJlGX5ojhOsbQpNvtN6PkclvNFhF4
phaDJKactdifUcA2zk7qNivFdsBbxnkcLEZ9MyEMeOjX4SpfOghxzJqIP/XVMX/jADD1FH+zhZkI
BiR6tZqytMHnucIWVqF7upDaNtfGh2RvWp1L/bJs7b/lsXBRV6LcXE18I9TTlK20qp6q3K7qyhUs
J8q3w+T2V9J4VuqAWF+uMLmpJG7ZPd1X+xae31GbhZSiwM4MBUnT0/biYtS96oEqdGK6C8lr4GPG
gRSfhwOKyU7iaaCX0k/xGTNk641br/WSdGtE+dyenEXAnp0NEwbqeVF12phIp8ok6XU1TTZSTSP5
1nOOW+fdFIPBHKvWcFUEfIVCdiILY6Wr6Hm1ednUFeFy71ELunfUTKyiZZ2RxyOOmuZFdrt1ArKz
nvgPD++bDZelcamHb44B7GBMLEw5UrmQthtigl2Xia2egzcehdxiZkLRDAW5CXBb6Oy6c70LW6VL
SlwbO3xUnNoP1sqhWA0HlS7dbfCoRb0M9RPlKyX6y33jXfaHM+HMnY2TXg/UopYQxYDeeLfX7T2i
3UOL3FbjDjatzq8c9fCP3MZvsSzJRpVJdYttWNJJq1bF6tEeQlvdoq2CLhf5RwXg2QHfKpYznz8E
UqsEEg4YjSy73isJ1m9ZvYP8/5ZLfrZoobqKJBP48dC0w5ynpoB8Ihgb6jc82dVtPHgPPwnWiW2O
3yBKvf/1lh3ib2nsMcZyUHX5eJGQXKJFuXAzfNIR1bRy0EfAkbXoQGaymMjJyq1q0hRottsloaNf
XVVGE23tvbQfxxRrYXyex1rOi8wkMhiWNEGhTQ20U0jvFbL9sAG9rTu4soXijfM1He9ryPl0CgNk
SVMF5aRcpZN39YuV6h1FznZt7udi4CvO00nIrpDQCM741IJfNsUGnfWWNzW4jMmzk2PeWkWUqEpX
4OQcpOliF0VijEGiW55Pjr4Yss8kMXFSewF3gXYZJCSTzg59qZ4kcqpfSnttPvg/bDvdr46Ze0T0
yeuzWcbNmWg2bOq0aypfWyi5/dh9eKexJtikSOxsFRGR9uo/r3iwxbsDTBA1pXkVqC20xblqki3W
JH4ptnT6/zi25Jhsus/y875VLhYewArxH0Rht8tHkhEplQWZoo8XOtrTrm68sxpb8O1LtclsfhJt
MR79LZFNonXKtTAiDWb6CvKeyEa//OTX68unyXtW3q7U3/z5TBKDKUnzn/PUSrBSoMLhUXR+7d/R
lbQrPOugHX4dTtgq2b0MKyFCg1C51q+oXvHet9RM7/0QBmrkslWbQaK2BFaHZp95BSj9zrePSilO
0cvB+aqce8Pylxhh05RZghvaonPf+2jXFrkgbb+9ItLwNvonqnQciYsvtdlZM+CTNV1sKUNHb6q0
x4Lr8daCpp6mhvvKVnjHyeCPfIks0Zwgq3Ybjy6FOBcPo22Cm7kkGKKTfJC4vQ+u++aroBTCbA0W
4qL0YznOlnfQPGNmAEqTVV2PQlyf4oHa2OfF1vcNLiz3xUh1umdCDBxJaIHPAws6g8he9UGbCNa1
5K2Cjyxc+9/aKwNEbSBJhWJAWJLZu633WWt2Vfnmo4Ou1MSO/wnDtj4DIZUJa0rK3aiLMNctokO8
62Ji2fCQqwDZpvt2egt375wjuyGzuoyqVsbUo7w65SbaXxJMfa3X+8KpbUEjrW8jSNxmdrQD42a2
++J2xd42bNz7BQwqhXmQ6Ho3wk17uy22vuz2F/szJulmTUnh3Wy1qYjsvb8cuVNnnBBEY2AozAez
6EPA0M5BP+7ljefAlmhW5t/x9u+zUDjoJaxulXp8x97boVdN8SqvfLlaruWicwqvtuP1s7Dt3t+g
BdT/2dtPh6fc79CR+hKBwwcMHf7ki/vH3sXG88xevQ5Xf+A8qBczq1jDqtPXEBr52a6g+NIaQj2K
FKmEFQaYs/XgXFJHiz0hI9e19bppsG59+8zLLy3WpOeCmSs89JHVSuFNsPiskSImGPg478QR5Aub
7l2sdxit56UkF6PCuVTmLtdhZkk1yIZOyAye97v8kIa2lKObTuVcrcWwcC6JucV53OpgSqKSLPS5
q3bR2j3OcqO40s54v3+PF/tAZ8LYTiHwandqmULYFiNIYe2lH9FeP+WR063t0oDPqd0VVoLlzqP7
qNibwl3hYusG4fk9WqBlb/P8dzC3WYzw8C4bqnQTOcIhG4ldbSiL0X19F1/ScznM3ZXCoh5ya4K+
GCPb72v7gK1XvmG7ZAPfRuezE5tXOl7Ci7lM5snStWUf1RN0Gzr700tQDEDD9obLkc4z0Vsjzgw2
ajX9PxPdtkfFfwfl4LNp8zw1DUDufSgmaMiTKdTxsXCA1n63SzGLjY7dyKJtrV/8miX9HPekMXFB
0pe1HgWQFjQE0/WbTe//qDbPHOtbCvPmH4hBFCvu26INJekkp2vhgHr0FNmBwJv4XhoQ0udiGAjR
OkvuC5Pa3itak/ZoTVofyNObC2olMApt+YTUvG/FIMk0SMklyei32raOo4H44QX91fvaizT033Kz
Kkux60w/tgljuGYZJsAhDixKlldsMSKBfTNojrh/hxdLiLqOqSddU2VJY2MPadIiSQGD4amcVgZN
4yb29HmNnJcNSvgJYg9uBmcpUp5LZNCplUohKiUFUeO2QROxgIYFPCaRCXt+FjgF7UVbnCnHAlQV
TV13pUaCU1QLW8Mhvt4/wEU8molg8KjRewHbBmTpJHSk3mlvYNzp7BgLb/+RJ5sJovY5A6RiErMk
7qHL1Xayp9JuGkLnaLdcVralqH7+fRhQasPI6IMY32fbBwRR9uYR253T/fORsgdxK0GLdj5TiwEl
QRHaZBBU+CrjZ/UuYSFELjmp6CB5wuVN5FkeA01R1LeqcTOHrfexn0gNc0AFGfQG3NcDTy0Gnmqx
tEBwgEOsHLAUTU7pGy/CBjDBKxDS2/I3UJ+dHwNLIgiiS7PVaMZw15+kw0Z2XqjnvW/li5mnmVHo
TE9YWcWNGRcQg4Sy6p93Hx/7NcYwsOr0wUVF8sXeRv59kTxkYhkg+1QoejGFZYABctfgKSu7UeMl
j9sqIXgM/cuD1BmsuJpNp1gixL2eBaKu0V2Ajo37KnHgiG1ziYx6aKUEIqKEXH+J6Jqwe5lnEcue
ERVjg85UG5rFIFI4YpFMCsZfvKgCH75x7a1/PcW2D8cI8iUbC0n5+bPFiHMmkwEnbHBU2yjUcYsx
/vXRP4yPAij+ebHfLej6u7H/Vo2BpqEd5Ki+UDEY3QSt30QqD8u1kasKbF5zDQWDe7IYYMqba2/m
eD2cQMYvHQKy4T76ls3htzYMHMVyo0lRbVDow9vkvKvd3RCB1FfZqed8X/nfK34Uswzuv2UyuIQd
Rw3466EV0o3nRiZtRAw3+xFW5Ih8Ncc3LuPtb2EMNk1yq0dtBgWpsF28vn+bFtPE+l9Gp4sMJg3d
NUlSBboY3idaqQ+HdbGi2XD0/ZXY72ZzxC2GzzNxTNxSmeo1mDSIExBNnK9udcy2zSu4XByOoCVI
N1AcpeTIKpo3GbsQr1GRjejGwBivE7w/5Q4S+5hb5EhZ8lBzKYwlDJgiSPMOUlBKsJDUV4mruNiH
x9FmsadwLocxgiSrr8pYQ85tjwzIRk5r9MNi3vfHDyxS5zWDLjanzsSxjiqVJ9Dw5xAH7h3HCxFP
nLy9QTr0sOzGZzQrGGRPRxnI4fI+PlUaeXLHhwZLUzESvCp2z/Ub+I7uH/VikmX+mxjLybESuo4u
9IMOzu6ECXuCdbBoGgIig4z0y3rg3Dt1CbvmAhlfpg1GqqDGLiP6kP10JOoHooP8GxWGq7vbk3h3
KO3MO60PB9DpD3byihyfZoOhPbfQyOpKrluQRxu1Mx5L3xIizH8Y45sqbRDkpsQPe23QBmLx+QaX
8G0ugHFEY9GV3VDRo/Z2FzsTieL/L7Oh9M7zRovpj7ksxhv11lBcRHpP0bSKwUFkQApnfQLhrfj+
M3nTSbmuMG7/Wge8FjTeKdJ/nz0F1PY6aD21cQU7563HzL1vr4vZyLliDADJeRZdxttX2p4/Iix/
PhjuA6w1waZ5blpiyQsahmXJFrbRgT2AOUWjlcRxQMhyaroN+Jxkr6UfzUwfTIMTxC5GlHNRzLn1
YteOBUZiTltwDH58FA5YbVzLzx1MLnPglacVc4SgHo4GrYAo0X/dfaqn1OPg6mKrzlwZBr8nrcXY
eQYJ1bF3MVlACSU4drDsIn5/Gga6LUrQb4QQ4VDcwMLWNRp0+D2wi4+LmSpsV9swVaqSWD21Z88b
d6do/4v8pB1OmFn9HlerxOd9nv8CyX+pxnawTeAAGsSpg1c67zxwLgIL/SeEyHRwj5fxWKzvzPVj
4DiQzV4fJOgHYoxT+RyScJNFaK4nqAX6WLdoH6uafIP4XHii3cxfHFtczGXO5TOoS6d8kkmG/NFH
xwJAEc2qeAXwfC81BzZinothsNfQWiOYWpgL5l4uJNy1tF7Cscn/Arq/PxwDF5kJtomkhi5Ig2Br
Nkk7kEomJPecym/tzTfG6J6/Y2wH4NyFpehvrhyDHRVi9aYrIRfmAow33/uV+Hn55InhnSGDG+Pw
H+jdOubz2SK77ke7Ult0pSX4amAe9mn3DEe3pdfbXDcGSnJpiDI5hm5YerDDsr+SRD94ivHOj8ES
XQ/SqqLOsiTZk4oKyG1wjWcdy4HPX9bB0jVrTZN2pgIThJ1r3voz3WBqYHpAuGfZuN7R4XFjd1t1
K28xI8E5RY6GLH2zXmgCEB+QsvWkbbix7NqLvS2oFjlylr3/bx0ZNEGpWO6kCSe5RSVzaMlVoE0U
DnJZoND8zFtUw/n7GBcnMWY2whI5T9YgilYH7ShrGnqPbkSF2H2GcYyfT/7Duxu5t2GMC/ehwrkS
7BirWGkjStP0XIfJ8dZoLQTrxlF4ov39YKzmVuN535FBmPQ6jUap4HzRmoH9scoKe9gvNrr83+mu
htBDZxd2UN//qDx/xFI9Z7JRIbsBJTEbDBpI+NrTLx+UOQ8uRvJ5R7oozZREU1NUCS9aXWUCSCvJ
hSClKu4mDykidBuQ2nnT/A00RNst4Wi3dKRzeX870tZUM/oAAhPeBsnDCzmhNdwZFaLZj6K3sTGo
aKERhpfDWYrCMP1syJpCg0tN+lNPOauifsROZxit130YaFCveNd+yTrnIpjbqCV1LCkXCdbpOPvP
q3fkgPNicDQXwDrvyQplLYMA5LzoIwNtGXg/Y/7JxcwJ9hlx5C0h6FwcYxpC2detEOPIzIb0IXrN
f3EELPa4ziUwxtBp0YDxD0hA1RiVu0+S0wgIJIL3jY4rh/HYoCPrg66HHLzsz2DOjOyTbzwj9AF/
AUcU/cls5DNXifHaUTxmSHPdVHIAjJkn+WDNw1XiZdQWn2ZzSYyr7po6wl7ZiYITugWlCyja1ZYi
f0Q2YPZ1+Gz3S8HBXCLjuE2jLxskVfC5aqKeENDxPRrnmrI5m7KtolS7QkRHG/QQOyIaR8b6DT0S
z9+v978Vx77ZqkJR1UpixAMOcHSj2DMl/kLoZbT7C3XYSkIp5JcyD/CNtNYVm9c08Y2BRILdxHYt
gU3SyBzZqYbTfcU4QMQWF8pmtIorPUSwdSSgpdqsbN42h8Vc3swWWL+RFZhGxr2iGY/zWbdV0FQC
ih7c+PSIrcxca18sZczlMVChdmlq9hSMnLN0Fr9L0qz36FTNffVqTxgvWm1KibzUEXk+fnGvGu8z
MvihXSZ1uo5UuHPF7ibK2MjDjaVQbq4fixtDPWayCEvB6MTlcLHpWrX86XGFVbLocuZYPg8QdQY7
+jEY5SyiFnLeDaBm9E6mc/DJ4L98ccKZxeTEXDEGNC5Vga21Cm4Z2N2V1eWn9v5139oX49GZBDZn
MPVYmYDd0lBmB7+rrGKC4eDjgU6eoG0BnXv+8Yplq1teZZcD9WzioNCGaZISHGLsP3ObIXnwzs7M
Skqf1mKHv/7qaD+30Rr5alQj+5Oq2VkGujukebhVtf8SDf6FV+w4W5QFpiaEN5+CvBhWmoAI9jN0
38HZ8sO1L2ueZ+ZAMDtAq4B6fDASGtE0T/HTkccnzUMpdogtlYwmQ6MOtfMS8UXq5qsL2ZE4JEpI
1B588V2KIIB3m7nnyABGlaaDAkoIapLYcj2tIocu7v6BZcOrZ3Tu/MvrzC58Evsh16cKNwDxzc6T
nFONfcMaNoWvAVVfPKji+Gh2x1OgXbU6kW/3TfN2H9FX+Jw+padyDaz6/3ARGACpdDnM64GKcxAk
nnevon+2vESyw5IEBxTEYmydvA8pvMvHJg+MJphAEXtDY2RevP3BV0++u9ncBvS4TG8c98KmC2oz
VsbCgIZXNNWcd7sAZebSXVmJ+8zbf8EJDUzmjVLnbTupyu3bBU/lA9IDvLrOYmV+BsdseqA3S7Qc
0GcQ2OLxWAaj+jtqW0eUC3i+ZTGbOhfFvFDSvK5GtcA1Q08XiMnwNkf6NsQS1CfzgZCHd+xJwbYe
7Oqhi4F4VEI8cGGXP6GbOAplCYqCEMLLnGbl+7aLDim8YGhnBecRc2NOvvOyYPMCvZb0WjpCXGcj
UY3UODZEDwQjlk8+eXsofiDuOo5vx+y5osz83ImzRRKH+WEzEUqWG/pgGJCfkgIdOKoTxOQbjwCO
nryAwWRiE7DOxIKgUOxEbT13I/Ta89LTXBtlMGXUBQNblqiN4okxrRT/BZ0jDteJ80ITdp+ThFRn
LNWQ03hnNI/g3XnKUIkOnMO6JapDUFy1XXuVCjYvGcEzF4tJePTgHJ1SBaLPtA/H+1xjCRq8wrCi
m2X94TnwfJ0M2JnyYD9i8IFctsLDV3YlvIwPgzgwCBkbpgxL0xRDVcTbvq95hTK6gBK0bNqHLPO0
evUxpmDAuij2VXVjXmMGE0TfZFnYYyUqliwamsY8ErRyaocxaLuHVEQmVLJsq7Ds3FPD0b7vICiw
zO4iFYQmE0O0kDbTJI2dlg2GC/hvJLl7aLv+NTTH3LMsQeEIsRaOThdNSomPk1NB+fFnzqqTx6oM
u8v00Gil0Nu6MmahnRW9+pkFWdU6WiIUyuOAHTjZNkmS7mApkWn5aa9nxq4MSlUjZqOYE8Fi5ahz
LuqgfyltpVVuoBnxh6kl6KhDYzE2pAxWO5EBQwuPyvWKQkotSPUhbwpsT2mr0noth0j5Lsey/gnC
g2mfJWZ6KlK5ec7aUXCzMMjBD2AoKEDKQ4+VfkqZlU41dddDMnb5/or+dmSjDUvo3F651j/lokw/
8zGIT0kQZQXRiqp8DtJJzWwMWus7BYS14Mnum0ix6yaOzlEqizUJ+quI1uToOnrydOktH31vmebl
fZnGJ6yuw8o6JbPGXQOmaNWLYlnYDMgIfuog3W9JVLaKuJPqOHvuc2EqHotYkHJ7EsewdaM6UNEq
lF+FUyjG6XlCtuPjalyMNbhExzMAKc2ImHRFaStFY/4okiyr3Ute9pIjBGUWu1nfdcewlnvRG0wl
kZxck+oEE6RFiURQ1F6wfb6T9ZfLhElE91IkZUAkybJ+RHGppatuGBPs2esm4blHXQsZyrhuS8e6
RFLrpjVoMcnUa9f3uAjLad3h7HSi9VelXY9DmEsc42MbR6iJGxhCQje4bmLDx62SOLu32HwdXWTw
pjzomLYbbGnsywtRS/0aeeJkXTNQCRvioWtKZBjyzIqPbdkaMQ5EKVTSdyU+hVRb/cVWRin/EVTZ
YBEjTeQHGRvNcluTiibBqWiq7siVbvZuhiQ1Zjj0ODeIlBrtzkwNMScx3t1Yfa0YfW2roiz+D2lX
1iyn0WR/EREF1PoKdPdduKukK1kvhFag2Pfl189BEzO+TTNN6Bs77Acr3ElWZeV6MvNBYiXNoS7n
6kcXzHXlKVRAfhllmCde3ku49nIQCk09iRXdD6UKPog4y4wbs0uz7iiavh5Praq7ybPTdMwdrKIQ
r2MzEOIZEwvTQz/OU4EFXU04l05X2QKLpepaTjv98Bu6SkhuMSxLMKFI1kkaPfVllPNp8Adeuu1w
4nZ07KtfRprvReBLWnilrJDYppj7qSQUiVwZbgnwLDZ8hKMvdWi+zgYfHaUafpx0SQ45fCgn7sZW
O1UugYkyoCm6QBjHQqCmSpgKDwOtdOv8tQZdZkRgSIRg2DfJVxZ4tMeEtzQbfSDCJtcWBuYzcf77
OpFVeAkZtilaGWB8LAGrwFYKdOy6puhiOvtcsKPsCzcS7V3XcKTPp18qiHbezBY5RoiEceBKWGtr
P8+8p8UcEr/gkj11AdVHUUJ4s3rqn4tsFq4dj+RwncdLOYIJItRiklPM+VgbiVQ2YmhGY/bjUqsD
6zqEuHXR3bGGFl7BmLlzcausx58zZQRXRrkp0Ji/SNs7vdA32MlMrIj4kY6FG4a0fFC90XsM203u
rrO2CjT/m5QpCYGKlrDoK/deDLataksTn2CZ8S3j+TerlWi5jDGKkAbz/Jhzs3VT06iO1wmvewX/
UMb2XSAvFcOaiD/x/TsmiZHHITaZzD6m3ruqsg5E9jdDp14wqsadqPas8WPfJu5s38ZFMzox5vA7
ZaB3Qu0/l3f+dG1mEjgylHCqMHX4/LAVsRuFJirTp8wmLrZZ2JYjBt47esyrQ2Sa4tCVNXehKkd3
muPSVbpvjlncJfhfxtDJhv5XFQvqdmab32cdMR4ImedP7dAMRyxxqj3ME01v83pUN3kVlR9yADSd
KZ+CY57p6lGGRfvh+uFe+k7gCcYFlwenRq1zj6SMrbKxOuLb4/RYWtXntrT3mj03hBTDi5jCsWGq
sVwPcSinuO7g0Yz+HLbtg2WNgQd5jr8Lq9sbNnVJihKQoibqpwj5/qQS3olKhuF2BWZUWH6RVNRR
rJ1ummzOXIoi7s572CLFIQdMoeEcFmMVGZGcF3qE9+ArduCD2wSnIdt53ZcuJ44M9h7be2BWscbn
XOAEVRGOVdl+TeLq3mqb6UB6xl/zzG7u4RFwh3e8ddnIQ1fNUx/t0F8DlPDylg9gDN47GhYkXxmr
WqU1swPb9s3xyLAx3QmU9obku0Gpp6ZDI8sTnRunJMOxDws3n26vS+f2BygmpU0V2BUrmyEzaauM
LydAM68bw0PSYcA/qe4End9M8qkyq9tc2L425BMZGqePm8P1T9i4ZrheFO9DUIENmiu1V3WgP/Um
1F6R9Z9qkxZ3WqSSulEQmPXOgW9cuAXvwAQZPBeMeT6/8MEWutW0JX5GbABxtZixpLSn9CiSZngb
jDg4NFafHHOhM9eeVbHD7KX5opa0gXBXlgWhWxf8ZDQaAaSJ+H1jqns2xf0BUt7Ap+Xp1zw3ih3t
c2lTQI8JE+NlKSw1WZmvwDTIXClG/DjX/EaYeX4HAGB6lKHVP6dJkD0awUCfZCGqHWW+Tmwsom0v
52xRZWGm9tobsZBcHwD/I35qoQ+2UC+Tnt4KAzPOugH9iOolKqKPjWbuTKudW97gGqSlRDi5GLS1
JY1DGo3SANcVyRenwA36fwrtY3elU4rSjZvTdRH+P3j9l+Ai4++0oh0HlkU7EFTV4BjVP4lMjo2d
PckSHVW6uYuj+C6vqtwZhLlDe+P52MLkuF/4YggIrHPSc5LaETcqy+dYkeBhdqvpJlmPyZxIn+2Q
ujRllArKsSQQgBITWYdzUlMcR51d5ZZ/RPuRe/0I1zWERVze//jahsVlh8mKKAr6Y1EgCHfysbuT
OX+Yg/QniZtHAJg9I6luyyp+HeboYH0fhv6zVs0hJMYhSLDAlczOrH9b1XQIB/58/fs2Hi6F6w6v
bHE6YQLPeZcTF6UeW8tnduT2vHDj6qvOkcFGN+p1SovKP3eCcBDvKK1kqZsxkyQfQElEh9LwtHCM
5yi9/3Sdyh4/K71PipiTig2WnyS9R/qHlrfHgN2WSnj/ASFlMmh4E+7l2mHgZaWaMagtP2/U41B/
1W15lANzmLmTSd3iCAYUndzCBuppPVqR6XE0JTa/+6lOvZx/K0p+Y9vDwUjEjqxuvQOElojlMLKE
2Ot0mAqE6BkNbZ/pNr8JRfYJfkR/c/3cNiwzs7BOGiEHnhq3/sCj3ukUMzG4GaaJ6dtNELqD7IZb
7FoLZ6fmVucUMZsPnI/NTS1FeTuVXXeY4IY+DFK1nxQV/c7xXjLN4IVBk9tMwm6u/dg2Mmgf1Qnx
m8aaHWwAbk5W1Sc70nKpzRj8AIsiuiOWRFPe+TNLEgHriYv0s17fzjx4aNvuNuQ7nuWlfYADC1Vp
Y0ctshLrPrN2yoxkSYj7idUc2qw4ViVDFm++n8j4LaisF3vcUZ2XwsmwTwLnRqSA673u9cioGlRP
TUQ2GCH7YpZN7yV5wO8k72bfGPj41yKKKAquG5NYMwEuV6raQMJHFnMNt6618vuo4I3f86jY01WX
QsEJpYjF4WDAiV4HbLoWBY3JSP0io8xradKchiL8+/cmkOWSWBoGoVCQi3OhSI066aMGVCKaMS8Z
kdEpukzuHNml6IEKtt8iw62QWVjPY5pFlgdja1NfjkHlI3Q0v+Ptq5eqaezD9bd9qeIhxqCGFB9n
cALtc4aazJxjnWrmG2WrT6zMYLFITm6y1LJPk+6nt8jo9qz3Fn82onzYWWTZ5Z8i0Tt9MgYiyPKi
ZX5c0z7zok7rySHIMFOHNkXIdszYpWgIibSJgs6HkkRwc85jkU9YST5UzJ8zjFKQ/dwdu6bdmxay
xRTSmwqhKPIF9jpGVGXSzxVQsL7A3IliflJJeGNqa0crbd0XondpY+C6wFqYVXEpo2XLrDbjfizj
xu17mt7y1B5uZFBE2P2JYkAl+3BHSDZYUzg3+O6oKDFLraS+oHzsVUeZn/Cy92QUjfeIEEtnMlW7
Q2rDfxWgpbDe2kJ4gukr55dlTyypaaCYX0mRnopsMu7TPOE33Kw7vxN1eJunUXczGdx26WDp+2yc
zD38+YbFE0h7AcVJkcg0IannXxGPfQjkas59RXJEBeNdS8MDzf/hqc9z0ynM1gk5KheOnX0Qu0HD
1nnDnsslTW0j77D8+bv3UdaKhMFMmB8lInZ0E40ejabIge9d7pz3JinE2qgVYuU2YpRzUuFoCKPr
JPcljyS5Z3YzDs96ilPLUUY/2jvDYC6fooTDSkyquMWp+JP+e8dZlqZRRRub+0YRBB/rVDS/yjEg
OybukqmFCrwDhlrhMlbnnKlm5ga0K+G+Vcv6m9Ur+5jaKHc5cdJ0Ow9ykyP4edijpKBC1/D2Qhgs
TY1U+KqNBoyDsZuhOA4F8P47RmGTEBccxVwTUdYa/GNWkuVNj5uCsc7f0kBkN8Qg5cN1e7DGViD4
Wawb6gISWQk8wZWCaTQKPgWPA59hf/EXVaIbWerGeKqHur/rBkbuw3E27/LRmA4a8xmPiSbZqcmy
7rUy01uqMRqSJEF6ELoKTtLo6VfSJu1nXU7lk4gG7vV1m/wUKC3uqPmNW7clpZLiKggx1aI638mW
GGqE/nET+CILA7cIkU7lGfvA0mnnyjd0FB4npAu2C/49W09R7cSICiyzAr+F+TIdk0TRFw5bnR6Q
N4l/VAWvPtKoq3rP5n2UHyXmw7z1CSZN7LC87qZdbgsOKtxhSARK4utiTpGi4YLoSPqB1Gik1WTE
kGeME/RkmBwrLYIbjF4MvCSDW1cPRn1op+AxzlT9NERD8pAm8o3W2r5Pofh3wtSN64D7An9sGVkD
93nlWRCz61XbhdKXHZ8+8hBlySILy5cZyZadp3FpFBHNSVh4SC7S8WvEZtstWa68TB4Glbk8+2G3
oVN3iYMFtk5Q/rVyUejVNPECEYJb+Pe5mE122HSsENlDIR+5wsqJ2eFiZ/Pu5dktJQdkB5FFh55a
J4PBCqpriZU8zDkqs9lo/qRmP7s8RM7q+nu/iAZspGqQQVFgChHVuohlJyoHmKpIHwIY06c0iZfU
ayTcNGD6Dk+nP16nt5jvs5TCAkRhcgm/UR2ELjs/vYiIrOhQXX/IM0I/TEizeD3tBAbUDb/moGVA
p7SzZ0a2erXImO9Qv4i2QB2OOxLd0A+oTqwMQ1cFrV23ffHQJyF90Pk8H0prHE9N1P5KjCh+KiJS
u5FKzA/X2b6Q0IUwHF0b3gRsxbp2Z3eZHc6ZKh7GqlezY9thSQFeCELTmSzUi47Z3Na/dDlOf/sK
QRgKCplmxHqo+6xeYWzoBiteovKhm3PgTOBRHiBOsSPTod15GJdqcaHFiMksCQ0M2NH53WqWayu1
s/KBVUPg5XWp/HaEm4YdCObzHJHot+w1vQvaUWOFaRhbzybGN9xcP+n1ehb4FPgKgTopiohQO3/G
7L4zA4MMI0AZyvJhNmv+gRqArRA2LugFYeMAuvlBD1N+JKToPmQM09ydOE2mF8xaSJ1ZJfyuNZg4
toH6boVzfpzVdBx5bbjo1Su/Xf/Wi2f+51NRcUDhBYm2tfYu454pDPUqH5JA00NqycccXvapzKX9
/TqlC+cBlKCHUc0kNkHNfVXORNknMbnBiodZmbFX8T51kGDIdvTwpTJZXhdGuVKJTj/U5s4FIJZN
UMW8slEBDbDetOpzC9nfmmcvbUP04PK8ZePtdc4uzxADom0LrspS2wSs7pwmYvEpxavmfkXncP6Q
VwnmN+XAF1VP5YiVk4e/JUdRFiaQLLxnqciKRYYp9XPbpdJPhg5AK4GqrXzAnnHCnJhEYfPXaI0F
foYXhV9QsGLrXFdJ66YyJin80Ers2AmI1FhKwVUU7njml+dIwRJomLCfcP9WjxciM9dJHkt/BMTP
ZVJgsSSgYsmHIYhYvCMol+J4TmxlBZDBixgmTmNXM/A9DiIqLEQbtfxrbY/QbVllCFOD9aZr11w2
RTRnvSH8GLMKTvZc91C2zOydmC7D3wYBZ4G1FB1NNk92QEaXCh9uKDJeKMTAWYBLvRLLQE/1wCLl
z3L0yj64j8cY6IDm49ybp8r4eF0qN84T44Q5F5ZJJbnIVYbtVAwaHqLfVekknImR1HBbyRO14y5c
SAmlS4yjQIWIJWV0zhaVWPLZy7LwCU9uYgF7jT5446CsvbrZHqGVpeaVtLGGpSj8lPeelf8uhhdR
xju24uLYwA0iRMJMLCjA1LBVrBMEUxPFwVgANtTqoy6Kjznpsp0M7yaRP3ArJM4VIpTzI6sjIzUC
KQq/62MAGVnYxY8kzPP8b9/UwsyfHXVIVyCht7oaplKkjJQs/DGMg9shU7GLunKzQ2Ut17DqkGm4
MQB1ERRyV+o2ajPMaERodM8ntzQTt8OQ9kAfajGdxvAvVTtoAaaHvdkWEjF4mKuTG/gkWMkCdp+S
Z9mObuWJtvWuv5wLd+EPEb4U/BQSIICRnF/PlE5LpkLxe6K5AQxrpN9mKvK3HiHRXTWp8EuLWPVu
BkbvFNpz7Eq7oZ9Jx8MXPtbpqTNk7tQ0bO7yMq2x+5f+KAplNw7XNOQ7DsPaf10+lgEFwiWwoTA/
y+28820Q3wVazjm/D99EeTiyk3noH/p/rh/JGjsPAAhqU8g0UIHqwLJRakXFnqdaZqm8hyObuX2m
0AlZVeYRkGxMhg3y0cunujq0YyU9LePkkTfNeDJanodICXbBXWHJ6oDNq9GjwIrXB2HExceWFO2r
6sf+BpTJ7TxHgfbqJiRe25oKy0OnjjUHKoDvdiITiN4dzbX2TcCUWjLdUgDzibzpSqEAXJ3N48zl
PcUo9qI8mVZza3RfE+Q3rh/fHqH1HZEJuI5GyPt+vge0wbUH28nip6R/+w/owIwiQ4isNoqa57c0
W3nbxhR0BJuww54fVB5/LWl1GGdxvE5q49EjPPyX1Eq1YPRHQbJIyvtWdc9Bxt9EdWynh5ZhipE1
7OjLPWKrizJEggknBfjCzDwj9B6M+vWm3euN2LokBYNoAuQHKV/HY1baxXYP1Pd92s/Y62Fn+W1T
1PJGTt0jFZO5c1fLXbyPehfhA/wD4wdwVfCuVs4V6e0Im+BAbqjV6CQ877zaivfGU6/nMiGCMO0F
OG4KaxH0NX4pQc5LK4w59AcrLis3ZmFQHvqo7T83YS+wOVoM1rdmaBZdOqXR6I7N1HUuGa12cpNC
dR87SfLIq8MhDB3k1e0Q0+2KhNro2pzm7z3P0heOQeX2IU+oFcB9Cm3zBylrGwj9qasH6aHog3A2
tsJqryp2ofy4iZLYMosTuUmgC1cPK7PpODPNjHtA+KtPvXD4DTFdQ5+CZucJX0SyOEh4uBYKpX8c
x3UXYtlwnUvZhT4GcLTH6rFy8u9T7d1hIuye/bkQDYB5Ubi0kCpD8H0BxzanLg6EOYa+0sDk9PIF
iP4bWjMsE8sNpzW/9lXoFbZGZSz7POM/aTx32vWHydjDbl68vPNPEasgMUO6xiziIfRb4y4jGq5d
dUqtkxikI4z89Jc65Q8xAXMGkDgGD66IDW0xsaidQj9OP8e2cein3330MS3S+378cp3U2pfEbWKn
CwpXAre5NPWca0qjxSDOBvBw39SVZwV3I/ocpujpOpELjcLhPqCciZmN8I3hUp4TUQxzyUghYr/O
5EMXvAVmchqiDFe1E1lcwJPADiiBFwX7Cz9gpSB7pYIgykaAyEzjngksZrMRZ7SVXXwYKns6JWMx
HlKThUcemsnzGMnmOEUycYZI9if041gvZABsvTDhWlfwXJ4DuPVPXW6/Fr0SrwAoY9fZ9dNZzwle
VJNC9R/l7MXRhiN8fjw0QO9IPMTaj9B6Q2/N0B/ZLeq92bO6M7Fk51vzMwi8Y/CS/8I3Xye+/PaZ
9v1DGxE09C8uZ51N5XkQNSYKE36XIefmNoU/v2BmhdKncXCqHXDKRenwvzn9H2rYv3XO6RQDwo75
Jtqv9M8orG7jcvKsmZ4Ek0eh0Ik03feJ9PLP0KWpmHd43SSP4jA6AVANRKV4Rb5C+089EaZ9M+sd
WhUApQUoX7LeQauSU5ERZoE9M/ZPWH/uGupFGgi96+e9oUfU+09YPYXCTBKWMI7znr6F+k1gR2Fg
eH1LXHsPabVhExBSLcBp1PmWMP/8sKNR0BJxtvaD6Waofo/B7IT91wxdjlb4iSV7LdaXj9xCvnzR
1RRRMPnTuvXO/x5yu01rq4t8M/Z7yV3M4/dyYMJZ9v36EW5YIFCyEP4A2gWo/joskUEcWhoetN8f
mWO51UOKpdYRd0qv2RHYS+2IrBlgC8jFAwSC+sn5EQ5GSWRBbaxyHayl48LJjE/ZHpF1DzPeP6gs
m7VwSUjSrUuy2mxmVBDD2B8Oox/ccfeV00PoGVh8qHcsy9YlvSe1iOe7S9Jp3nZ9ClJV8csw3PAl
V/dtvROJXTSqLAwBUCyh1OBz2euaE9dTExd5E/vWqXq1v5ADuvGcWhxfqu/pCJxk/um6RGxd03t6
q2tKqolZugO9AgOn0tJLI5Sepr305qWqPOdq9Z4SNjXaaEAlng/x4QiMk3moX9QvupNtXPeB/5GH
JcyERhZI4K4dcEOEtgg4i9GL8lnY2TMJi1MholdZJ8dyVm6cN25Nv6iwHB3Z1k/zZPyu0IdqdDfX
z3VDYSKCQmCI0BqwBLB/Li4V3OhSZJn2xZP5xN/kT+79KDxyU7sh/r5ObEs039NaLvmdaM7jVKoF
buU3+V1poaFJfK+rzhnGvZUuW9KC9wwPAQEHgt1Fb74jlMZVVKVy0D7Hkql8iJ2OYSO83vF5LsrP
yyNAqwQS/gJ/IfI4J7PAAcK8mbWPgvOLfuZ3wIRmr9lr/9H0KzfwiiR3Jiw9+/tTBFhSoJ0AaX+k
PM+pRhTLi2ZKtR+SzjHgq6Dd2UGOpqc7rtam1lrwfjZaGbHEY+2kCsTxJsQ09r+wI5+c+X54Rrck
1mojANrRWpty+J7WymqWsx7N1ACtwV3W5H1tnM/wEpxlaeiwY6CXAzp3iFCkeceWdX6ATU2sFtnh
2G8O7PAf/TiAU6goA4ED63X+48TsrSgM0OPQ6Pa5MDNMU4Zj5v29CACT+79EVhwgOjT5PNZwJ1no
8LJ9Ku3CSdRLWMsdGdg8K2TxhUKYdjmm06LVqFTSaV+LTDu1oZ+IMexVeTbNPcBXcCqWGZlAHZ8f
2lgVZV2neK+T1Y+nOjJhJtXMvBoAYZQn5I8JgzlQM2Xpoc1HdQgGpXeE4tJrQxsQIH4YFYGnjBjm
/BMQzo9YT0agB2OGjYVK3tdoQz9ExP49NSXzRkyv2ZH5LS2FFTmoGKMmD89jpQ6DGduPg2R5yFqd
kKyZbxD8Jq7Gjq0d5jYUL7wbwByA50Mv9roMzkvSVUMeJr7Jfhc4P7gEdlK7SyPtdcHcYOmM0Ooi
w6jrSqoN7TMrPQCjfhcMzMdAjMN1Mht2eok10f5iLnmetQoM0aXfZ3GS+PGgqkMZ5OHgTLP6znXW
uChGRo6Wgem0uRxCdPkPuxCobT7//YDV1c1GXCO4KRK/MckXyyCnjrCndDJuAsIHZ5T0UXP7cxVW
N1PXhA5KnMBP6ip1M91F3phmxImBTN5RC1tftYzUXcIBABDWBei8ABYP0x0SP6qZI0Z9SOdXUbKd
DOWWMKHchqoz0npIEq1i2UrbUQcM28J781BV3yL7ybTiG4VEzfVb3mLHRooEFw1sJnp9zp9kjDxU
TFQKduz6YGLGKPyFpvrrkg5He9w7KmuF3dliCJos8bsDBwYiyj+Zza8CPdafrnOziP7K6qBCxRZY
LZo30Id3zs1g90oP9Zz6hqVyt+7LAiHpcLhOZOvI3hNZMTOxtqRhQVI/Sl37YGHKz9//vkC6Dqkw
9IDD/TlnIgtru2lYCXPQfLHSN23d1Pr3dRJb4oVKFGJM7IPEGIVV/GJWGdZsqwokwscseB2T2y7w
eHZ7ncrWbQAEC2MDUIHF1lOKqi5g9cigEe1iLn+heQ2TLxn6nHcU71acBGDsv3RWlrpuysIYzCjx
yy8pvEEjcgIzxziZwCFh69YVOQVZepeWlTNPfiqix9ykO+91y7qefcPq0oom7UqMncI6E0zQ+omq
Ff8l/ynva+lFxSF6uX6wG3YUzcvIvwO5AezB2vVGVBg3bNCJXxj+FGdPY9q6vLkZkugQlXutWRvi
jgQqUgUoB8KIrpH5XR3TEGMcEz8bZ6flv8Mmd1LBdh7VhkSihQfoWdT8kUH7M9T0XTTRG1U0BPWE
O5TfSdqiLHPEHBpc4h6edZMdJIPRHQbEGicrzapD2VXNaMFMd7VjFaE7z3dTvod53BD9pYi6dD8t
3Y326oENVR43WgioVckhjaFLmvo/ODFcPWrWwO5QoOvP1UQ6NDpsG574Vf0jnl/6PoZ5xqKM+sN1
Ydu6GTTmoW0aogbHbXVgXAcUuGAFVuAH20OEOUGha6cnjOraechbVwNFsWA3EfBhvss5Ryj01CPg
vKnPMmyNop8VJvUI/feR3aIqFhzvMuhkjXFP+qoPsr4BEY5ZsvKgwiczeqjSPXTJciwrU4RS0oLk
WopJQNiumEFXydhkoNMkgRPHyaGu49uEV16L5rQivIs6eYdGiB13dyvEAz10tkAsYNEvuseyrp7m
wYRx8q0XdAx0DjnlTxLTVbzuZ58AkrdzaZfp0QU/8S/BlXiURKPBKlkIfrQOqWd8mg/5wb69LoNb
RBZ0GtBwCJLQVnh+mAmbSZb1U+rP5nMyOsK1SuD9jj9p+fk6oS09zmAVkT8Ezh/53tWr0lpie3Zv
p2hWcbKDzF+TY5o44m3+FSbutFez2Hpb76mtJD4nZWUgbwph7EOgyr/TsHN60rj7ydHll9bi+J7S
orDe6de5CM2IGRQn2N3PIr0Zv8I05sOh5W6RuH1yH+tjU3pddZccrx/phrE6O9Hl1b+jXHLbzkZl
oavpoYz88dD8bDpHfv//EVm9tj6c5zgUuLaxOX3V35J/5sINXq/T2FJPaIRG6AznH5CVNQ1SR52a
0sxvWv2zQPNNM6ObiTfe/4/MynQYDRmjycgyv2zYTZ5Ht3M6fRVU77lNW+zABfwDVkeUsVaEgLoF
dj4nmT+gC9rp0F5zTIZwKTSwvWzaljWE/QDIaZmrCNf8XASAGgEAyswzX9mau2aARl2OLR3Xz23j
LQFyj4gMOFIkhtYexBjWSmGnCxRuE7sRwyCBxnJRGgUmbofSVmYZncBQeiaK9yjSrJ6tkJVMOzmm
vu7uuiZyWPtopZ+r4tSVQF78IP3dFH/Pwm8oPVcmc6d2z73Y5HUZ4oNkzjJHZxWC6KAu7HGAuBfk
RiBoK+PjEMTLwprrZ7pRU0VIiJoK3D8A19AzeX5zUYPZjvgnw1pm+0jd2fue3Y3OL8dG3jrHLskE
5ZUdkhvCckZyJSxzEk4JHeIMVY/+SO6GAznETtQ6z+ZddTuesN19h+LGQwBBdI8rBEPAfCwf9E5B
mWbBVE+gGoM0OxWYB4bqlBE9X2drQwtiPgtdhsct97WePNTxEn0fbZD6iU3RunuaU6yIsF/a4M1o
dlLmG8YSbi0md1D0n2DO00rhthXwOSzBa8sx/Mbps1BjJKDOTtlEx9uyQzyZoQfzIUYH5n9wkujF
wmQ1pGWRUFiZaSRrLCvDX76gft//6nzd/z2ABO1mwKujxg+5xOC088uy+6AoozCK/K79XgKGTxha
Ibu7DK2rCoXo65e2IRnIyAI4Avzb0l62eueYYdZwY55if45KN6/umpA69bQTzG28ZXiHcKEB4EU4
vs7LYshnZiWMoh5GX7K58wj7zRVqGn+PHln6vP6lsxKLWERwDCnKYYK98kB4nfFNF68Ade/ojA1J
h45H8n9RjZDBlUMoTTbWGFsb+xh5epAIGLyYmSjNm3A+s+Tr3JfmzjVtnuD/UgRm+FwmaGPaJfoO
Yr8UqUsR/lv6NceMVU7SHd42BeIdpbU6TEudm3mAkmITAEo1EDDIv42d2AlS9uisdKDqqnEZGRj7
WYUKnq09liGM3BsMsryVlU8IRwbpGQroIBJ0q7eE/rUgYTIHiKJm40mZyU1vD3th6jYRIBPRrANU
4vpykqFhZNDIZqEKO/Pwt0imn9df6Ya+Axv/UlhdSh+GSZeaoJCQ5pDSb5jg69ZE3BjmA+YWeAjt
3OsEt1hCJIyq/J8Qfz0goVMaLcAcBFHqfcoxGYFM9dt1EpcCYC/WFkCmBaKBwzsXacz8CUYzgw43
SukWUeK07fdxrzZyeXALEYyGW6YBA5u+ItI3Ipk75Mn9ogyOqWKP2v4Uc3ofjeNTlLUY1yJurrN1
+VIB7YeBQC0Xygg69ZytOjCoAoY789Gk7fQwRONzKD/2+q8VwjmZ1fOhnUpboysyHx0EmK8suse5
fOR7KLk9ZlbWIS6DNqrzEnaWH9KUxU7cIMOYValTq1/Xz+1Sp4KhpbCE6p1AmXjFkKWMVGoyZEAE
PQVx+dZitk05NmALGNqIe9epbckFRg0ggQ5HGgXQlVwEpDPgFcKTjjQq+zGSY8b4VmE7aVW3v9Hv
tJ+UuRD35fWiZAZvdmlSXE/PM0LRYk1v2fk01bXXAKLpYVJXcWN3496soA1S8B0wuQG4BTjw6zBB
AFtVTJHZ+0kc0IdsTL+MOrSOs2Dd6foxXqgJmHTAIpYRH0sr0zrTWAfcMqqq732UVD1DlF6U7qRF
FlN6psDPKayxEVmQ8qYuwQteq+F0HekOoFgf5zxpbwDe065BautIWaO8MRnNT9cZvEw2LfRh4lE3
BfCVrSd7RLIwczihvd//oNYLdW9N4WB4CjCemJzp1tgpdJ3ghWD+oYc0BmIuFHfWfU4yK3hSSfA7
Nm7xKwIaCnPoO282dsz8xXNb0Vlk6F1E0FdBhJZPC3TGY8gqR1gfQ6+2H63dovymNIp/OVo9Nbuj
2goUOILEV28YLHsb/1KH1qkPMXZUEy857tzZHmvLn79jLQzjqOoBoPAf5h/PkWfe/TX+aDk7TP9G
5hNVY5iwcwLw2MNmqHB2848idme3sLzDdSm40LsrCitlWJTIOGaLFDT8PsVY06BhGG2KCck/rtO5
DPNXhFYKHt3bnVUxG88rftWNF9fPlDrtjR/0Tpk62A3xebRPCfu5N+Zpl/CiWd5dUsmqcE5DEGZP
liod4g7HqHI/D0eb3LC7f+pvpbNzppty+O7Wlj9/R3Fuq8SMTNxaS94S+4GGb6m9M/Zlj8RK1Isg
JlOsKU7Tfu7H74N8KOyvOze2ePoXCvEdGyvpBm5xzrJF+JIo8zD2S0Uu/VI2TuKhMSw/BdaOothS
8ZiIiIZ0+M+ISVc8YUq6tjF7tfdJPDokgDG2yx0SW8f2nsSKpSZCO7UO48G3Rme45ffxjrHfY2HR
ue9uHssYctAAC63+arVPun/duZM9Aqt4MLJNo6loNPgBsg/lLRoHqujR/jZ87B/kI7n/FD9pN325
TnTn0NYj3tP/4uy6duNWlu0XEWAOr804STOSOAp+ISTLZs6ZX38Xtc/1nunhGcIHhgNgQMVO1dVV
q9ZqfEBnFb/fJ1lp5Fyp58AnZvIKbmvRCvg2QHQ4Z1vU+f8vpq4IwT2QZFgab9B5AiBAtfLQWLrv
QDL1xwC1vUCi0yd1E/f77AvYDT2S3Dq1u86sQltcK0UsOh080aALoqLYB3KY69EEWeLxYBLq9yP3
g51pyC1kqKCwCBkoVRd/YJFWRrcUvfwxOPdIUwa7eGgqZTaoF4LOhrry2YClpYe0DDJkK9t8eSr/
MzoYu7mW2rhXo7xHInP8rREy/P74+90AIiS8cdGPgfCYjtHVVunRzIY9V1SPWeQmwWGM3PvbemEQ
VyaoCynPi0KJQXa657n3PPnCcS3zY43+/xOXrxzbhUv2ytR8qi/2Nt8W6DqGxMs+TWokOj4E9X2A
ggi39gZdtoNiL0qx3xoX13Zm59Z3As4QtoDWq3qmIpEHZRhRW9sBC5EPRvSvJcrRzQwY3KjgMDV5
pMfQ6xEzxowFnfEGIq/M3oLPA2m0ipQKGqg1YHmuR+WzIz+qRdID496STJxIj+zX/b2wOHHQ7vl+
RoPPkHI+EidMTVxgQ/fsNi19C5SJRJQdcUid+4aW5g0Ja1SU0QWDujy1E9RykHoxaQc0/bckHDZJ
8apm73N+jWv/Pr5Hehzl+Vk/YsaBXE9bkkd9GAr5AJx859YMyTizKHXgTeK/hiaBSO/SEjUoPsr9
nhXrYQ/FAzBRCVGgt1W29pC+rSbPZgA1wG9UDhEYXw8IdE++IoXdsG8EvdizppfbLOMMMpkSu9zk
a925S/7h0hy17Xo1VXJmwFIFQryTvxjeN8LxlfdNjrOBMl5psFi4/q4GR63WiLykNsQYnNRFRpqz
JPUeu7/kPgRIDQU93ErACwNIg3aO6xmMNGbIonoaXCC7AleQMnGj+vJa4YKauBsr1N2XxUESCgk3
uNJb1NugUuk50Cw+xeIH07/dP050QwNti+6ek6NKSJkatmJmz6TvagpSsh/yDz7bh6iqNR0JYid6
yIdnfnzAy3at2kWj5f6xj2IsSKzwcr8pXgahWgrgfBsgy8uDWc5IO5OAY07aRAd0/arWy/3xfuOQ
LmLyG3vUUcvkTAmxyIMr2knzLE1G54yjVdi/M9TyMrt3xk/8dkJrxJ/MJrGNNTHPbxnCe59A+cpu
zjnVEmR9VPY9UY8NmnzyrDPzyKnRshrtFDRe9Fx4bOPGqPJ3ufkYAdqbsg0Khrqa7+LgV16aMsQG
h11TNIhOnqbMjmvpQWWgd6j2esGc6qbcNDK37SFaPq7UA5Y3DRBLKrL+wB/Q3t5rZLltA2VwoS7B
6p49/6o2gjX/HehDZQ28HWyN+0tHef5/Vg6QvG+WWpR0KO9VjBp6LHlmcAfA3ESjyEsUdPxRDEkP
JmfDU8YJnG9oWr9vdnnHXNil3NhQ+o0sxvLg1jxe950RZr0lIT4QvRMKPLEYWz3zyhW23x1abdP7
IADTSMgTuZeMQH5LY6B+pV4PvQOT7fKVr6Mbdv6ZFQWVXLBiynj0UWFrokJ8a+qwFJUYETn8SooH
5PcSFVWnDTiKlJ4h1dZbLTrQrKn/2AUrElpZUN1FBv3aEyaMiCZUH6shBZ0VyWB/AdOI7I2kUDPD
00bi+wlk70zG21XIGXCHonCRteDAATG1IUknYaf44PU6jfm2ALPy/UVbmha8ggA6Q1oVTCF0yNPJ
fSZ7hdq61fCQQrqoCJ+wVwcx1OMug06g6xekH/fSSsiwsEfRoiWADxBtLaANomdFKTOopDGdO7Ev
NZfbk2zXeWkNWWoK/d89WOYVgC0Ql4GnBKUdGiigaSlaHUQVMu3DsRAD0vUvMWPJPLLyO/TKiE8r
U0plM/6xN+NHAWcB7xxNb9qJTCZN0Ip3x7jNn4fB580CdtHiLeos2oRMIYGQTYjFfOb9XtkmGfQr
73/DwsUIkl4AgMCkiYeNSDnvQkwSvgq1zn1SAx4ZZpGwaKJkvpKp0pO1rtrvgiPlpwEBBiYJPo4F
lSRlLZm0lslSuXdjecweJlFinhKlYaBeGPsyKFSafDu02PFCUY2G34BtOUPdPxu11gzHid8zkwqR
RVkY9dEDyRbC48JqlUjV26Zsd22onqEbKRgKP8r6pIDxu/OKTC81ODOI3DamAOnPiqsLm2kDzmJ6
6H6KYyOSFnRYlsiOSAXXrQB/IwnltOLilzYyfB445FADAaCX2shDwJZ+mMZIiyTZK/jXH0XmU+kf
u/KhFs73F5XO239vLACGgThAfRFSY1TklqhND26WvHdFz9TEDbRKNxoHva2gIEX/uwPpINBgr2Pd
66nCAFW8VkanYUX/+QCExZDXRTGQRlkWXetPClP2bila3qDabRlYswRskRsgP9xV0yYLtykq+bL4
k22f8xYExyUUjce3LPJP92djaYvL4HOGViVUHfAMvParUjZJnSgVvct4P8r256gd44JUMlHyh9UA
nUp5/DNuFJ5QCwdwG4jqa1sgG0v7IGt7l2+iT8AwSazIiMHCo/yzYwodCsAtv4IGWl7sC5vUbepX
A1/kfNe7gsf8FFQ78uy8wBXqb/OktgFvMcYWbDrcQLxsMvhmFS1HvRP+M2hM8VxqZsEifT3oqWjA
Zsk1vZuKOzHalO1eSg5xe4Rab2OGg56jS6cqdlwEFzoZ2WFaY2JaXGE00vz/B1BHq2rTUhzn3SYE
jCklKRmkzPJOIsjDW1CLKZm4EuOvjXj+oIvkCa5wOYpkLHM0cg8DV2/KVNtL7Vr+cfHOxQH+MzDq
2cL0kFDTIszsyNQOF5cGi1d5IW9CZiCQsUO2ZtZ7C6xIIqlk3z82/2Vf/TFO51i9gVf6UcQgm8Q6
yLJemMi2q2/mdH6unZWga3kFoYyIq36WbKD2MONVSLLXsKWk7yXrNPFzBnzn+CR4L9qKqeVJnYkH
hdka3p3XixcG/sCHbNW7ffarDw8ymKo9vN4zA+1ryIXlnvU7b37/L5OJTizwVc/k+DfRU95kbNPh
kLa4u1TQ7VgSnksFtJZ1RiOd5Khts2kbJ/h13/A3VfHNlXthmLoKoFelJrnU43BOGy54AlXleWIB
NyngA+EHg1m/OI8IG0LMzodMxqbvD0WjOhqCu76JdMiSbiLRDcpTyT7zXgv6Yxu5rgFJtZbvSCw6
arfyopz9xb1PpqKEuuyboc0xV+AWSjYqMmx+7zTMWs/i0tQgrQaWy5lTE+Ee5beCoc/bCWIVbqQd
JCsws1YX6oKkL55kyz7krY0EvABgHk4+67NWuUyGxofJI7nmnXjmgBe8nB9AZLatgD05DZPdC86A
9/39FVw4GsDvsGgCAsc6XiPUV6ITOeAKZp4NO522g/coCRuIoBujeCylNYbDZWMQJgDdMG5Lug/D
C6chZlIJ5zADAbLjCz2UCYgc/2TRg5910Ur0ubDSGNu/5ij/Bsg4Byp3sXc1Uu0921LG/2ny/hig
ARTRIEnQGmd7t0hqvWRlc8w+/K1vSxN63Po1Yvp5Y1Ib93I4357n4loomaIX6xHD2UmkW5mqb9zK
vR9OuUixEJo46/DD+ejZAxCOV2rkW8RN5pdGJTZG3RyZhijNRsVJ8QYWRE0ikDzVsfKqLR82h3hc
S1HT6c/55seA0WcHdB56keh2XPAv8z7617A32fykKV7xEIzJrCDf8Iqu9mP83nHSLwT3ylaK6ioj
Upv9JfD6n29AnyQ+AOhXaEFdu/NOLFotELBli/Ix4J9QS4c0uOz7usivPEWXbsSZ3OWPKSrOiMoh
1ypBxukolWOZOc1biXzoGNZ7ltmGPyvJiA4eeFi8NRX4xY2Fl8N3dgDFLcojCrHnVRXHwHCbq4TR
emgVD1GztsUWwpr52fvHzPz/F/u3HrIiGlWvd9nRUcPR6updrg9FRdp3v7Wr9tju1ImAmigZQT6Z
fXArE/zdvHazxy8+gFrLpuCiKpECJIM3g9W5kN8ISWy2dq03p6NkCdYPhkzGIWLJaDx0idPog93o
eEXkzuN9r7t83EQR3eZgQgZsjYoSfG9MW1STkJBLHgbolAODwoJMtDKS6i2KbMR/pBafyrembogw
6d70oLVPjd567/c/hCbk/Gd/X3wI9aQo4zyf0jBHWujY5eQN88891anTKBAnsFMoiyZYkScl0ju8
W/l+P8VPXGU1k17HrdGUFhhA4mOADtXsL+mk/vkyZO/xwJsTzTSRd40QWFPDcHCFLn8LtfJrbHZB
+nF//POZutkS6MeaKeXBGE0/LlShGSUuwjpkA8cgqwvyZI8NDbnKzNxrwHi5hh9cPGtzIRG4aVy4
9FnLUPHo0zYaXJB9RFuhnuKPMYiylX7yxaN2YYU6aoMmeInClZi7uBX3EC32d4UQBFYuNdrz/Rn8
lhK6mUKUVhDsaJA4pylS1JbNqrDBFCKe6qzGGre8zdtomj8zVmAXb9gt1vDTiDbstjbH8Zjb/v41
3oyW9qO1/E1hthZn91b2O/iQFL1uN/izM59DK9HXAoKl4FzDQ/3Pt1IeAPysQBQU8AARH5B8JAOH
rIB3gOZPzPNELR3Pf2oO/0sm7sos5dk98HGEcoOtzBSHkP2Re8+dsFGzowQYWHoqOHiZ+4uyuP4X
46RekHmscnGgJoOrdOG4zYehMvO2qzayGq51XS8lYzA4pLBmdUacU2pwFVieUz+sBjc3+21j8XZ2
4gzmp/w8ry5o8feyldm1c3+Ai+f2wig1wI4Z5raEDP6T6b0dFMFCvahycV/VgUSCXPAJAMDKSri3
fENfWKUCyhRsemoWYKh8n5uDIzUToM3HyoGeWpUdwHzEe8jqmky65jWW1/PPHNOPSq5FpOmhsu2y
UnPk8W5AgUll+hVn+F+Ox79m6MsggVJc2xQodGlI859iTdU7dht6hFe+/PcuC4jCPTNrsedSaQJp
f37mkkTrtEQDxlOPj7kWNHpuyDp+qukKcqZNCMXc0IAz3kjDpDeeBXiyXWW+AQSSIXKnOnvX6o9S
2TAfPvObH3bgXNNlce3JslQ6u/o4antzFdNlsYCjlHqmH9l1+9hErioaY79J0RqgQ7w8N6R4F7Uq
aUBxpP19YvfKPrXTmVCDvjWDpS8yXw/NNN/HitkUla4Ua/X/xfcS7l0BEnVgYKJF4xgh6zqxwq3h
iW/86Mjtu8yAbce+f3T/y3L/a4YKNz3Zz6YZPOFGjCWCpgGlEFF9btIjWn3MEs1KCHl4QEVUI8Fe
k7AhVMDVcsQfqeKw+XFgCpKEOy7udD7kVs742hxQN2fIiKXKd83ggiNOF+NAzzxLYvLHdpUAcdlx
Xkw3dRkNXq50HNviVohzKwr3sfZQltF7oZ20yMn8Yjex78L0lLLbqHG8tjXAe7ll1H2prQHWlwYN
ugJcGLMU5Y2ab6gGzSDlI9yLUg4fYtjNdsTBGAqZ23dpKq3N8rxp6Zjh0qBAPQUaTYyCEiAC/6GW
TwLbEBDhtqEV5tuUXysXLN0VKC2yIHWeWRJpBhJ1bAR+yD2c4A8//6yDDQu68LZU7P7z/s5eMoQa
O5I9vIaWYLrrymOkXp2ZzNyhLI2pgBNj2nNR9c6Uh0dVXPPWC/U9oJyQ1IT83qwvRXmGMcb73OtQ
Gp1yxY7bcz+kEGnrdLXdCtpOK7itEP7Wsr/sav2Oyy/NUpegzzVCLAXK6IZgCKm3YfkWr3E+LG2P
CxN0jXyShjHPGGgydvVb3x2raoDenhUmIlFjt4rXbteldUPWlAMKAYgMcABc70Ym9EqByZnRbQKk
cWI8+5RHvnXUvnUCVAr/dpOg8R7Ub/B/KHZDae/amK9WQxQEUMEUAViprI7/EH7kPFHilXvj9kxf
26GPmBpHSejDDqNtG+XHpLwV6AV9uj+Y29fMtRHKlTddAgHGCMgYIB1KnRc9dsvkI2vdt7LwcIcZ
iKfN1R9kU+n0NsQOR7YDVN6VBk4f1E9EPwMPTlpzYgy/hrRIt8nf+PCLGV9SaaeMXyMyCEXAGBJQ
A6UYOUHzMwh/iYA2jNtMLRxe3PC54eOm6dseShMr03K7f6+/l5p7oMVDSemBOkvz0zg9Nk5tdDJB
K4vsr6CG1yxRC5ACqIJ2GViqlE2gbmKpNGP/FX15OhuxQGusYPYWsDUYGS4IpMPQX4ou7evdi0Ex
QTxoGFmcHIQucOrCrLrnQRhI2bfPGdiCVKuvWdLHEwGoJBJZHQ22JPTsht20nc5lH1EGPsIeJaUN
v9akfhsny3DzqH+AA0xFeZj6vL4DTepQ8yPqIJxnqlU5krgAv3AXR79W9uTC+ZqvFAVIOHBD3/Ba
CTmn1oD58K5Y4YoedA69XrmpjM+a9ASpm6I8dnJAYua58iV0QRIpfyyYxwYwo/B3JO2iIPqZql8K
+t6g2d2+QYSSaX0rb1Y2yMpn0johPlfAhXki73ZizFugpDUbpQy3SLjGp2Bs1tpBvjkNrm923H8A
uMxUpnOxjXpCgIItSWNgWd1dTpBOK8lR1j8/P0X987R/fX19f39/ePjYnpFiI797kuhff70ssI88
Dvr7Zp4duhW0CGS5B02r5AZ74CyIbA+WZIER6eDbod3sBNuzhKfUnhx5w5n5UTZZW4lIso3Oq7Td
t/fzrEKmzPzrkN24aV0PNV+VE2ieuRKACcRqIDjlg9yKea+dNYjiQqocZU3cJ2AgmaHCtPIMF0RK
WLWK7LLb4F2zJgekLg+ZKYMj/P4Ec/P1Ti/wTLcDekn0rNyk5UZWiISx1WQ3J8dRBzO4/nb0yS+R
lMZp/74NSE9e7pv8xq7cmESbFDhk5viNJiVT0BpRgItcdo3doTq5R+uHdTASfdS1kHxamyNap4lr
EbiVp/rkOI7ubE3TJhEGbzzuVu7VhQchpvria6j4J5hQNmfzQnYVEpp5Z9RnAPlCN3J0vdwP2wTZ
pO0atGnNqEDli7GjIUQ7YArw4HzRf4yfZWIKr8J+eoCiWffSQEn62X9emff5mroz7zSAkw0jPMGD
EvNuHIwfh6N1PGaGdQx0hvwoyec86VYKtTmSb6oHA/P+HBH9gyf50XmUTi1xVjYCrSuD0HOeehDD
4JWizdx417dPlSWyPw617HqH9ulgVfsktPavvKWZNvp+dO7XI/Cdv8etsgZPXNz0F4ZnL3tRuoAK
ENLDPAxPnMHr+UF7rjq7jPH+txrh7f60L2SZMEoQRH33RYtoCbo2NoC+Iw/ZBicsJdO+0879BPKO
0+AfvFcl1KOnAMJjK1N7GwIDGgyJJzBCoc0AOkTXNkFEzPTh4KtugRWVzHNh587KsG7v5msTcyhz
MYdZCCXl3vMUl7XFLQC3ZmSFJqN35PUV1TRHdFahGGsWqZMKIEIrJD6juIPRGb3uO8xDtYvP3BNv
5BY2qJMdvBX3+F2VoM4MiFwB9NQgMQzOBWqLylw58n5SY5TgyO92ga6Zpf4ZGOAr1xOC8r+VWxl5
Ku1yW9r1AWgIa56D1PYJaz0lRuhExkBOkl2RyIwewZJNYjJ/fYt/FXZoJITRXwFf1PudtEkOzKbR
fcvTg00JnvxnxlJXRrS4My4GRO1GOa3SkFEqxTUKy38858e1Pr7vAgE1ZUCkq6BnBEHorEh7vTEU
lOmbtFMUtzFEXdh5J+apsCILM2ZOTvwjMCbH39Y291pbFVF3uRXsAtLYjR1jEb0nHvMAcm/He+jX
79UFF4haDV4vwFYu0D1EahdmahKqLlTmzNb8UW0Ua9rzJvHdJNS91/tnZCE1BmzEhTnqjMBcmkxZ
pLqtif50QPMtxUQeiGjmR26EVmQHJmJqohj37dLNm7NjvbJLnRTfqwOxEjBM2Va3zSZ/CMlAOtAI
vJabzu4ePPO+wQV/+o221iBaAVYSundzqiDEHSWD6np2ZAhOs8PCWqxTrvicNTNUMCpANAxZU5hB
GOgMG/9RsyOn0JX3+6NZqOZCmwXg8f8fDvXsSCDxrJR9r7pv2QYNOFb8CETsk3+Q95PdQiFDwRWJ
pOY7t2Z4/sH00QHzHHTT0UoFvlZqgDJC+TyRRtVt9uVW/pC3iVGZoqHY43P8UzrdH+a8+WhjkF5A
9kIE5leh2XfYyCu5vgs0VyjNUCTwUCii+WgPWNPnWIpmkX3+1xI1n34jBBDDizRXC8xelwLgWve1
YMTts2z2nM6vhHSzC7sdmAx1C7ALwW3P2+jiZqrRutJMaaa52T56lp95Y03ybHnm/higq/0QEuRG
bzYgHxgHyPAnf89a4spmX541PDSglSWBJZBO3wOUoimdXGqueGA/yi3/Vf0GkZnJP/Erb8pFS4gS
ZnAOmlSRxLqesDb1xFZpes0FfUb5FP1UIJ9moZgJdufpQ1nZdovO6dIaleNoYrkLJa/VkJ6b4WJo
kskf/UfuUO2UBzbWqx+QnuRTsvbCX7j45lDozyCpmzxCA7PHczCrHcFr8Cx+cb/aNfbjJQd1aYO6
XLW8ULgw7jQEtEFH+g90hB2r37nVrJBnLNQaVNzh6P3BaxSNRzTsgAs9qDClmecacU2SU3/e8KfR
0CW93nPmNjwm5/u+YiFRBIMAcHHIxaDJmGaRTNguY9QGBtmtQko7wJNU2rW4PwNUhcEzT3grBQZA
0CFYqre7/nOVBWVxbi++gJpbaA/7ELPCF1QGGroeiWIGlvBZ2/Lm9YE3QO7xnpwje01c8daXAAcx
F8+AKQFzk0g91Ea1SjmQQXmuwk6Wx2/KittOv5mmt+5P8JIdqKVjbsGUOEskXB/BSi7rui1qxmW1
Yos49Gc5+YoDyrfOLPiBXQkQ5p925SFFJBc4ZDHwQgAbFd08NgoxZD6KmHcTBk447qvMyKHOYPJC
K6zEm+LNuiEND8o6lKOgnjUjaK9HxgeAx4yTILnM9MCVW7bYqdGm0IiCTjSPefW8rxBKJtGBBczE
f56Gk5QTiT8jStMVwR6+WP+jdRTvuUj06cyhgo2/f1Ufee5o6nNf6Sx6nvzdOEBxzLM832hro0Hz
ggzpJPD/paR9jRPSdKZcIjBPUQM7D/FO8FcQOjdXAkaJKxRx5SxseHPniJBnSbP5RZkFqmeW9Qih
UwVpxAjECWYSRqUT8IVvlu3oreycJcuqODP/Q4MGZMfzzrq47URpADsgU8muPDDo6x7AL+8LfLGp
B0xyKGmprdRx9ihp41qhf2lp5w4lJGYRKqHYQt0bPVOVPhQUZMBvgJPgCONBYyPeStlZ4EhxSAOr
zbcgSpejw+RvI/WYabFecge211nOCRh9AlnypzbupsmqK+LLJ64FGrP4wftOrJoCqJpri8lfkt9h
eUgbDz2cdpu8+5CIl0gb6+qOf8u2kvjIqpMVRsTrrUrdC/jX/cN5G8d/72CwmklI/aG5kBqoLIKz
tJmQjoOU7QnvpwrYY3BJtmXhO0XdjEbVJbwRV0K3KaX6sUlkcHWN5bMvp63Bc56qS5pn9Gn2O51H
CL2YXG+EVAkJL6QCKcGHR7pMGTb3v/sWADJj7TQg0xDPYgh0PCkEfC9PvpqchVpNNqD4Sx94Rt4E
CfQNQgDYuwGKeYI3WFqBs4aQuLCkNPpbcWu4K0WSIFOMx+CcSaadW5cDKB9Vk+cWEaQcGi5/jHBk
xaonoDAhJVYylptToLyE3Ir3uU2+wLSKlzuoxiGKwdKxoOjJQslWrH9Oc9vrdcHpOatj7b4xwnPf
bAHHlLxf4mqX1bwhrh0szGLMkM3BO1iiJVnkOBfYuM78c9RqqskyKBf1HuuZY94Fdh1yEOXt6tqZ
Ak/c8gHTWegrIW00FYYK4XZT68tmLZy8eVuIYFThNQnartAHQdRP+YmuAe96VPvnKhaRaYtqXWZj
SZ/Fsq1KyEerBaTQiJtStTWfnaCJVmdWE0bRRh35NYTCbZIAXwOyeZTVIVwD10Hdd37EhgUoNvwz
96wGehofxt8siLkmHQ2lEd5ZotH3ZhaagnfkRLP2LUBzcrEkbHpM8p/8nkf/d+Gk0NtKSITq2NfY
2VK0zSVT4XaSYGjai3L2RV1h1uZxDk+ppZ2TlejNwT0NYuv5vrvwt6kEcYY87bGjXjyZBD7eu8I+
fWyVh1LUSN285f2vcRdNdipPK37oO0N7YxuvT1So8CeYRK5tj0LPQ9ug8M+8+gDn4Rn+08gAGkeC
YtuqOt85sXhqJIv1DN6oPpJH9ql/Ec1xMKRox+mKKfJEOEluqhq9Z3SMqYF/f83p3F74WNqLj6Qv
pLaUlKDM/TPoErUjU9uDYArK1j9IqBs2R84Ud9CVfxN8R3lk4PUrg9NZaWWZvgtD1FSBGQGncAax
zviN66kS0Bnat5Lqn+s+NvPHsXzJSnPwbS/XZe9Xw+y7wi7b92yKiCDug/FnxRoyZyvABQ0S4TIb
OYbOhD4ilLUJW5hJZ4iMPY1oTXhIEjPyThDKECuTiZ1WI1xiSo/CFyqk3rP21ESbClQSDZK7zC9R
fgxAQdByh3Y7Ne+KRgbIvIab8DkeIceSbRtpDcP5TXt+b/BUHkFk0k5MIdR0lg+1bKHZkdTDU+gf
tE6Pt2H0WpYkc9L4FS1NuLTRnP+enaLciSVjCvZ+Y8nSKz8Y45fsb3zmSQQyPN8qo9HCY2v1UfYS
IlRP8DYkG85oQx/n7hE97E+KbIHPXvnhiRulOyfxpsyOQBkGswb5XlYscTpkxS4BrjQkHbPxVb1A
4Th/ySqjUMxy2FV2qDwWb2hSuX8TLtzgKDTJAOgjRENuRaIS4qNSNz7LyP65iS251IGNL/0NmPA7
A2CthPChrTb6eMgbtKuZaH+r9Qz9XFtZ1eXxIK6JeixdS1efMwd1F04kySBm1Neefx4PqYi2X6uO
jR5F9IAlefDSjLoomiIbGyq/RqexcDqvLFPuq034YUpFxj8zGUnTBDxHha7VCpFkC8xKVZYSdJyv
zP7tkx+xMaJ/OPuZQxj0VNfDRXu3IFaVH5wb9oHBzRNNwyHwVVIXwFNkM02iGdcjAXPSlkPQ3Kk4
jsG40dRVWrubdxa+RPinEWnOr9Et12lU8KXYCsE5V6UeJH2h9iC1/GCXncLp/Vhn+1pJVDfn+pPf
sM0u0/zByNMRpGABx7/lcqvpI5vEBl9y+VfBeGtQ79unPb4QwqRQGeBBggf6veu5Qj+SEqZ1EJ5b
T3CqMDI0pdIBZa8Vu6itoO3MmtlkUQcluaeIeUmqvVZZsQK48uf9M3NbpESxG8xbCAuxcKoiU45c
LkRhlNM8Pst2DEgT96pY4wHOKhZ13tvwklMR/j0+girofN/yLUBotgw1XwE3LCCMEhWrdMBi8LUW
JGe5fMg0q/LByePk8UnxzoL8M1IOaU08tFuwD41s1mptZB77VvDuAMaAIJulNHIATd96FsjqxNPV
ItzCFLQAG12QvgIVXDHBygPwJr1EffIcNlycaE5MRAZxV3zm5VQ4D3BDVtTXNVA8CSREqijTxSEP
Vu7ahd2MIhwiEehrIIlLZyeYDBjfkK2ScwVIxL5eI7eZtxp1jVz9eOoaCfm+Ak4dP54bH5Txpf9S
hG3x0Kn6WmL/uyZ0bQlZCPTrAIyE3DdyTNezp1SplwtBnJzHZNr60UEct1ylHLx2X57LSTT7/L0Y
nU5HbGEwoufe32+3CVCkd4BwAZcLRAc5KLNfm095Rmy9wAvOFTfTYEU9iUd0fFpdcsiqiKSVza71
rtzul2uT1OFKRnBFcZ0WnGcxkZhvSSJwaMB6nybpF4Mk0/0RzgOg5hfJXQU1L5AFgVKPOlBDmg9g
qlTCsxD0iRG0U03YnNWZXon1+5Zui/qYS8hCAtmnCfAadGSfl7U/cEoUnfNsN8qPfjeB9ge9Zvwv
ZHSkD/CVJplZWlxE+r2sHrXGmg7g5yFtTTJ+F69VcG8BLvge8EYihQ726Vm48HptlaaIIp5JonPD
HPqZXoLXU+ZJevQsZiJFtkmPKkqSI6lPwlmTT9Xg+AXSfJCVy1am5rauNH+KiPQB4KIzQTp1ngp2
SKscXFnnSvwqCrerHmvmJKSQhApMPySyh6b+6CwNhoBasbj1INeH8JJveShTmveXaWn7zQ4D+EvU
fnDZXM9KnJdDz0GJ49wKAsIhrc3sSoga4HLzyYmUMjEQJKy9X5aMgpwJnD5YC9wslFEprgMuDcL4
nASq6ohdzW769p1ruh1QSBOeeJG28mJayIB88ydg5SEwPnNFXI9zLD2Ic4yY1Un8KY6bUeGgyYD3
hliT9HlAMF6HJtea6hoseOnASeDtQQs+O2fHqDCL79siwiM8OityNx04MJzEKXpdmmpa8V3zvUKf
bAUEVBwSLCDxo5tthLZnR0UNYiQ4IH8khHBeK5fMknPmL03My3pxtXnwzejyj+JzUHOEU2PSTojb
vwRAF17Y7H0UCDSl6ngfDWRYKU0t7ZhL01QwJPuChnCojM9qISmgZhkYPUo4QJIKBc9dJVdBO5Wm
9t+fDQUvfPQuyUA80hHYFATcxGp1fG7GCA2zrieURiD4ejQUOI/p2ha9vWVncSQRAY8EnBBucmp6
8y4OphxjRLsqZ+W9ykNFfSi3Ezc9QfR8VnJQYsNHrOpwbQFkWIRWXTFoQ6Nh/o+072puHGmy/UWI
gDevVTA0gChHSa0XhNSS4FHw7tfvgb69OyTIS8TsRs/EmI5WolxWVmaecypQIehTbiXosbfbWv3S
4lECtRUX7bNJXIW0zw7qYrOh3IREN+BdINA5/9QGxBhFNglYjmzfKki7AqpHdOmuhh7ctAM0la+d
ZI2v5+r+wxSBVx0KZsh8LDw4z5RRkkclORpZbYLKG7rnT9xEs/wZuW6pslu80Ad9X/MmML98sBYF
zUd1OWhg6ObaqAFSjSXbTMP7YjGJRXrkWRd5HNMBodbT9D6Ww2MCGvtDPkHBTdH9jI5F/+df70Xk
L1B3Q4cm1OV/Y/STs6dIQVIMRZMeQU0EtO1eUsy+tOQclCzvty1dQsexBU9NLVwlmFUhACXV6VH0
gLncvmmp3fjWa/sWURAIWKkNEOauSKgGqb/sEEO/axMc1NVq9GVMi45fHc4MUpSzoPXiyEOOV5qS
KM2OSE/XJhMFMI4lkJj+9xfgmZmFgy51lmZxn2THbIqBUt6BayoU92CPGdZynVfeUWcjWga3YhmE
fKvDlPQkOhMj2qv+B+LJOlRgaGMhBRbZQ09Q+3paWVHxcueiVxlNgIjEZiXlRbwBHv+4q6IiO6Ld
zELC/WM81l5sf8eHmtixqaO5pDfre3UP8ddxj/tjLfi6cjmdfcD8gae7d1QjtCnm2bHic4OMqpFa
QTLm9u1xXsmmYIJPxrmIKwKZoXO/YNmxMFX/vu1NUMeJUOsFF6bNiZv6Wax2ar5ZsXrlbjqzunCG
ql5XUDzB4LTDV/U3I6hNJab8NlBkgrcVlXbUGj8fbhu9clfAJqiwQU2HB99vouVkQvlADMBh0GRH
LsGLEtSon7g0oGTRdgmNuohz2l4cqJyztYbSSyAAvAMODHohefRB4nF+vpSo4AQoFLXpMQU73yFu
hkLAVRzILQ0KTkAzllJO+tOce3sJ+GRsyJCySnELxhpGozHJXsIg7r4Szqi7rwG7oD1EUcF94ggq
wUbqWg7kHIZehQCSlOCUrQS5qEw+VrXJC5QJjCJRVRcqyhK98ZeDiLBiDwmTGZKLhmIJ6RB+SkMU
RGY7xFXiQdJ7yCnLVdwNstLkvXl7Ia4e6pkODPc1rkKUl87nQ2SdopRFmR6RU2i4ztRrIgQgSvAf
NIP2roLStU6TCLxQPQXSFxjX2x8gXrmWoNf2zwcsDrcs83kMeSw8meNNq/BoJm0jiFQnuxq67BJN
wD37FzyVg62j0RRFEjusibLnWnAtNz8V9xa+YJbT5rEJMOMRMbKnUvVQd/lffCaankGUCg565HIW
+6YHBHYs4ikFj9h39MFvYpcLZdDzVnbUml1vqxXpdILnEi2DllbKG+ffZejJ7qhRpXRAmJ5sfd9C
wTIRaZVsu2FbRbj7SakRfk1R4ZLkC7tcRiEd3b7o28Qb7XxVW6TKuWkQ0iMbN6W6b8uEJKGNTKEE
VHMsfbd9ZDXI8nexQLrkbQQXvb+LoMWSAAiEUma51aUXY6RqD1zb6xg/jmh0yMyq5Ei/Vn6/5gvw
msKTHi/7+RF3/q1cWEX9GBvpEfX9zgxatTDLbPSJgSm3UFhVSZpmbFNV3BpP1pXHzdwzCAalGZoD
rZtzy1BZ8stElTFLKh9s6kGq0XIwTndKVhYr1/S1aAAlSIiQIA4He9kiOC60MlCqKYJrlwQZzNbt
aMUGe0HBZ8cn5Vrh5OpNgvAWet7o1sevxaHiEGlGLRhdjnwGwJNg2HFLGhBkNc/qaKMyEL0mkzmG
axfY7CwWIaZ0anZxT/p6GPlx2WbHUiVqea8pXsvvdRsHlEv2xeCM1coT57KfCxsdNL7IMaP8ilay
xRIOSlkLIcT7jmOHbAR6jKCb9Smibb0mrfiKsoh+HyIuii1uNLuaajaPOxXt/QZYracfYdz58son
XfNn6JwB4a2GJhrUqs83FV8KXNRyHKKk0Oh2YKRFE0mjPIlcrXiQow73AisDynNZRFv07q48NK8l
CiS4KANPMBTJwZp1bj7R/BDs5kl+hDwRUeM3bUSdT95w2k6SnHxonDR4qPTaitZE367G3TAqyrMi
BLKQCw8pCxn6iTpY7hUylA81n5sGJEL82Eq6jFY8o7X62jUuUP0kyGxFreEa8SosLADuJwElvRBy
nWAYuxuiFz01eZ+Cj++2G79yDKHYimAcSUJkr5bHkBsbJRYyIT9Cs5py0jaoO7BjeMZap82VShF6
mfD2NuZEpYp2kfNlKMtW1YtEyo+pWz1x24zUFDJa5PFRePxbEXGN1fFadvDM3mLX9VPeNVUIe4x4
oS3/zPCNx+/p7j5xVfJaQNn8WEM3cfX2vnLiz+wuLpo8F2p9isX82P3FiyCR93n4kWuOwgqQZ0DP
qdKJr3hg6+KHp5rb+/icwkwTawCIqN2zwmLpSk/plfN39kXzFjgJLblJVn08QPMjyuUzXqAwOz7D
rh+IEH7XwyptyFV7aFrjwVQJeOeSZ2gc00irC9gbBwApN0i7ki1zwqcBa44ee8oTWngzXsbqSko3
PTG/sr1fk5fbO/u3Z2Lhe+fY5H++Y3H8sg7g49DADtiDkIQYREJpmIDYFfvuu/3j1Kabo7m1ILvj
U//58LCWiL2WFD6zv7jG67yTSqGc552gsRVshJWL9wuLnWHHfAw/xPMwMh+Cz9vjvlbzOLW75CCK
xhZ8ExHG3dJRIYDb47lNUx9CF44pbW8bu/JUOrO1vFblPkr1EGPUtX0HPti4uffHlyH4Xm2RuZYs
OjO1uEozPZHZKGFY0iED0AY5GWCEu33d45FLKvkufu/RrOj5a7nt657rn320LLEoQYCgIsSJHoUN
K0nLKO/xL/y0S77RozMlJgcCFmaVT6K6krm56pxPLC98GLZP36cTZpeXHlQBTXWxPUCCbjU4vuqz
5qQ26F7RQrHk1ah6lZPVAN2dCrefux8VOxMAewAX/paDArE2V3kSu/oQX3mlpbxuG/EdMpUZyoVG
tcZjPm+Zy2P7z8cs3FXeCmk4CFjnuPC60BrwruEo9BcAiE/RwbPPTG4tQ3Z9F/9jcv79Ew85P39B
M4N5lhRXiO0GDKnyGzqMhVVSkeXhRG0IvP8nSlGLJa2GoTdGqRlcsbpDc41K8ajs7vjMwyOO6yxu
BTGzdEIX9hbXUe8Lat8rkIpiVgd4fXxgR2QxTJ80RAAOMSRfmRl6xua2W1hcAf9tFd2hYPJBWmF5
ZCoBrXR1Uw3uWO4jvwJlMLJi5Z+qJJL/pae23IYrccxiCWeLGnBI4J2fe0ERcp8v4VRWSdrmPRS4
zNIryMduDf04L8zJtrwwsLhNakntOC4aBreXPKaEpPL//ZydjWBxXUhIP/NyixGoyWD1SUzbgoCH
IFEkkooa7osiKMzby7R47i3H9LtZT/b9AEKSpOVgUiihyqd4eBhAlmNlZZaO+8LK4o4Yg9Q3Chn6
YegHtKU3yW4+XWU3vjWWj7wke709puW1/9/m8OCAXCdS+0t9ywYkyJncY8f3NLyHyNcWApdEJopT
24ojmxHypbUDmkX3bhog1sYBlZoBZvx1+zOuHXQs5//7DGP57IgB/9ILyJq7SbztxoBMkkpLABe6
ViVJbPJBS7SJSry6EvbM+/Byn/5jdznbKV8lQYfhp9viubf8P61bPPIre3V5Jy4m2eAXlzGoVuIp
M6Crp9cgyzeFloh9NGu5v5ftmxQxi0evJTM+5UQhI9JAKH31yVoK4fr2/WeoiyeFD85eUJ9jqM/3
dI1OcGUbIW107lB8llfgu8YPD0SZcFAxBi2LqYZeg6HGHK0Rx0+a6WePZWiB8GjK7RqqKiVJ0bMM
je/W6Uqbdf5WTgo6TQ5wDI1xV0N94/Y+u+73kEVDKWmWqVrcluhU78bGwBFueadGQxsA2AaqjJYv
WP83QwsHW6mxXoEyDafYhvLVdtdu1iSe/j+b6p+xLFwsN0C9JAlxZBpwN8Q4tYKtEcEMPzqQGz6Y
UP+mt8d0/ZAiV4IyHFTy0Elyvsi6ELSyH/ODGwloVoQOQ9VUJO2+W7RuaABW+3dxY7fRWvPCIq77
z+k5Mbtw9RPIMZQsxFwO/JMRMJK+BrJPuGDtlF49IP9j5yL1ERqqzlcy7EjGh5466T3XOeMRwMJ5
B4d/uuC9NotOIlMj4p8RXcMHXwkDkMPkEQAgGYUWsEXqRSyUIAZiBl4i4oHe4ay++IEahz2Bml6M
Opsbjpy/XVnT+dRfOMATowsHmLZ9g1YoGIVq84POoV8wBFqL7dDVoCj7ALR74ouspVse5zXM8Spi
KzHXslHqP8sL947klQYkxLKYLkCdqhcnAa5fyXJHap5bKbEav34XSlvmO6vVxm3Zl0itmiFI7HKI
4iTCUwfYlBiybRJAF+ldM7w29XdZsHI9LNNhFx8375mTO7+voC0Hxjv4NVWxFT8zG+Pebx1pMP3K
6zElj8K4Lfx/KV/xH7MzKxycMiK15aM0z1jmT/1s1g/oFDiNRNMs8CrO+JgGxdJ17l/m/S4sLvaB
NIZiNbWwqDxxm2f/XtgNO/G+NI1ttBJyXHdcJ4Nb3oZZlIblAFN1Zgn2s2+qpuLcWZB/ddI7d42T
4brXOjG3uPfyMspjNEAPLieY40Sh7am63A+XmcVDTtfSOcu25Yt5XFyEoW4kEYD3g1vkynaa2k1Q
otdWJIqrguYi9GpZwG+9SEhn5sgABJBFRDFnwnVUSf+beHVGQoI+y4AG92JJVWiJsSIQ8SmtI3ae
Ij4X0sq2mT3+ufdQgamDPI+O1zAgbQvXzOpikAImjO4bmiQseMS1wOLSJ8IAavbIgeJfUHk9P3/T
WEvRWMCAFuTPXEVr0NEhnxHJVlkyaEj/EYtuJRa9OqZZ9Qw+GDCxJWLGBydjM6GO40pvPTq5YgoB
g/t2bvS47Xp/kWYXk3diaLE+It9APG+EIZxukTafSDFKm/FFMgUS7TRrsKJtbX9XFsTQSkASTOO+
/3xaU8u6Plpg9FDow2XyWwk6cXCABqiDUmGCRZUGtKLynjPX2h8uL3CsHTQiZ1Qwft6SwcHwyzpX
U3V0M5360P7QS0uIzXqVevjqWE7sLM5eApG8qZKV0Y2feZXklcNlpHqt+IdWZCux0BKChnN+PqbF
xcAJaVQ0vDa6g50Q3WpssPw4kM3d6XS8IxPIpoz5F60s8KTQxCng33Y52VV05rnxVyPwy+Dl/HsW
kW2ZGCwRMh3fg6dSGtu+WkOrb2XU142AbBIBA+gWll2k5dClUtDDiCrbDcq844RVbFbc1hWHPQ/l
HyuL2NlAE2ChcrAix6+59tg7OSSGEQOl0nsfWIaWUWlQVkZ2+TAAjhCyzyD/w1HAOTj3M3Koj1Dl
gU0tsWPjbx87WnNXGNQALPn2sb+ySVFem+mU52lEhefc0ihkslTU5eD6CamefZA07v1DtTPub5u5
slQgW1Nngmi866Eaf26mEfTRSOpkcouYx5y1h8Jwp6i0blu5Eh8haYXej/mOgZHlBdAWTTP0Uzy5
Gjuwx8otMKqs2EgtQUPgAOp4UJ2n+K8Vs5fLNXMMgIoCm1BQL8rhGgJGLckxOt3jyCHfNjZvMWvC
I4izvltbCukIApC1pNbl0p1bnX//xFcCAzT1hQKrtaxQke1z9NQMVJGegzimTbRZGeQcmJzfD+fm
FjtFngEiSgNzU2L7oSdXYKKpnrt+5z8mqdNqnCVLFjfzLYcQNuw+/2/mlzsoSFQoKTbZ5DZ/9WOP
jiOGKrAN9aDKCWxQS0QIwNeqByvruqRZbUqgQFieT24eFVTm30r1dXzjkQvq+5/bw7tuCUKvwF6j
d0Rf+Eu5blPcFhy2SfsUc0fefw+rH8n/ZmtcOFcSeljGWZ0c/QXYrL/yvie7Rje6NirGcHLjVjPL
OLKSMiK4cDkkEuvOLhkt/BQgZHcUuIfivWvqFXZj4fL+nb8AAlWiMncrL3vjpxRtu2OTTm64ZVYT
mizcoGutsvyn8NHY+fQJDMcP4XfyenuKL2O32eyMfkHzP5gXFlMsZnzDGwH274huDhX9FI4wQRmB
NE1KS20nPt42d+XeOLc3L/nJRItZ22SVDl808h43PdUfjCJ/CjhzpJNi2iJfsnJpXJ9YTCh46tEH
dMHgCrKIjGkFA5ulDeoCy6sOaD+cf21l4pOvGMXbYOV2vOqDTkwunILeSkMd9MXk8lTYgxJtp2w1
spaJWLbFYK9gKv+xsuRlrbQg6cIJVlorP4j0eSIhnTaHx8+O/AmAU8c7naYOuPtMia6E31c364np
xU2sAVXaJDxcQDOVNJJRg54q0IMcgINd2S+XV+T5IMXFfjHURlAYLMmg7hQDU80mU5nshH9m6RsI
lopQAQm4I/IBLQphi5cCHett06442jkqvXDzJwOer4GTbVvVuV4PBjaR4f+JjM9kWDkXVz3dyc+f
7Z/8fH0CnikMy3kts+JR919S6SCWZiKvvX2vZHKAUUGzOv4GnzHeneeW8krx67TCrhlskLu8TJuB
FJtmk5qafciJtBMoHIENphrAZF5XrV+7Lk+tL+axD9q642JYV3eKjeoBzSjEFbxqo1kRHSg+gPq0
MmUvBruovEeKnaykspZdNL/HBq1kcxyJR6tqLDwQiMgEFtSY6sauLe6AnlMrsBWztoqtOCI3i3bI
RiNIOYupDWVQRleTHdfcA5jrALCD3A1K04tJQPlrrLuwm1z20rQ0eaye83vxQ+vM/K5/FffA/UKE
DCql+/6whthWry7Aie3FRtOUVM9lvp3c0irJiB7galvdD1v/B5yfD0i7yCb6iJyAfvwp6IuCV1BL
v0D7aR2du+NRJxE16GNKPgL6x3muyRakR4RD35P14QZ0sNy76k60Fdo4T8d+rz6uxZTX/M7pzM3e
4uSYtFOqiSzDzIFf3W32mQtZjhWHM+//5UlHuyg618FsiQfkIn4s6jwd03qC7w5ST2FhBvKjWt9w
PJ+i83DivKwH+lPK644yFVQbGiu3WdXGKA8Fkn37Y655HaDk8AJBdxlwJovLueE7YSwjcXKj8q8W
HvJ0xbteeh0MEvyraJJA1yq/jDlSNPj5cqjobiNTNJG1bg4K8dtDuFKtBwRABFUjtjuyT8sAIxJr
OdX62Hf1Y/nCgwcPLYI0tQfK2+J2NFUCPr7U6l9vm73i5mAWLIDodxeEmb39fKcoIUgAa7HyXbsI
rek1K8m2+5SfEVJBLtcpyLiVX9H4D/IZkKpw98PKy+7K5Qz7KiIrHHC4mSWRNpcFUt+CBszdGylV
d+ILd5e8518DEbfGu+H1Jnsu7xtQwtYbhUr3/N0agPfSyYCTAKT8ss6j61patqyhg8n3C1H13SAD
NQfUEMZ7hbtHggwJzV5ceWL+pinPT825tcWpEZpCMJii+ahQM8Idog+OzIQ6otNbih09gvfRThzV
HAjSguT5UTUDcn/3iq7FO4Fm9/12sHhTtDuHR1PAZEGSxry9Hy5PElSfkToD2hsdu2jYPN8ORjgl
GksC3w3zksiALq/JriwxFrhWzi0sNhwoClO/GTjDlR3OVt5qhx0Lqz52r8axumNPuSPch2vZySvR
9LnRxWXuZ4C7gjrdd+vHZj+BoXmycpqQnK61VVzxFEiHgJwNVFgQDl1emnpfhNmg4/0DgXnoV91l
lpQ8yEICT397oa4dXIOHkieMYZ3E33D+xMX7rOkb6IJzbgZ+Ii+877bSPn1iXsETectv/U14N7rK
Ud4HB/+Oc9c4NJcDRUVxhpgDTGuAgAdQ4vONImRqN5SFxLkcUnRB9JUXHUmh1llJNWXlymCvGUMQ
gCwdxopU9sKYz4+iyqY48Jp6m9/jdtlkwUT0HBDeaYVUYekO5nGdmlrslGasKsBCk8CTfH8LfTug
9UvOLmsk6gKo28XIEvDB2hNl+bhcGl0EOsMYFCDpwfiq54Mem5GnbhN4W2zRz9u75iKo+48leXb3
qFGiQ/d82ZCKlHKILmE/QNbUFWlhp2ZsVnukdFMELVBatSrC7Oxg3K/JgV4cwqXteZVPdqxat3Lc
Ag3gGlAiaoNndXL6fhN40XYofoIJ7JLR1+3hXp1XhO/oOkc9BzDsc4sjE32t5jCvQuOIilkOPOHf
YhYQzX8ct1r0b0Pm3xHCaaLiDR+Ka+XcHkt6MZ0SbJ4pSp/SgZlllxOhDpBW20rHMHsSo2Pgz7jm
kh3i9CHVClqDu32m0wL+qPgWp4jcnoKLuGLxTUs6mVQYKgh1YA6MkCDBePB3rZccxx5eInGZC0DE
XbudJW/JagPitbMEFgqU6xAgzTnV8+kImz5vw6QASRzaKb34b/Hq/ykOraPRACIsk2TXIeFc6Tja
3HZNjWVJDobbC5ZPjC/WXujLdtQLGC+hCZBZw745ZB8qZTTxIlcJKYLzcd9Z/NMdd98BybVGAbAM
wWFfFtEJMBMOGIiPFyE4k+EeW4g6e0HuZO2hDh8G/14U1mBba2YWB1rK+1EoW5ipf7rdRFe84TIc
+B0ESHAB1J9h27+vpJMjyytClCNAguPVuz9+VG2DNllJ6P2mX05DotmGpIDTFCUE8Hgt4VkhFE/w
zu5CD6SUTmHru8nMdrWnbDzOUr9qjwHRuDPMySsewAZ78JGl2WxQbkCRKvUM1PT//YE5+57FDZDm
OvAqYHT16uql099RByQMZHlgL/ujl8exNrF5KggIV1+1m7SkA+tqdlSQ27n9HVcOz9lnLO4E3Yg0
LhIxLSkIeA20thvSg8yBX38nJU6srFi7qN9iFRQUWKDbA5YfBc/+87NaZSFQeWyIvJBBLiqhwmuT
k3EkYPOFjsCUoWm4sOTDYCHh8DPueTMsCQN0g25uD/uiCPOfD0F6F2ScSL/8xj0nW67X0lEK1T7y
jOFJVEgu3fUBhHSjgYSb5IDkp6esPQF+0ViLLagghAIn+NwHj5zP+eCFAQiywRgjUJC5ml0OgPPb
lbaLZTt6GPKNZNhyCRQ65ES+Ajsjoe7iPcT0lTW4SK7PQz/9jPk0ngydgypbH6hT5EnBRy/UtEC/
qF8fsnsftGfDvi2excIsoBgGgDanvN6e+Ct3JZCfcw81+MNRY1v4y6EKwUoRaLGXqK86iGt90MgK
PkneGbTXIij15cUqn85FXIe+BLgWQHJFZGgv4ELQOCqLJC0HLyMMCRKw19KaqFS0unuVTm/43++f
939GE1zCdCKvFUlMqMogf1Kgj2FCtPL9q0000YmioXjTEsPs8TCiJo/gfh+YBRJloKSCOs/tuVom
W/FU1vFUR90TiSkVdNnnCzUVRtK2aIH1uuI54gICpWclXDkIF653toEIf8bmg89piSBMw7ALfNYN
XqsVpAeNYwLY6u1hCEuYojYPBLk93gBkVMI4FoveNlyfGmE4eiN99/aduaFvlTn9BbHEBllPkX4O
5DUi7xlm8E22yMHOTXDzo6+XHp4PYEglZPv+vP0LPRXzdZaieXp4kIi5czv65ycju96WiUrukRrC
Azalm7mp5k5w8K+V+dPRj5/WSiAAmNKe/qgHGZAsCf/51dkK/iyt7CedDFQnyTYld0iyKQek6B1X
cl57809Ojm5KrJbenpOLY7CYkUUIp1c8OlHHADPiTPWzwpn83yHH1uTBVrI18pV8gDRP8JnnOTe3
rEtyHetbWYO5vffu8dRMyAsjW+/rfes8eqZ32FYW/nKt3e7Dcb8r521j3h7vrwLxrS9YvK2yaIiz
XsAXqO+NWbkq3b4f7G/bvrdMCz6fPFkdcVTiEGtj3bn0ZeNahNyTHXE+TJ2ubclrHuFkQy61S9VR
lgNtwtckpLTeNLpK0rqyvkvW9y5Uo9joYaCBzAX6FXDJ/bTf3F+1tYDCzLHpt5NV7+VDGj0AIcqb
+RuEzW/P+WVMvlj1haOvdR1s4SU+ghX3PJpz0esszgA6ghgdisrhF+fvGfgbABIN0PuD0nGSAxu8
FtytTfYiRM073w9yGZ9hv+Q41N7bgRGe7hPigdeFPhMcPoo98Gbbjw3uf9ex7neO+/QqUbo/PuAE
fq0t/+VNDHJ1kLqj3IDEMnDj4rln9bvOGIsIFI2ZiP6YbV0fa5ab5XuUv4JfndWxmfEuCEHy0et9
ytfotq8B5icAIhjxmij5kh9ldo+Qs5yZ1dF5CJrbxdnQOC3uFW5KvTcO+m5msw32ucndpYfBzHWi
QAYO0gem4FQbfYsJahxw2/pwliYYsM3S/om95pivtf1fmSMRrwrEaWDfRZPxb0r1NEwoubwW8rD2
opyhiRkIeg+XUWL6hc87hug3lqgEpSOMQ2OBm675K+eisQU7cXaXaGlqpmMe2rkuRlZujJnT14zz
eE0NrCni19AilzclvlUGV/6cXkW2arHTB1GeNCbGtVewP60EieXsKR7WAN+XTnQ2gpWaKW1VPFXO
N02pGWHZGTCizlnbZwDtJ9DT6ERdYw0DecD8s87dJeoL2BOqhMbXeX+c2xqYyEqp4oZnRDXgPEnR
ojdBpAQ663IbCB+B3MV/p3BIeQqBH0BSOa75HkeIzDqAJvlQXh2z3K16MKeaEWRo3qu8FO7GkYt+
WJqoswptb+BpLAH7mBYIx3uD+YcJqb6XKu8LsHX1CmhJuqpDF2VXcR1odlBUcXpODAZHaKf8OQR1
mkJjNRwgQuGnaLRRILLojBP2EvEHxgnbVOnS17LrdfBhS9UAQHYvN1/lEOsvFStDaVuAhLalIHEE
VbGopdMLX9Z1DZqwMmNj4SpFDZoiAmo7Pv4JJc0PgPHTfUhbocW07iebyUrOtlFrZKMdJXovAvLc
tvHn2HIKgjlJqhozVroJkUQ0gmxHDZpprMiYSBGoY4pEBvGOGqqlmdZRrNzJTGfZtjZyAOKEIgJf
ni+1oIRSlXTy6TjF6L5MulrirW5WD6NSmeiZI05qG23wKWi/4QLWfDUBdg+6lGWWUlR3Qd6e8miJ
0zX8YLC/qM0r0/0Bh1ppInUv9xyYzTNQamyBch4eyzSpgNNnSuGGqdp0ZlcI9cOQ8cHrFGfNZyVn
Ik8Z6HU9MU6MBl1MIE8qNdEonZjnGUfSUW56Uxg7xVRYAnanoKhjUOkXegIiwravvgfQfgmmorEq
NaEUVeKCksY4tsdISny8/XhlWzSZ+F1CeoRzcjnnUH/OOXCYMH2Y7Fybl3uQWk0hepo1IUjQuCZw
IAeRPfsaDzxS2yjA0qoJrzpaXgmG2QCxPyFtm/QybYycz6wZ1+Gl9UzU3VdJccjzMH3Cn2IpCQAu
j+ysKvyGTGNaPTA/EuL9BGVCDKwIGyfqC1+gjOPFcaOVRrPvB36cBeGF4DtRWcRtJQbyyW1UNWJt
M8BPYjIyXvmKWaVBR6RnqWGJnJRKpBqAfa4kkGbQsFP8YdNCPbklVVnzgmnISfiXZXr715A6oJJi
rm4A0FYGYGpYrjcvXC10oBBUJyxaEDQtNM5VsQIHgj51mZUW4Ms1VbkzkK6Wk+qYJKLGQ7TFACU+
l9WRZFaGGkDvq0OaEBRawkjHsQNRSBzy4Y8CrCR4S6pRcYo4FAQqcRqDSR7dUHqEJbGZANiD2UY6
2uWlSWjHXQ/xZ87TAJDVvZoDeM0S8oghjaFMskhRjuk+hr4yngefVx96TONDyzeGk2KVRgpu8OGr
A08iZNQi5MmpwE8oyEWskV4mOYqPGQd28UBRQ5+Ig4GEVtsFGD/zsc+INrTqK5/1GlYUKojfAEjk
eChV4HcM4gjnv8EVmBCpAaAILfxNDTkmHyRfoC4pjJRodcoAHBr65EVokyahSFhXn0M+DFuBy8YI
DCZKuM+10CitQu8Cg86AtU0fQ6+B9MDkBFCB9nlaxSF8V6sX2htXSnm1EeI27ZCMjf3JnPwstPiy
mq95pnDeGAvIQIBhtTwWhZK1bqeLKWYribhZXEfMvtKmL8Eb07b40GhSU502SiZEIPaIRKjVMh6c
Tg0E4p7R3lGiKuIDQQDeTQUPNsDalS+l8nuwUvShgUGraoaORL8SjhowjKOJPIT6WWkNgr+pZtAw
Cfkoec6jbPgo+jIJAdGNNYiVhPOipkaEwqQWF2C26sE8Mm8yeAVDbKod5wOKQpJchddqxFTJrUmb
eGkTA6z52ULPSQP6y+cVSxLKIHLRBVuDBWn0UcDBo7AnPS8lAqQDRixE1xu9aglCPCpQIDJ6PJbl
qSkoD37FN1VomAyW9JZ1xKhG3rDyIRBBRBjV+kMb5wg04yRot7kaxi9hVmqco7V59mrkEldtdaNm
zsQPbeGAq40JBGvCJXbKMkP3wtCI4gcIvgSiydUZiK1Rjen3QxvEc5IIeC5SpWrq1VPJVGcauObJ
KBLuDnnhJH3qQfcDhjC+ZQLaBeVZk0gKgLWD639DVbofiSRMzWfdakZjIU8QfQzoTX0aWVxLROx0
5QFkqU1J9VyrnqcmRWlEKgZFoYAWSwAxaRnfOToix8lKjRZp5SgY2mwry34N8h09KHKHi1K1I3FQ
sucqQfV9I6gtpzq1MvqHQcB1Q9Wkw6A5OdM+hzovk8OklF1DsxRAgydeqVCykCW/LLyhLnSvUKF6
BE+ksdCUWComtNfLpjXFXgnGPZTkQqgJ8wIUgupRynMrDxoDFXUfX08F7M+CqmhjwjTGcQpywwGK
ywg3oLYFGVtl2mfhf1F0Jkt24lAQ/SIimBFbeFNVuVyTXR42hNsDoyQQIBBf36c23QtHu3mg4d7M
vJkT4QSxiQWO5eFSj2UQAiWXTWTmH6ihs1fdbs0PGret45YOcAhO8nY3n+atmtZbL739pUep2V2m
1qcQGpJcQ+0czjv7/kpaBsZbG67ojQjZ471I7sJ6GUlSCjs/f2de5PAKURNLc0qUWW0hvOX4WSc+
L6HiRWPS5m3xr8iOXlQqLAAIRhxleGkUYG5RBX613yWTIZgEjrBtKdNXV7+Bxef9Sa4z5nm2wZCI
Y0mnw33t+jp7sW3OKhqlny2lHX2L+9iHRPvEeZ6gdPKzRjGyx+Iuq3we30Wd+lisz7uHTnqol+4a
L2Oszn5t6n970u/jWXZJ9oSq6AM+ibKtPw2bNyzFnG4TG7RFMnaqQETNydt0uJL7nHk+Oc0R/5fr
Wk+IHkKPumY3plnu+Rb+k5d2rnqYg1U2NwImvPq6V7lNrzbQy5esFaorbTXO/mVKZT891G3rPXhV
Pf5RXTK8usSS2bM0A9qCtB7X9pzXy4Yh2KTj+S4/4lh+0p77sEioFdYQeAGAf+ootMEF93X7MsSL
rd901E/mSYxzU39JliX8KhctsLyGQJsf0iV0ltvc4fjEqN3kt+9q2X0g3biCa6L84LhZ9sltBN9Q
qpZuORbUHcu4ftN4h/877DAqvGPicLshhW3rguo9Dy7VMg0UfBSiyHlkZBtaZZ3ay9oHLWE3OIGe
dTaJkfnjZUtudYhB6uuh8rA5iXFSNGw95h5v1V4F9cl3Fc7tfqa3U+1XQ/wps9nRnY55Hevr0RiN
DBQnxPyOroZOONh7q355dZ7VbxV7SBaehzbstK1i8ymzeoooqgWRbe5N99qGnxVPpU8226NvC6vj
Z1ilwXipDv6xNUstX3RLn1nkaHq/R4G3N2XEVM3r7NXH72TxRXMm3k2+SOjDe20FDYtth/6trpIO
F9BV+q/RLmCCPy5dasshFH9AFZqfsF3OvcqqF/VFyXqifFhN0lz8Rh1j2axBg1v+qOuubJWdmkJT
MTwSzLX/jgcrRLG185QT19VWKO5Swzc0XGJRQShfzJ+GtfzTEDAwXaRezT856OrrlNlgPk8cjUMZ
tYkgwlgwtAflZOr2XMksagp7SLhepyxGYyby57Ltsvpzh+SIwsWfwmfukHQoeuHUD+0oc4o5t3QW
rt3YR3t/4KQva95yIba2yWlCBuv+BkvWvQR9dTDxt8jfOafaR0ii5WAkGhFPE0qN/FuokpQiwEvV
ynxB5B7zdm5oYPzokOew4zYYlyZ/WfdMvo97UF17FULreHly7Q9ffKsx5/5kPWVfSHyrqnKIK7LD
ImuCn3njA98069TxORYRYyyaxP2NsLWMD6rXtLlmtT8t52Zad3Ufrv5oz21CZlux+wc2JJD9cXya
48Vsn3lFFOGtMGDrA1ZsUE7T6N3XCd3xOdn76b0KV5DwRlDrF8dAJkHhNTtDdfMSiv287H2enXuj
G3q8CQMqipEqbk/Jqn19oqM5FPX7AVsEqs4o15A1Y1N6XZZPf92W8c6juW4wy+xa2V1tl88LxxbX
zyM9mDZX0yXyLqlN298iz8bhKfTNOL9kCDQlG5M7a7jGtWe7E0Pf2L1kQzSUyl9xfbExeIpff1Qa
YTRQo/k7AZAlefGZKHQgSNnk7ky/r0ol36Klo+sY440IX090EyKZxW6fvdXkstjSvk8gAtDbIfq3
uymdJomw0PV4nBNOanKfDaw7uTqJAoPfyI0o0jBaH+qEsWuZSH5VHm/6U7i2MqeyCsT91K47cskU
tW1xCG88it7PdxjHNvtehy3WXbNyK+rb3WHyn8Qqf9ojHY/FMNUp7NSa9GkRz7InO3L4sO2EHnG/
qzob/CKy+dCdmiW1mpGPUb3ovvf++GLNANpyK/FBXMygSgzq8DK2rCdNqdpiWJaY+GUetkWc49lk
czF59V4XRobZo9fkSVu6GLakYHIbkmRaWirRDS37PwN/gxlEbOOHiT8j+84mwxODZvTuMurlXxtu
/eegb2p1FqNhS3apEm05UDXV5dD2UYYtfJYwSNEpnimJrXv2/aYzFz/koOFEmbIvrLzmzW6NALDz
m9o7BfmA1fOgQvO077o25+FgLBlvKl4Af4fenmUd+925nvqWFsoKgnaOsB9KPx3VVqbbqj6vKQxD
HXQ4o1K4HTW97G5xDbebT6QnAwnflmjoXnHZTwGbWsphX/dE+0kYxZC0On8i7YndQIZdHPCyZDj2
fztpAnK0k5pjsLEid+c8PZrfbp2P16XdYneKKnAO/pOue+DNGoxug1R/lgmdK289895cOMS/Ah1p
/+ybLmXYMuij9BQiPKiLgOy8d07rXZ76uuuXW5U1Lj0JOrsfYqhin7i3VD7J9tjTc+4NzQ9Htwo2
tCZLUkwj5RB2voN4YjpXYUswOE7d0Hht/rola6Svcds3+C+mib+etzVpidvjCL5J6FTk9UYPQRHG
ov4RxLFV9zQTOqAkXAEvW+HRrqKuPMg2qIZJnzMX1MG5jtL+Nm6dy854fDW/p8HKZw0o3dzCqY+m
2yTnaXwb83rgsl79WZebVShJhknKmhgrZdqLaI4lPgndS3u3BNJ8xzhZcDPOCV7NUo5H+XGFZkV8
+CNtMMHATVnLeAxux7BP/ZVo4CW6BA31rmgxxy01zjEHl0cUEDjtBcFTWnec3Lvy5ycTBpriuvdC
9j3hUVjaaS9sPmkTmPUhMSsNI3OCkCSoZHNqfVD8G7PHzYFZSrB+nJQho7JjE+Oa3CwyGouUJQje
vncVryuMR3uamz0WpWnpA04AxO/8dfuViRtgp6ZO1m+H0Hovl8lomjEPvvJJev4MDLOASRX5zojH
fZQEe0tFtRhxIlcjY7CLlRCWgYnrgDgLhhOKLOuINqhpnydOqDlUD2kXVv5J+9vwOcplPhY0R5x2
h6/iqNyiOu7KKKsRvfdzrbNzpY8eoxWpJkSa5JAEHH1tdN6Crj/e1KapJdXHZEvhosqbynlIIRKA
2WHvBe3JX//Q3o9jSpbgklJdL1yafRyRm8yIe6HSdcmfxqbOKxD/PnsaTb3lYIV7oKgue34GoUrY
kmhTh+I2RIn8mQfT8R56oWPsw3r7v1AeO71MtAZ4l8dYVovKVa/55LHit7Dn/suimmt8RVbwzeuE
pb9IejCwHNxqYicrdxkFR3SR44LDqXcwbHmhnx5RiA3xnD6uuHxhje6GjLyQsOWMXUmAF+eh8wgM
aVy2zuXW7b4ouwoTkLLZ0+VHNCu88pquNnFBew3a02zr8Utsa/RHuSgFvlFJ+GYnN+NONlMb4Xka
s5l11ugIp3ndc4fmkfxt+zRXZfpR4YMQGskBPtfRhyZDr6pcloCRgCEfOMe2luapks7z6LtsxphP
2OunanPiOAt/H+sTWSNR9BTs1b6UPcfB32Hsc7+wsa8ftVER+GCr529hkAx4xvrH8ijEpNuT0+A0
Rdtg7fqY933a3NLMzsEldFsUXjrPQgo3vVRssqCK7AXCZ8OQJPkwgOtD49cnzwZRd7Oc7c950g3e
KWxTACagpKwtpyPR7VPivK592KJO1cUcBNiomI2wI5KsRBuXblqX31GzBOMpGX0pznmIKrQcA9kK
DDbj8D/BtCvf5ugni1+7icPzEdWzKa0Jt2/CZvazJL2WWwCn/bUM68n89FYvp3qd1wQrbzWQ76ma
jpSnLRjT71vygUPuyCHvdO7p7W7UfjOVowsiffbUmtxy0Bx3kswGBIWqZXDLVhqQc54Psr0qJ6Uo
4H9yztLaE5+nxSMPaWqoqnRhd46GE3GDEUOijgvbc+Aza22G10n2A7jxptPs2i1Ye5YdhZUorBO7
AfPXEVM6zD8RWdLFoioDWfsgzBJ69ZJPBnh4oi9rSH/EtBCLaa8/oeiUYHqmiR/meMrMra4/Woup
39liFVcEincATURzmTRLGUx7Np1WFe4/O1aZJrJ86Cl6R9ECfObNeNps2N17ayo9FDNeBAjDS8S5
vecGpMyKxwdCYYBydsDSz7irE3Oe07XdDBHyM4mVu78BgEv9aWlWn0dIVlQFOEng0XPo9rdoBGdg
7fx3QJ3enQIcMSmYFJOflDKTJveSmcuFFD+qNpCiRfwL2hwndk/b2b+GY8bV2jn0/iecPHx1oxCR
ugxYo78tn4uqwMVNds1c1DXf18hUv6jIXFM23d4S9jlOYzjf9B6Q7J5NvvTuu0BN2+Ww/KuAToKI
E9E6hVj8gE19mN4IYCG3uuyExF+YS6Lm9K2fgv5+q4eUWeMxnhLCKhmUfa/t3o8v3mDrwC+2w2/D
QnQ5UTB7j4p62nfn4K3WigxeUJUSfCVKCn/Q9jiZvsLXNgMi/u7anQpJ6257JaW7+p40R/J7qrpD
fe8VZebzzBWSfAm5tN3dUfVB88xT7kSF+XPC1YZZXfjgJ1VY/dy0Ofhgaho/BeMmbanyodYl+8vi
cBZlE+k92IX8MExPsRhiJb5Mm2BmoPKtpDjx90q9ubHfONakxGqX0sjVYiuHRUscFMScgsNXvoj1
0xbvs76rw0UHuF3pdFJvg/MCvsVo0/ap77rOOyWUuXxpo9vXYdAtUiy6JftnUN0iAMhhDGjzUXrI
9JOJFMlBVXP48lJVjZeX3HsbFiOrTer1fum8LOTAVo138qhWt3s8QoKvoOPL45TRwF17qgjSy4zt
kkd3bOa/ehDGMRWu4uVzNPhYJUSNkyDYdIu03rkWUPX8TfJO9tZOtyXd9+G0ztlu7y2UFcf0h8kE
lVuwPsrZuPF9dunQgjzolBleEHjGP+cxvg376svbYjUi5SIR+1JdUff2wXnqKoGZH44JDYE1B59r
tZ7/g1o37YpO9D52H0ImkEJBdHw8E4Hs5Tb6+KxIvfF4q0yzBwC7eT5TmSa4oas1nYs4MEi8vBDI
o+wXm46vhh5pOLeCc/REVE81XfDJrqsrQyLR1zijSuG1idY7tcvgfjYEnFJDrmNV2fOBkIy02c0O
3d2Sz7F62AOxpqemIzzvlPaLbL9tB0fiXVdR3lRgfC5ogoJrYkn+Rn7qI607gvRuqeMlLXIdiR+M
+gbfpTeP7k+71Fn1G6Ruz164XiOaEKc+5IlGUiQ1AflSsdYZBFY7UMUqkBpK+8a7zXGsAbpMozE5
rYC2YAVQLLodcMzE+XHjpDJ+eeSEjPwzVh/ywUsauV2aMVNPZJtPaOO8I6JKM/OBrWBjwqFsp1Ed
rz11yLvXUeCVLk2HLzDpUDnYtmrn3edtbsW3cQixQ5oOaokDd6zhzh18nnIUvhxP9ezr7JrKTSdP
+Ra0GIqM/fxf0EYpsly3DX0xkuuV3gTmxk/ZNndp4eYlOKcd0cNV2KrwPFaUfOdIy+Nh175Ji7rK
0UjGBD3+CZvezx6tnlYfLAogjCI13dOSA2duMIK3xrwmOtzhObT0mbLseordupcxkPQuJAjnIhpa
kZDRCqvkcRdOovvSfDhdnwcvRQO6WjI3plW7V0t13d6hawBeUNyNaTGOmo6oqfzwnZcpnukw9sd+
2dKfNudjFTpu7DVrj0oUWSrnH0eSL1Ehk4GSq5nSqGYVZBNK/bFdAEg3k74E4JgSvCDNGP2YJrEX
gACOaIMt9b70QO5egZSz4rhXJBDgvljTPuejI7QCFiM2PI1mJCXjjmYXTaE7Z5zWXzY3ql8G+O65
swt1mOcbXcZkV961A9jTeXR0emXQLzxTGw9mIk7Q+v+UDKKliMcp+D40nv5Vh723FqPd5WtMgRWf
Vpru/TyHxrxsWJAQ70V83rd1UJRqo1DJ+WjcRIjjR4EJf5H270160JTLtIHqScOmeu8HAgNa9QHU
LzTe5x3lQ0stO3Xbqdltu51sP6Q5+yE2bzlENBjV0jrkhAApqpybMf/uGuSVdwPF/+eDScK3urVw
eFUwEdZUbdY9DZ4Bgg5cY3/VVUa537QD6o0A5Ox+Vl2fXrZAdXfVvGESzJTUgVEFUCbfkUaeNerF
+Q0KKKGg6WT67MAA3rkcot+IfWCGBJQ4HFt1xF+8jtudjmkd3yNeJIbwkju98IwkmSFRbfgrXWfx
eR6mEQYjmKa+9MRiOcSi0LwvuV+9BDEmDGI58i9OVL0PtWNxpA5aA9A/rAOI3d4G5oXZtqQ7czpS
lci6Tr6t4da01ynD+72JE59MHnioT/umyOPyekem7p4vsDM67qwpUyrAuz2PpcbxMl/+1BkcSAH4
Kb+mdaAAwgANX/GDUNsZ/f+cl712Pt52QTNHZTJQRNND2Iov3bjoPsP3rSumvbW/G18xTMmlDFAb
JNu03aghbQxID59dMjIvIc3GeO8u41z5z1M1+Vmx7eBcpdA733eN/W25mpHMHkLZGQzat1DCJdth
/9rbqvu3jfmkylotGSxSt6RflKd0hE9bpN+h/Imozjd64FLNg9BXfnX4uW7i9ijmrc2vXUTFAAdR
Mf0s2/bVTEc43039wqKKiT7SNIlYv7HJnb6NU0d6NDkt/VszzYckcTPf1TlZcYoq/ciJ30cXMX22
ymp7RSXQP0se82mtk40VMX+wGjTFy3ftLfoTwED9x9lmpnWkavu1TNHxKPsQCEe49F4GHwMsdsmT
t6hpEsY21JD+U/sR5mfbral62yOoNtagG+/WhWVl/Dj8Rm/xAZnbDKGZrZV+mNZmmAHcwpl6yA/v
msFV2XmOEoccLe2bX/mwLy8E1fFTF7pldwGf3Kty36L9lxcrpS5uNeN3pBJUPaJO2vREWelhIA4e
cL+FDl/Nbasx+ld+S4hOL902XjpK3resiY7pB7rTlRgbk+hZXiMPIW0pM2+6eHttpod1zmGa08h9
rLJussct3cImvsFXhA10uS/l3Tpagsf2dCfOo1m8I7x1Qy6/dWy1GKTWJNF/YLFL8JXJ2sj8oLas
kVhsWPnAf0fNJfQ6HZQc3MEPAHiVXpd9bv3zoLeFF2j21KON4n8NmJ+hMFvXAPsGdNBL8uyjC6Ac
bKtxuk8OKtlTCCP8I1VQ46eKM8o/q6GPkUxA76Mnp/tob/Rl1VaKfavyy3Es2DPFPfDUNe+CYWLI
zE2AFNmm/4ocAgrkrVveM5oywWpPeZEW9WJfsiGW34MQUqIQP5hpytfNC+4nantzieQKCF7IblJf
VQ1J81vwx9nD2PpeW5qR0NEzAW5ihY6oZXQ6yJLz2sJBfWQnc/AXfuJMi/OHsZo7csHAzzlPquw5
cWn8b52cX50XEYxBUbs2+ynIvACL8FcfNhgm/pImnbfduoZhETTRNKQomnx8kN0cW2I2zaKBDIg2
9eZzsu0csrsHPHlhRjmdzyw7UAG46hgx3eEUU/XWY6Mq58nnSPdt+zQnGmw0BT1BCREjsbmnbo1x
CWt1hWtrGyMjqrhyZTkkcavKyISOynUSyZsf5AcJVKOjlUzmqYe3l9m00ezlDVBa5PfDBRkMo/Iu
RncE65kpqLpVBF/7MPjgOQaMdu52t1VZoYVNA87tPFnKoclpflYqelF4GRDplsPxlsDx4j/28Y5o
ZFwXGMl9mesTViXCfQ17w40v5LZ4Z/RTY3dvWr9jYR4NtJhFRpGebUrXWnKgZiujUrWLTpint7wg
10l96mUY7U/1NgcwvAZ+7jh74dwd53WUrnneTZ1ibTTDQD0nEeq/hvPUZuvzBpq2nVSij+Zej1b2
Tyb1G/9q4yHc7nKzAdfLufO9Z3RVe3Nr0yHPaDd39ShmXS8U4V5uu68AeL2l0RmNfo2Ma30H4xOP
7ZegSvr8TugM0mUdvCThDQMzf6ubMZiuKpBg9Pnhb18i2rO0aLDa/3DgbebhtLt8c9e80hn4Xecx
gq69cf+DYAw4jDzhzF7Q+hGJB1oZ6UvfH2K+VA6yVcdu+89G3rpeAq9S+qS0cHvpHYb0jS3WqPQc
zwXBQnf3LBu71jeLiyv3k9qq/QH13UKuhICZLZvEAkf4QFAgl3JTebl+ZDGW1B8bw0gyZFhOLgeI
rFjMOL7WsgGp56LdjnPQJwxPTG3+ISzyt9Rd+0ksP+hy6pdsr+FDwqydw3JGxzCBfODBdV56ZR8N
PP9xkd5U1zgpUFh872y2MKbXjqK68JFRw6kB9pfwtLFeTuM26hxVRXjkQB+qmj7lHTHMBRlRW3du
d81ikku0oywzk96/D+gViY8z4WzfD36lfpkr5HnnNZFR82pX2PPvtfD6GCVahYt3EuiBmnsfpH0y
zA48TqQ0Ld+C8LAjpkvpxG6zXL5lNbU4yNbBjJ/tWGNQmhcV6XDtm5QwNGUVM2MADAy5C6jVHNWj
UzqGLsqyvingMVJ1h2Byj+/VjNb2DGDd7pdxzRkItWO+BxcqVJGeAXEUcwZ88urOtbV58iCx9M0x
09K9rTlg1rsvxia8V1w9zZ9VZWJ5CByzy0WX+cl+c1uffgp0tjTXutrlUarGBViVpghRHqt9YFAb
aSWGVetxgM41njjotyEV2q+en0UzsQ2Zzj8vuSfWH/EYdayuuN7C+4M6B9fXKjamNPxYeTqWrYOO
RDCyYg41BNxafZWJT1gsZfl13eEXb8Ow5D1YaUo1Vy4z++cKEzyvRSTDOLjgZdm58xQlVc4qWzIE
GckcN/dKbKzKDZHVfp20n6q/weQfLXqtCKHbMua5hBOb9e59FTExjOdu9aruikpj709eYoPxiVN5
eB5lwDWog2zcngd+Xn5TZh+qd0Vmo331MXnn0bmuqsd+qyhvd2nr34HHcPanoM84mVMwau8B9pCs
ggG8F6eGsQm6P9uehiQ/zDoy53rXMewpOHx117UAAyg2jh1GioN7H87Hvg0BIWQiWb54UDrLB20D
30e9KdAkAlJXzd1KPOZvkIhNeQWim8idlHFVWlg4vOFuhQmATc6lCS+eyr3tkvgJPuwu7ER9n3p6
Ca8JoctfMlW1x81zXdhcrYX/LmYTV7/7tEaeszJ6PsCScG3rAiwGYBfJC80G/fHKrFXmjesJZhxJ
vmeXlOsj57JGnGbCDynJnC03T6+eeWCbI2QQh4z7/9RAP1a4cAqS85bbMD3Fdk2AiYJwTPFO21X3
kOrMPuRTRwvoFg9vpiU+4p08xI7IF5+09vbiuR7BSJToOC7DOUH2yy3JteqPjrbAVNTSUw8Le9UI
kPdCUvSYwrdi8U5SKZyv1ypEgNcC+kBjINBizCaH+jx3akq7H71e/J8qnuwE5mDQ4aG7yE1htiz7
AUMcE18ldPBGf4TRkZu6mKOvm6f2M6SJ3K67guq561T0sZcXf2fvd3JPoa3SnWvaxOlUTr0xhFQe
vr/QuDEGfu/VXsgiOBLA7TDpu6MY44/+yqxh5NCtqEDcKaYA3M07dAclK2sKMi9Ooo8KYqYXZQY7
yU+qQjZBGzgIPInWoyaDcpznf1ITZ1enXZeeJdzKy6FT0Jp8VT6zwFV2vHNyMG400Ye+RDlk6HWq
5v3r5jVM+edaza8A+uNTLqa2ogWa3VuLq8d2bSdljstAc3+gJpyiv4rVlBTAPFQ2bRC5GMr0SCEX
0y1AXZSL5V/izS6+1eka8OMx/uhBh1yLeUeWeL8gUZYW1d2Yvs4Opq1c887IslILijJT+/YRowyL
BQsVSnALXJ5jWLg4R27mvjTf/DYPf9CdjZ+tROhdrFvu96VFchzcDLTbHy+MuxH1eCpN6RO2XZ/g
XWcGC7NuesTpuGa6qukQ+TiIg68ZQkB9yxwaof8McPeKNDBj2SIil+09MEU8YX8prV+suxaoymrW
/BnN2LZQAYYsuN5MPujCnO5/MzscpAsS7+pdltqiqthJmj+uKMn8T5bd059UnmyUsHwLmKckong1
cxtecQHNkQYoIcOzisDWTiuSXe6ZOHLtrfK10cAP/aKuSrcYALJdGa/O0qUD0hGNf3dEwuPezKLB
4tkgkgffz9EpmpE0Eu4CLi0UBntTX9K1E2FpQ4oONtisxvPih8gR9xQClxbrQz+YhuvOfJpGtwSr
sAWO+I6KBV5ZR8NDbeTvt1l29nODXFwBxVFB4IjVYYdhgJa3M6Vxd/PyPBgfodDzLzn8/3DO4tVD
LD/LNClXbziiuw456n4Pc8Bu8A5k1WfZbtQCWzQpdKwdsFCZtvVEeuCY7V9FSn9UgnISULulAxx+
P+emPZtUxkHpH9aH5ZPr9Go6MjWLJBPqx5YmI5JaZ6v0Fq6CZzb7/DlaevE30Z33hiQne7aVQWsw
zqj97nkY8K+9C4ehHNPNIjmfBIZOtAHu95JNifq+m9Efi0y5cC76tKuTZ8iKqMFNT3oyhGap4yC8
G+DoWHaQywFSfLTGZ+PPyfG1EcC3BQhUiy/1EmF12sfjOlzm9Eg+B3ydvNSJaadPH1qaX0Dicijl
MbVzGSldv1adoaKXrKx7iBLWfpTQU15UO89vDUk9RL84yMTrstQeaOfsV9857w9xoQQ9qpOsRqA5
M7PDy+xQvf+ossjdomOu0dq6RVFqtwvwMr+8975n2WHoPPuWyRm7RXH1c4EJun0kSSQINVjC7pr4
ckbob/r9zfPixZVWAHn8VEtk6FfGCRc+zGy9AAt+TmKgjN69yMopNF6pIYQiGxkuuURBaPZ7yRH3
BR5G/DYJ6sa7QczrzwkNRXOakpjdFaIv3m6tySRz0tns7Ismq4h8qcbNzbcs3prtwrtVHINL5L3b
ecrSc1dzDpfTsCT7/abrymRoO+Lo08ZIh0WMZSLmHNskywtQhMNesr7K04tte/0By/T5z2wMxH9q
DfcRFbCKvnjSzN/jySPikiQm151VWq2uXNtDvMxj33HfctKYy5B2gccUe43RFAKOEXpWiT6qPiPI
bOfTYgV+ZZQdyfQGm5JitKcpRMtsS/GV98cRRHtx0v+5xrZ57uYmIkMrckCNw0C79jnMD7Klx7rd
UcNs3oTFuFpEePoY95hAMHbzHm4qnEr0IdWXjXSsEQFs29ZcCRxkZzpj+SCzRXCpxTUoNHUVUxjA
ycM35Y/LH+rnfn/UvQGzyTa7irNnQt3ctXyFv0sy9v3P2GcmBEyKk+dk1w20IjKGKzQfCSA+zUnd
LOe0mev+Fx+wQZpNh7qedubgscDlNpanNIr7XyPX45P/P2ln0ty2smThX4QIVAEFoLacREqiSA2W
bG0QlgfM84xf3x/dG5tSi/Feb27cKVws1JR58pyTgzm+wsFN1NKbFfylSvSqWc6N6XzvRqtSm5ab
MyIxdCrji0hOUjlKz7zSeeHr6c1Cw3BISrhmb3Udj8augRVtruDrRdVNjLng/DgHlDKXkRODKlDl
BQ9eo6TJ0h1ost/8JAyyzU3rOaO8TsYxLw+GqGvutXEerEVvDdRHVF1bAqaD8BPrpp1U468gCHYO
Jjltbz+ocrTx9oi5BLYz7wIdOIIhgotXyj68qudmSDah3VTpVjVB5l73PNHGDoyYAiitYanDO8Ju
xYrXMTQ3gVTUxwOSMTAPL2gfokaTrZvKrp6HsHSmRel4VHwFnKlHR7eRWPEYpjinSrTtUCtCyqFt
5lVc7rNT3pUTHdcJp2q730DBFvxqf4IWTyuOEYLdbHFpUAzv86uqNgr7lu3oBuuxJY9fBgIgfFGh
tLCvuAfnbpkhojW22hSw+FpYYXzepKSTujkYrzg5VI9p3dbdvW5Sy14Xg+m/OQ2MkyhVqb8acj/8
GYy2by2C1oqi/ehOBoAMuqzwVuKL/Aayod/6wiUFTkZTeQ8p2b4J1QRGW3KVUC6DYkylsHv0EUFB
xQizhvBTqZGzOLu+uWmidgp3g4L+yz1lhsPKrK1q2qRD4/m3pulLXq7Bk+WRHikhTdfr5sTfix23
8V5tg1yBTZpOL0PRJuJKiBrCu+eXWtz2zkz1Z8znydr7NgSYjXDlTKAhhOzdcp0jsqg6GD4pBDdQ
sHwswysVTaqE0FCIEjzAVi4Wj/E8MZIByTjPtG3shQCWDTi9QqFFphBdPmWUHPNNBiAwL6vGl9wN
Okt+Ruy3cOlRbS6fa+VGuAgghCDtMOPB+u4mVoMMSFsD4jVavDfYVzThDPJMFDYMff1WUgH7pSc7
R0Mo8TV8MMYpD8JFaXgpAEY51U9J3Jqa8NuQRnHTmknC5ZQG5UuN5o2yUW8W3+Zy7J9qc+qsBz0G
dIIqyi7/Kuuss5d91g7mQtEl1vlKY4ESzmgEj3chwzFj681DBYgYE0bJ5TCqydtYHj4YqHTcudiM
UzPeSLsm8YGgNoeHAYxKkCxHYDMdJsTFD7ucgYxbr2jpq45uw8rWzeDNz1OovWOGTKkmUpaxuzcB
KjN6PfttcNvLMPbW8LeiZG+bdR7cj1Y+WzWBk44yOAwEVhPUyWL07ifIzf0XSuLiW2NSG1pj4WGk
67CF5cIFHbo8sSALwyLIO2xDcqHCJ8zmkn7bC/jVFHjGMTtYvjwpbZDcDaR+tMpY+6nBe+GnYfyD
kroJsAddoNNHp8Yr7jH18Itcsgd5WSBWe9/aJs6eEpfqDhqaLAOQJXMVmybRDvvID1u5hALb3lL0
JW9tCju7g/l8UlaPjRwWUkzqW+2ac3ak8kncNOKzHKxc0WSvIFYW7xdVSFg/nSrQTAgg996JaYqs
5shBLZGfqM1mJAbvFiYCRba0cxt4UaRf6TJIokTzIpdU/X3Ff/0N8BsEOwf8qNhEDiQl4g0o9txf
rahW6D5FtvdpeynWEbEu9Bcv7aFDpqaVDYeAWDHaDW48d1emmdevMXVrnFdna+rJ+EUfLdw4rH6N
anReQ7MquSByES/j3kuOhT94XwUikFfXiGsoiAFi55VwvUat8q5AHVqLInmth84QN5ESKCQgsUf9
Wga62SVDq2hXDEtO3VrtEHVf41p1/oLD69LSgzJqvXKdCG5zZxvwfkttYcgf56lFFbwavRcCavqH
OsgRMHnyAxRpcP1hQmp/Glkht/PHk1pjChd8eiKtPmlVtUT93ZqE54r2m2WTieFb11gAgzS9H4Ot
Z5c2klF90txRRiKUXxoUj0Lkj1MmUcZ59b2qe2sPTtF2oKtp+yMfPReljQIDBWhCQDP/IlIan0fK
bN0mKEsC0U3gwpzNF2RRw0o6YYrJG5kdabedjN3Si3y6TzRVkcuVH9YILHI7zB4L7YQlpJHMqZdt
H1e49oveKGBq+Pk9sk02m5a9eU2I7nsr06jCRxoc2MbNLDNRr+Kx86e7xgkzot661PZKA+8HBF8O
dxWHAlpHXYv2hU5ajbPsXGp9Pk41PbU5b3zxoy4cXuZxBoaupRN1kLpO23QIEvsXQA3rEKO89Lcm
DU6JujnWrNI4W3JJ2VCxknZPUxEbTtbKrWwDq43hBG348ylIqgILoW6jqWdCpY/MmynSKNtlFtlP
VVBVtG/0JBQcJwgakLTAMDr6EXXdEyXfHDZOivoA5D/y/ZUr6+GG7jAxgChf8kBenhyc1kdMBAZV
ZEtVdEO3pnO22S+65iSSVoZJMTdC6GkvKGjKG1CR7rVPRD8sxj6e9hnpXsTT5/vjVd6fyJrUn837
0eSj3PUttYodBbW+xCOwyX9Amy9J0JXK7/iA8Qg+B6uVAkhk1Ruhk4IKQ28LpEUQGlFHFHN9bIyu
TFdBWpDrG5ofsVZ27X23rA6hASAo/PPMlh1BeID3LI07ZyTfHIesgpdwInUORkbiaHq5iXoXeuAS
QFO/OK523nIzLvhn8OyXNjXNWxLYaF4W1JueA59geWkPc4FooPOT+wb5mlh48BXBd4HlFhDJQVZ4
lGD7lgDMP7h9q2ADhx6xIEsyWpsx8kexUFY6cd4DjRM4cVLn7qPZbI9BZEzHUIrcXFGczqorJ9Pj
76xCi7KIVUvl0CM5/UIFo/yC+IhnyrPSRG1FA//+pqZm+SNLfPQKc2L1ah06YfKAq2pPsl9Z3Z0q
KdCfiAAd5Y6myh7tsU7lGpM0OJPBPMbXPm3a0OLlJrYuTqlc0n5h+XnOFRyVes8dbED78pX0YBEI
IypfbZhIGOCg72ni7xFcSKiK7IjsWthGNaxqpTSSkYB2C/emSQZ+tKvcq6+5u/rfmA7Y1S0pVhde
VZnKX0aaoCmYXXHRPMWlXRibKE+9uwhkkrc1MllYJgKdrjcBRXASsCAhlLFNKY8EtbVvBGrICqFT
OtrDOsvBMJ/nTAXHYaSkdwvIaT4kppfWN7F2wLNbq7Siu8FtVH3j59aJkt1pEa7TkbgdCVIy/0BA
TOWIDIeQhgSQkjMl4uCb1xA18X/46rflguiyumFBV0SGoajbQjfc1vPg6WWeSv+At1TUrftRN/eD
QRPlnaJOLL76tW892W3cfJ9tMVQwlLoyXNhpSbIKVUG3LtSJLDHCRZdo2hC6ru9Mu9pMzfkGHUzh
3aOsnh6tPIEKMcYVqvtTSNZeN6UbjixjisAPnQd1tDGNPWMVl3UFdTIaLH8tzYzHAgqVv6VI0H9p
ZW69ALrEtA3q2hhf9cbxvGUQBvXr7HkW9O7enMwFco/oez3r9pvOE4MDONoIUUZopz8lERIFxAYE
ZwkxeuxfBiPpKOJ13Iobaj6WfduIkYwYNVF7myJ7RRynA64j0vdkpaditBeBl0GW7oEgCt6EmeJg
Z9kmegnMMZ2NbRLh3+th0ProoheC3+cOwYMBXtgfRmfQeDNYJDU5eLsB1RYpp48rlZFDp8mQp7ZL
sypqa2tbIRy0hGzCXU2U9PSysoPmKU9Uj3KuQyBEzdf1171tmfauaoqSYk3o1t/K2miaqz5LUbGG
XZeuRB05Dre3n1fw8mknSLhlfiv72aQSnZcFUGtsZVsB0nsSsNXZGkxCNZyfcc6WfSzJ4Dpbhtsh
5bK4Rgnvw2yPEmP4SrST4bpEmSu6S6DOtL9I4HI8NFIfb6AF6Gjq8q6H012JfuB5kC202bwlllhY
Ug7V42RrGybfDJuUn+up9JmYtIt2WHv1P5MQadICqlLF/VC61jeVG9NdYk5swiIqymTTV135ZYzH
7NGN0hkwYqim147H+mcPQcU5SaS6Yx5GRrnConuS8PpN+LyuN6pH5U+wB1XtWS9pWJ6ugsn1syVy
uzxlPQj1YADCqlxEVYuRTmtDCFtpfqe7mLiLnhVWE3Ct6ih4bv0wiR4tmFxU/rlX08dKjuGXJPPG
CZZi2x3BheuSrTgjo+kC0+u3lIKA4FXQZmpjCoS6ixLo8Zc7EWeuGmuO79rJR5uL1qyB64Io7inF
gs6HnStxbqHT6IS8ZorS13YuPaSWgwFRlafxu8nxrlfQR/NXF+Qd8ylUiP0KGQcOBvlgukuK08ML
BnGTjQoxjg/Y9Wt673mmYV61hJh7WBHhCzwkuPSqnGPcVXHueEHc1dcbHIqD6sqH7xRAEW+S6vvM
O04MZibWIxmmFy4zK4fVb0ZNfQ/rZIyuYSwF/GtnGPOdg7dMcTunWbet5rpml1BMiti7tgMFmpLA
C8b9LIHbtP1dMhf2ay2hmy5cWh/joVsPgNyGRsoDlciBLwUo3DzZpOc/0Hhk7VXm1+I3th2VXI+0
fqIpENV5mmb2wWk1OhnBrcfTbO6o7ZmzQiZSlpR2q1IW1tJNygn3dCZg3Ln1XDwDjVH0Cfwhf+HS
ze9GYgJzCULrES01UXfqch9GP7gBOrFADjbq2wm/CkrFMtbXIMWW2kKCzZIHGz+AnmkW4IB113qE
iToZ9q4NL4srr8RENKoIqRZRknLh9KlqnC89tmzhdwQrQXiVO318C3HK0iCLGBuxaWFllECV4xZY
paq2TdhhqKBi6JNLR8a01Jps05XLuXQHVAEq1z9P3Kp9T/3AvJobb1AE7NVU35xQ5O8RVhUJ5ATX
+pIoqUHNxyH0DoUYmuqBOhXqssw7mRoYUSLqu9TK22Tdubn62sbBhOcw0dnBp+ZELA/l6WspJuQs
vcxnyuVGNOV0OJ5IkXWf9GD/RZDmYEYn1gb4OxuBo1AhbjT7mnjfrSZxlzdzcMC4J77thIMCe8EF
VyePGYI9fee4Qy6I0toYzffStE1DmHd4sJBGbIq4Ur4HqbdTzduc0Y6vXoHbQpRdZJ7tDuOGdq+9
0d1DxBeVOHpTh7LqSoQyylDzoATMggc94a1Q3XgWnGAyRfItK1g7aOmVizQFXXi0o5mfZ9C2WYnU
IE6tw+q7UzqzSQYI32mVRH2JJD13XH8T+XTPyVdFLSWupLFH9I0BVG/mv8smqOBkUq8ehr1RaFs/
wk6fvbUshoHIy4wwULCK1vUXnSWmXxbWLcX17BNwUFywy/xpiPysvA65CdWqo/nEq8a7yTw2VPJP
Om0uee+n0WdDcJTupKnZeDLRGFSOUdrtEiNz56vcGmj/fHISAXIZgiz4Pk9One2mcgitbQvaGez1
gPfnNaZ/3JmymcNsNZixOz62nGn6EOeu46DKwAvhuepkPN80XqL8PdoilFaSBBX9FtVQaBCC09/K
BVQ8BFmLnNOliFsRj6xBPmrjAfAE0c6YULq9NnDYHBcm7i+cnhl3AmyMUmg5Qasn/liK6P2CzHs4
QXwV7TCHLIcMp4U44uGbwKnvRjEjItYUCGBcxF9UXzvfJfIZ3oty0A+inHP6GUvAzonSIjKhNIuJ
bHh3chJx7atF4vrT0faV3R8oTfGGcSLtL43l0YEz4Izf9UbfY3XAcutrQ9X6xxhWwVvCB5jXIZRw
E6ABZGfd1U7zIwsHwsfBjoBA3Yz6kW8N/JmRPw9o5mw5fyvnwPC3MimNekv5bnzuc3fY5I4jm6u2
8cf+Lh9rTFc8+ASPvQbigzaBBng7+iV6U8x/BvaKm2B+2rMD7+aCF/YmdKH+QJvkdsAvKPbXFLrr
7ZzNbbUu2qp4mKY/750lxi+VRRFuVcuQKibSmdxZhozrLsNBixGMXCWoTKrOHrd+kYQv2I1EZA1d
pm8RsuJ1MthpsU5todwFTAtYqpGChr4Auu2KLdd7yZ1l9/j+zGF4D9gl6gVpO0BdY5KBnYArYa0b
NJiPlPApTVtVahymMASyrYMM0brf6+73MDgt6SkHqFzH8ClI1UGKC+BBFGl3AeJQH8uHQnS7EQzl
xptbSNMjLdrpn4p7j7zprNKDZh00cCdMSrMVByob43VolQ1TC/x2vpUuMCiy9Nrvl0MDKo2viJhJ
SBrch49pbY3Rldd44UmgVVXmrezRFVA6MMDtynrsx5WZkXEtyX9NuBNTDBfLLRqkJEGPxQIVuXgR
NNIqVjIJhl9Q58n9fAineGSGbmdfFY0bICHhvb4qcBad15iDqYewwi1hhWdHf28OHiXuzvdJnODn
sc9S+G5fWr+yKRbrplm5Nlgz1Dmzvsf6JQLPQrJQ37r4jD1PxTD6dwVNZ188c6pXiZRd/22yKHmD
o086Ju6lXs/5pk6LUBY/UPiNda8XlHXMfIlLKNYuIgaKXMM5geNqYS4A4YLUTKDVrNVLeUp7Vr7C
Jphf7JTZTtuz/6U2XfTOFG7Vo1ua0wpReX+o+jrdzBBdA3j0TvsT+T7cHZQh4O/Y9JFszMC+5pos
3jxgNKNPSmXqpAsQyAStOuJtsTbQN2HaAQ8ZDiGcCWSl5UyhXWZ1+pJkQ+rfeGlqjHC8U3OVxQ5G
AVp4/L0uFSZngxrmfUXS/qNAZoBI3Rjih3CulUREhyxmAQO5s6hTwi3exIIKP/tMNzeFKXxJ4xNd
5w+lHYCj5Gbe/M5FX74VQMP8gjr3SNJBDKa3XmW1u/Z0NR4yoK1hEeW+pX85pkEJyaI2fxWIRNO9
aRLtI/YRTolm3MvIitoyz2AKVNb1aNfUUJpchcGucBpvXmlKUOXa6yRtdTxY9zfiZDG0noqwP3Cx
9smaQhMsNMF1YFydGrdZd2XWTcMNSgAEEwPeI2JXRWjDNEk1PECzad4c19XjLYoR7RzBr7WNLhZJ
hztqrKR6I+XIoTIMjXjrZB0isMh2w+8oBmIYwY0e2kMYjE6zt7rxxEvrRbSfx7EsD/i8y2Fv9v5I
wQQpS5Rs4DF4bNwhQRIoUP/+iMCAv2s0F0d4Q7C9CSh6F4MgjdaRv5fF3kXaYOzIWnqJLrgt0nVF
FarACwIJDaBEBEdt4RNLGUtNi7FkU6ckTpysiKrgMqotQ66c1Pf8a245jDyVZZxIRHjr4UPTz0N3
hJCPjzkbv/QwMwlmGH/tUkV2Zx2CxsihsKAkjgYetRBtRr0UXNbZAxjQjDaTzmNqM7Q6KLZaJQgT
KbZ11mbGmtO+mQaKbickWLJ5eX5XpKZzuIxS0f4cuso6Zja21ulSd6A8+4k+g5hQ5Y7pc2UGU1vd
QLLJ7K8CKwmKwMowhnsgqrB+hi0ZIqV2YRHYqxi6C2wYSXkQbBBHlfw5cnvnR8pFA/vDokbhzr1N
vWdw8H6E0uamq6GGhg4bnMLrJiuT1t+lg9O7V7j01M2VHghYeBDhcOilGddJCdfZ0RhqjnXcXRd5
hho57GtrP46BGWhQ6lBYb3Nu17cyB93/6kLoEscW6iEGX/PUeg9x2Vb+rUYkCXpRGgY26TPDXFUI
bo2vwm76gna+/GmPqQvev9VVTTEf9YuEfoc8PLGzlfSD6r412lzuOrAFD/MlKR9jGQU4wZuS4LpK
Bpg9xkkKmVOMMK+JeYN4Nwac2G3Iqjy0tSDL1HWLyUDmeuErCebYXOGa2R176VbNOhqcroem3BrB
Dk1xYC7LvphQcyFCEMaNB3iPXZevQ//eT0r5Iy6NoNqVXlV6MNM1WQjSXueVK6XFWailWIePU+D1
CWCDa3kUzxooMdXXYuYBLNHPZWFyHYax2b56JvE22AAK+HURTZV1p/ClC7dFDBMBSzR8oxYKII/+
wGkcJC9YtAzBiaOrzIeiasriQAtgOkzUlt00x0ZX0N1mlszcoRMKiNmloazqye5KhxJ11wB69ANe
b6usCe3sCGw+jteWA+3H6C0HJYBrFz4ytq63iRRHNezxnJ5/2l6vImi5bfx2wQP3vb+1xMEQFoky
Jc+vPPNWTfpMeDCf2j284S56lGm2zuDgMSDkJnMxG8FTMKebrhA7b9sul6zUBfNl8ZE5qSehF5n0
BqFJyNlPqJzcLUfNT6Cp3YTbdbDGQmQFL2Sf7ehXsQw2F5sLnPxrz+1D6ZasTo7eFmLFMz9Ug2n1
qRt0+yGtpnVf0wClhoJFPXiguyA6AkgVmlstGatuYzjutxzJ2s7sQ3kIkCj4F5yI33WPEFLDJqXd
vWvioHpuZK46fHTCouj2lD/W/bSNs186+IpB14XFfu80fBoHr3c+Nq4/3tmXngfRSbRJ3d67H9un
YjmNO3evjHW7dMVTlO/rlRVcZRgxLAuaOR6yS41ZPljpf8Y/sxUGAAkl7gpoT7+TUZctDU3VGjnf
9FPthw3U8i2Vk1BsQn3hA4sPZw6IqWmOLZn7+czdiE58ZtvRfqVczt3djF8GyU5gXuE9oHkoVYmi
4DdpJ7DzujxRjtvdZP2Wg7Epi+TCln//HQDgTPO03KdG038awf9lHVy3CDx7PMv2VHcOQbWhhLaP
q4fPV/vDQQS9G9jfriPONxU1WmtMETDshZ3dw+W7sbqH2H78LwYhVaUMQGQmzzuPJ3lgtY7t93u8
bJ+1I36hWr/3QuuCR/b5XDgWhCDIAV0Nrqi8s/PqGLoxPVXiohS91OJBul+86sIQ5zuEIYQJuQQz
YUXMKM5aromy1zQWl/EBHmrZrmvkpM62TrewKz7/ZOeH/Xygs61ICK1aj6jsEJf3bfKQ+L+lfqu7
w+ejfPDF/pnO2VGLaFkwp7WID039JqOfnj7Ml3p0XfpiZ37PKkxSapV8sdReNt3B4vGa1hDAnfrC
vXFpLmerXxqjH46RFR/c6Iuv7nz7p11caPNwaVFOP+GvE4kJ22jrns81+EcV3LEoZvwwNf/haTlf
+rPuLmFvIbIyGQUPwWUqsMnwvtrO/f9v5U/L9tdUInQCNgTQ+GAhPUmMX9gHIry8sL1On/zvB/R/
Z0JgaQlTcnLOZgI/oDRK04kPJxeyBYWza7NFiPv5TD5cFI9ivOJRdGC5/TsTEjn4zPRDOYTlwcNL
NsZsVEQ/66G8MNC75+E0Ham4YCwXIMWyzk6L2+fCDKckPUTtLehG1Nx6HW7O8Afn8tukQO2oc+GP
uZnlwXe/Jvh7W5m3HKnMhHAvNTZgn0/93Ev9/Aedna2xne3J8PlB4SzXKfZnkZKUeoNVbZRI6uil
8vL5gB9967+/wNkZowOG7zSAQodeX8nvOc6SmUdd8+KXPq3Z+cb5e5yzgza7FaBpFaSHBP/SDM4y
SjvYQdi96Svs9DTSy2TcuGgfPp/fnx15PrBnubx6loDmfb5jOy8RJrqQ9KBz44BwEkbdEXM9lAAY
9xmPyYP7RqbY32bXzm2GXRMw+KU2Ix99Y8/2Ts0MCPZs5+wbx1aougnu3qFchd06NGilgrJf5Zem
enpB3k1VCUeiMFA09jn7xpPwfEiHbXqo2gcg3wVuaSlJmvjmL9x7e4OhFlS+dHnhA5+39HAljZsI
ZxyTAMuRztmVkEDxqgGYpqPEyMMkj21whaA/c9w/OMOTKG4ABmMAm8698uTbWKXH01pAgJmwByu3
oB4b1WcXftW7N+rsR51dhm0UTSOWb9OxQ3g5jU8RRggaa7EO9EIUm88/wbtL8TQYsbWFsY6WtM74
974qcf9Umc8XcIMHkJ9FXf/6zwdw+PNPnaEwYDrPlIAsoRipcjoOVPEsC4tu49vnI/wJc/7ZO8zh
7yHO5mD0o/JIzacj8dDC8W5D+ydzvrOT9YBtN2XxHRYgfaUvrNP/MS6ZmOsqAjB9djbAfPE+zPvp
mOR3ffkNO8SVcZLt6YPhYYP0NnbYTV5q7vbuQDJZPqNLg0D6nBDC/rtgDVKWipr+fDQwk24zpBGc
SZgrezu8cCY/GonO2IJskw4Z9A35dySv8v16CCrzaAdYr2Mp5cc7fMMhSl1oYH1poPPvqPMxsYPU
PHa4C9zh82sAV+Kcy8FNd+2kvdXnG+bD8VwJPv8nmfHO3ugJcIGMeDSPskkWafuoiZ9wx6+y3efj
vHsQpXPCCGwpgUddKc+WSgVwk+C9mAjg3UOrkqu2egqqGkslm/KMPPaF+fj5iPL93cGQLrENqARJ
x/mFlqFtb+xhMo9uga9qahtvje94X7KZUk+G39eNsq3iuqFsd203s/gJ2ldtbVDQFV6xzV0WU9Ka
BfrghR/E2c3YwnLHvU1d4ySy6NrytUXxgjRbtdseY4pFS+ljaQzGXeapeIenZ/gNiXl44aR99CEt
VDAYYrHjpTrbiZBpCgQo0jyK4TH/Fifcg8u5X7X1XXlhK35wpslt8YgEZ+E6FOd9WCnHGEVTao4X
ruFJKTal46yj+dryxmWJu86IRmeY8XWap/Xna/d+6U7XCC3NPS5Jl8Du3+NWNImka8c4H13H2OB+
gPuHsemz6xD+WmO9fj7Yn16I/96Z/4529kmR+Qtevn4+1j8gprff5p/i0bzWm3jjr+yd3PUBDogL
/T27DZ66p/K63nz+A/50u3n3AyTpN3mrUs6f/nJ/hfy2gXUPZNT5OFwHD5QTbugVadypB2c1X5XP
d9Exo7Wr3jXbeA8j68Lg76INyexty6OjuOIv8nRD/DV4gi0SDGF3PgYN5k1oq25CR23tOPsqMmq/
+DzjDde+FSil0YytWmv++t/8Ag3Qyr6WFiDBv79glAo2PL4jx6YxOFz1M7jtzh9XQ6x2CNVfkUnD
xXe8ZNER134++Ec7jYiHzttKnFxZz+6lLgrmuKHqf7Ty5sm7btylzvPHbP7tlVf/r5H+7MK/vnNI
1R3hivNnTxcLG8089fjrbE53xoDCycufPx/v/c1+go2I1QE6Fc/j2brmFrQnnQTmkRled46/wQQa
T4jywesvjPThRQH8i96Xx5jH/2woQOdwts2MO+lQOQXCjx9x80RbuBixm+GXiyo111XhXrqfPpzh
X8Oe7Ru8Ba0sqRnWcJtN3V9Fbb00nHKfxv6T70s45eswaPZBWeMRvcLlqzOG60gn6xJ0vr7UffwU
lZ8fYl4bEEpXYc7mnO2kURZ9gT+recyHNLrS/fibbkPDdkwwCPh8ZT/as2RAytSCPkbqfCdlMlew
WZm3Tf0tmTFo3kKcLIcvCvXy50P9gTLPZ/X3WGdo11yPZWWniXkcVIfei54yS8rPW9vIv0CquBuk
ZSxje7ydq/qeotZNNtuPWTrfxrhZLXGYjtdNBhlaYa+/cDVuXbmwEHOZhwCb6HBu74NI4F9o1POq
AEHE24LCjC9+hp66ktAbl5X0104/QMqWzYWLX7wP+CnV4nrhaVOCfuqzyblVHEE/rQlKpMLR2Grv
uqR7MdUcL7M0p8uTlb9hhbwrKvuV2uA+8sLrtC4kCmJrCy97vvC2f/h7LF4AwFJ6COuzYIzQEwTc
78xjSyyxGJSMl3Br7QujfHBcPQIERd8bi3QPrPLf+7bsNO22EkMciwWOrtfDVTGs4wN84LjaYHr3
+Q56f0j/Hewsma3R8BuWFcijV6OfKOVt5t7NdFiDuW1uPx/q44nRMsChLmSZUp9dCBYmkFaJoOeI
LmRwNvHKfQ3vMOJCKv9l/K8mpiwtpUnwrM2ziUGInqMORJqTQT6Km2KIcypEA6Q4n0/r/cXCFySE
5SbXVLzOIz5MhdLZmRho7hr8WmQ1X7X0tboKCiu4EKV/OJRjUjjXGKY48hR8/vVGGWLKyo4E6FhT
//6NZCxaBtGQ/3Ai58fnk3p/hzGpUzoA1U9q0ztfKgyplQ4YKYeQAWVjmfbX0CkyPLSK9EJpQJwC
uH8vMQbTuDRrxxMkImdXc5LaSUPDEglposQMGNad+4W2UlvbfWrd1wwSQRQ9o3/EanWboPC0wgvd
2d8fbMrmDlkI17VHifBsr+QhCsJqoEWIN0FlJ8TJqLZnzn+xUcjiXJtQRsDdPBsFczNBaXqQR4J6
E2aMDZ9Q5kv58PnSfXSi/x7m7LW3a6T4dG6WxyLlErw2onv8XOGCfT6KeB+X8s1OIQwzYt+f13jL
Zi4NHzO6Y2z9muBGGslTi5Vqnm2T9BeEpYWd0Vwdjvf95wN/dAb+HvfsK04l+LvlTvIYUMC1M/vG
HbaibDefjyLkB3vy72HOvqLllNYwZ0Ie8wJPA8+3VgVdyNZNDfp/YoXSy6Ptd2RB9R023tE11pPZ
PnGT6HbCnODCrzkNdnZA6FivbZu3h2fBOTuNdpsj+B8C9zjB3AFrIPPFX2cR1K61xny4W38++dN5
OxtOu+TmmueHlT0fzqeM4iQ29n99/GrhJw5WtgzGe1myY1uUPUF3E1bNhTP4flBtIrVXtucA75Fm
8KP+utuQ0vTI2BL3GFVia+SL+TG1jsMkbpP4wXOutXNhvA9WGK8KWxMKWiSydG39d0DLj0c4lYM+
StGtK7w/mui+SnZYuGNGVy+qHtpJ98W2xNJF88vlceErf5DXQlL2kGSebj7i0tMW/GvGGgmNF9tT
eJ9135U+IFld2PGVgBKXjMsOes+I/yKfnP4GRnYPf3Ge9i6qKaygKmzDOiejJeVPrarV58v/0Zdx
PbISbdFHlJz3bO8XKKeh8gj/mCC5gUplNsSP1xDTe4jxIY1VAYYQG391NtGlbs3v2CqnhwA7cHHK
tImnznu197PVwrwNgvuhk89lvSuTZdttABjxv9+73bjWWLPWBvZTer4qsr2KjsLYBlFz4ch98ChB
4CCIJzkjZCEJ/3d1UN8gkhJJcI9mcmWpZ3MGVakfix8S7sYeAq9ZBEtcdlZD+c0NLjy/71Gkfwc/
e+jLXLU9rhnBfZL/D2nftRs7znT7RAKUwy0VOrfdtuWwbwRH5Zz19P+S52Cmmy00z8w3NwbG2C6R
LFYVK6ylO+UIgHPALRjyH8C9mwW6/gSPRfo7a/vlncdmA2Zfgn/igTVO3YYQNCYYJ5P8E8CbMHgY
oqsNQJLGGnAprDrNwk2fgwtcO3QWyhpdpwFz1zRqo+af1ANgJeVwkw1HrTdIosZ2Xr5xOuOiseRR
S5MjsKiApM0/Fe1cjAKuTLZvQdGHaX4LIKK3L891WlNC4wl6jZCswXsbUe6l3qCXT1SBgBKdpvHo
rxN5M/oHOfrpcIBx9NTKqLIDEb9wRtU/Jj1SyKYwfEYWUJk4U+RWBrerAYfsAUG1LDiz7FeYFAyA
ZZ5EIeuhcXXml58qUe8ZkCkCmT9uo1P+HLzhwPX78rt0B7vdJFt0o7keWtUZ23MVaVEiKSvfgzYW
vIV9dKr7NwmM3u337e2/8pTU36dsKmDltFr18PflDnAjemliULgM37v27d/L0UUVWV4V/lGiQ1a9
q5psnMbo1PQvclUf9QImKVXHU+j3HOOcrmJxrEmXcV8QOMIv89QxZaXSN1zsYU1amq34IU8APlri
DTwV+boe226DuU9GlHX9VpPQDoRoA+YA1hgp+ks15kc8TAEdNx1aEywmdr+Cdm4w+xAy29aurick
IbkqzQ9qJGjosDhVMKgYdj5/QMbaGjbcMTR1h1+HDK92rRmXYiinNhpakEYcyK7b7WDFazSviqz3
7bVyzyIMFDXQVTHHT5d7ZoRaynNyyB+aDbLTFoaXSG19+vfmFmBT+69/q4EXwujKEPKVYMybsG3x
OrAMU9wLm9sCrtXuUgB1VZM5Phr533PpbYDO7NE+wDgT8doCXcqgrmvJGwBH6gP+oD1iLiTFUAvm
bx6GPbbvxbsLTQ8r663wHknvY/9pnDzSbzCD4mj7lnHJrjzurxb+fXa6dHl2DUh/y7SP+ENtG6gr
GKaxDS2Nsd7rRxMlZdags5Cvx3RNDYhRaIjV28Crc3RL/iQiQS6LsZ7lW/XPeiinB8iztO0irAfz
Z7vI4kztJK45iyVm0U6c6bxOXSuAF2PaOMMJ1ja6eSwkBGEnsvduxVJHgXVClEUCLgZQhDtI8k7G
urXnS4z5klPsFjvjKG4ks3TEF7B+GZbEcFqsm0BFY+CvB4KaCMmiGZjFTrJ99j6yVkfZjqns4hLz
XPxhcgwnHdbSB8JvM9vJRDABVGqqR+MeUK1Ga/nM9S2rJTKaCMjQzIqo5VItyyySQyVIZrVsbW+b
WOKmtNBH4oD1iWFVrh8X8xU4k0WZFVH0QEEIqobDfIijHa+1tWdl62At2bmV2Ldt2KJ9ORNG2ZdM
0aVpHpw6bB7WLA85/9uLiJlaCGUxKiStSgmtAIcOmhjaKfS+twbbxLvcCl9ur2P5mqmqhu4RJAFQ
Cbs8IeDhpByXlTx6yOM1EFvsYhffFwfPjBh2gymJMlEyByz6QIKk+YLVxLOA/7XNtp7JulVMSZSJ
EgBzzJfzmnq729QktBEPWvK+WuWMBtdFW3i2eZSNKsBKk/hjMduowZLN2V1q2+Z/3zraQmXtmOsK
FgRcxM2wiayGCD8mAL0e/kdtoAwS8EAMIZKwoMoBjgOpiXGMTcEErxRDG1g7R1mlFnT3mRdjRS28
YoKhEcSAZnPiGQtaNH7/HBBdWPEKrpVUA+sZrNn5ihsU8U2W5Vmw4ugKRMAuwMihlk2dDlr1UR7F
gDOEBGYEIeM+/Q/X9EIGdTBTJIN6TP9VaeAMWaQhJN9wG5bXXdivCzHUsRQGqK8waDIfCzh7TR7O
D2wUjLO/Lr+h0e5sw1TKK/jAQAinENzdJcH4vtnswTBqRbDVIYDHMUySmDpLpHRtUy9EUs4B9Fwy
4KawMOlOPc12lTMzYMiT1uKt7Q/LLiz5PZSDDbxukPNA1xi1jwKwAaO802a/N2yKt2I34BZp76EF
vj7G0q6zffNu/iOL7rbuwTqqFc2vrPTYAbP5oYc1qpGOAIvYXnz07gQz/xJJsuV33gPT2M5mm/JW
F+KpnQU5X4XZyF/xs1lPLLSP/t7m0gErgxngnccwUvNfvJKIZkd0amJ/0RqM35/FuqKgCgkg+rC5
IcF8+a6wZTKYIHs3gW7MsPCLuorXKvpCkUBUZIVy9E2N9HtTx8IhTTFkHaCsr54UPMFep/6k+Ns6
PYnoUJKeQI5Leox8a5zKWu/CA3N+MP/9CbNun61XCMowBsqsAHcmmollHLMPDFj3b94adVVTP3J7
z8w/eJ4h93eEkN7nc7mUw54GhQMkBuTWNncHTPHKCi3dnPb9EX51Lz6HZgrwbNDWWd5d8w5MKqtm
FfAW3AQKZ4aKdy9KoVfZEGC/YO/R64m3tQJWXyt4Ch/Ch9nKgmvJSfdgbQPnWPCQHSsSWyxDtXi1
zsTT7oOrEyTcQDp6CPbKXWMdqr28bfbh2nGE4wq0vO/gc/uZoHrZiqHjS7dKMVQZI54YbsBP6syV
Phf5scaZn1pbWdeHAD7fW89mRCTijv1O+M3JXZ32mUTKZPFqN/pS2AgHYOuBodjuTe2xX80hTbau
zdHGwxIJG6BW7YZNv5ofst56Mg1AuX+CUzEhpcN+H4kLoTBaXf7eBoXyFBEXYrh4wjYYa+VOP6G6
f2q3kwP+FwRbIKjPPupPkNCvChOMFnjQl3hYME5iIdK/+ATKvvVeGAEbDZ8wWIkFVgIrP3j34mYy
o3V2ACW1yT2xAoqlp8yFTMro4LlWqxyYsXEMRUHitfT70MbMvIV2lf7RWDPWOG/jjbOnOw20SlJ6
Sa+Ewx9pFyAuH6BkhWlYTEGs86RMSgOW+DThsTAJ1yk/1iZnAhPWBDhKb4FFe8NYF+MWKdRDoAIY
izfN6+rt+V3vIchItx2Wl957sBf+f3qEXpwc9SLAO0ur0mg+OVyW+Rk67GtTe8jWo4XedFYUzVQU
KvScmWFkzoNyBvvOSo+gMvo9vd4CFtG2YDkE1nZSRmloZrx4DSaihSPqNhhTAw+b1VjAqrLFjbf2
YAS4k4IQuzA1KA/YwZHrYp7qolM4MwqUpdJ9wBhUKk4VXLy/eSGgTJnd3WysZAug12Z9P9sBw+KY
yTxp9rU3bgoduqrgLATrE85XP3nb8ghTaINj8+i/NBbapLHrd0jz3aHlbW2AUZZ02+RZrazJBEt9
R7RtayXH5Ajq1v+YAzzXPZWyVCBI1w2lgzLk9nNt18hx3q+UE09YbnExukXXsCGomPdAWE0pOabs
46iNe+GgHqZP7ddigKfYBjvImpnIXQr2zmVRGl5xba/WQD/5TQMKj4PTr7oNeHRh/7O1f98QbZUc
Z7cY4UIDMobcNiGzSl+f9z9LpVQe2OEtOA4gvt0CB9NE4hhOL2I1tLIWSWl0pEpeCJB32CkTkbuZ
3YWn2SyCwODuP72EzjaUdqmw9QKQ5iELVXfkVbsnz+pm74njE4n83x57aLPEyAJaZNFcRmllIiVI
MI3CX7c12usHwMbDXuDwNh3ug+4E9u0jW4zaEDKqwGOQgWmpUmeW9pqfZqB0PIA28WewxGep2TyV
lrAq99xoA25pXRxyJzjkeGhyK4UVsy4dJqwToCE0EcB89Aa3I2CQUjCpHQzcDB0air5XE1hZFqJ0
1utkyXGfy6I2t2x1PmmAPXUYV3ixHwxzeGhItv3/eAfN94y+COeSqJAEoIBDLUdYlXYHsPj37klb
R3Co+r75qd6zY+nIKAJ45vhw+zCv2zbmobyz3aQeP7AzAM3tsELQgp7yY4eYVNl5VvWjbX1T+uZJ
A6QRhszFE0Qf3dwVBUJP2sh7nifEldKK8HMc6e7yrW/jFFeYk+Z3/8XAGGeyqBMUACETllMDbVnP
xdDwu96goZ0RxC55zHMh1OF1ilIJMQAJf+/8bDoR1q8UBHi3N44lhjorpar7mQtm3rcYufduCzR4
gi5uxgVf9D/ny5njlLMHcTUWIgrWnYjCbndXn6Sdb+fIVHUr+SVkzMuzlkRFkI3Yi9oE+u7fGjJI
tWsLTMnQdtYJMddE+dQQPk5HOV6ET53jfd+ezfJgekQ4lC+3j2kpP44Zq3/0m/KpMVgyc8HHoioL
wzbH0A5QXgjWCN7+R4WgLHGeTUBampUbcP37OSc1230simUG51O4Mk5nC6L8Z54LtTpzScJLzz4t
Xsvv43F+pAJM0QKyvjXlK+Prf9tFjXqbSp0nNHUAoXPJlUdiJjWnLRD8TI9hj37HwKjlAaqFl5Cq
1kELQPdMaykQkBN5FFEm7I/xGs0Me8n6bNAF0FuYDX93cdHs8vHRt04n1tYuBEAXsqkjrAGsmWIw
QjzsXot70Y53EwEmt9mZEKyYQK+1UydZsfZ2thS3VkwdaKOVUiEOWPG0R9kXeLlI3oMAZ5/eD0cV
Qab0xDjMhRzb+TLpTE8NYDtRSbBMjRwEy98Vzt3m3i6O9b27/mLs6YJNuZBFmfxoQv+zHGFxrQ22
WDzY4n1E2rXCuHxLcdCFHMrqG8MQAo8Xa3oFePgbb3JoC5g2m280+pK3N9EB2iZo/aCurFY1eeH0
hN8mH1VDpz/d5lmHcSMaQ4nNlNtjWlZunMQrxoEt+GhRQPeSjGkFTLvJ8zec+YAQfT+CNNbzlf+r
7BIfil1znKv0zOaK5fX8I4tyAkD4lgCzPMsyf1OwAQH09RzZzakn1GQtg2M+spYUEr2qc6O0gX4/
nlpfG45V2wqVeIjUGiOQNse/aemPqjFBJ5YEiTxaY9E1Kc2wapcb2aZtnAqRLB7kVYeXPKqYSK5t
HtAda4sOco0WDxfOOLwlo3Iuk1qcEstggEkgU7jzTulD+5xteFuynkCYZFZ29pwc06fmKNn9+rbg
pYM8l0sdJJ4iOQemIfEAlFEQNji18n1bwFK4irmgf3aTcuNgjPE1OYYEDliMMx6yZnnFjvdAzZLb
WXesu1VVfLQZtymUF720KpD/svrPl+zL+TdQ7h0AmkLWYMLgwJveNt59xLZv84fZPwG8E2a0t1DG
AOEmuk1YN3+pl+Zi/ZS76MQWdHKdJB5AFWvHx24j7QWMNHekIwkBhvBoqY5kVybM3RNj61lKRfkM
WShEDBHMnurj8AFgWvL0sFrdozAwrB57wqpCLVVHzlf6a33PDFCaQ5HALYOnl6muJuujJHd/EmsD
TBQ4RxWeuZrf07uefP2vm/z7aWeigwbI1MKITQaZE+q0HJk2d0+r+zkL8g7+JCRvT6y0AUOnfhP1
ZyLlStQGlE9nc9tDZOQAWBTZdtYL4hrQCTikQNuYMQAwaiTRSIdaxYXgiVJm/QGTRLTvnDvnLiTf
35Vd2aBqevfNH4bezG6QjjXORVJuUmqAgx762E3UatFekW9LpHmabfWgrguTWdFaNEFnC6TMLQjR
mjYoscAgQEbaOTz5v1dDfOU/lS1nFdbt1bHEzb8/OzdR5rQwDSFOiXMy8Uc5jxgSfr35rf2jjKrR
RWCd8P6fNsqmbId2buK85huQrCvzBzxEDJmLVx1TrAbo1mQMF1AWjkOKBbgBqnjIXn3wEnZW8YK2
21KyQR58e/8oSRiNQoO0oohzGR9TmAplz0QRoLBGJmauA1B8V4BFvQNz3Pq2EDpS+0vKjDKDkjYG
3+iEas8nhRAXcuY+o+0mugtQQwdCGQgRzC1wNQkIPNb9+tHsiZCx3hZUHHUlmtpKg9N8P9GkzN1Z
TvsdWBPapTJnInq3yYAybZo/ySH/6Avbd+LaZJwjDYBxJZ3aXrXt+zhrsPDqs7aLEKO0KWmfTOkZ
XRlGa1fOqSenuVCzZkmWL2/9X5LR9YYCNwbAJZW69aHEBSCIDlM3kT7BVjUAe14tAxJNIfqEdf25
DoAmmQDceANA62pmB2dB8f0O1Z5dnN9PgI0DspAqosRLp5k0OekBJl6l7gA+L31Vg6YaoAW2aI/A
SDfH7zR2RnDIxKtJ3hir+FDdVSUqzbKjgt59L3xPqS2u62YXhetMub+tklRU+Ne3YQJT1xXgzRgy
pRZ95HcgT+RT1xDAEc7luohpoQyio8IE1SCrpjPbiKutwGg64njM5fM0ZM9YCXKpGkrqpsMIOoYk
I3IF5hxdWN1e1i94Ki0IJgNXGrIwXkrFZ9IY53KnNpmrokT1AYa7nLvH6A6wdPhn4KyVhP+uC2Di
96Bb2sabKnC4ypngDz6HYYWxHi2yEs+eUgDrb/0QjFHb+EXcyw8Y8QUVvYfC6Y+f2lNsBf3p9qfT
c2O/R3L+6dSRgG0lhutoM1dXrX5IMcED1kySADke4dSOizZZSfJ1f8dKMv8CwVztmTaP40oY2LhC
qQljsEL5Gmygp5oaOALIU4zmzc66BwieCdytcdWAtJ6UX+GqdmfGHXBgNkgOfAIWu96H8qZVGMdI
9wX8tRdnn0T5HHT8BUE34JMaxxpt2R6/nY16v8rgSz+LH3kNz506GG9aYeLs4fY5SEuWAxNtf28H
pUKB0GhBKUyZG23UU/z+Kv/chQ/aTt2k+9Csdn60auwfJArNbfoYOsrmiBnXO/SI4P87osVKUNKJ
w9+tgP0yMEuPMd4rgC2ey8dmLNPclQGEWW5A9wXAftBDpq9dJ/DPTQi6TksCRDpe+mKYPbZTyj8D
Zz59zSUj8Rn+ZMluIEmlSJh1xxuEjhPHAL8DA0Putk0wOXydZ6CkTz/rhlceu4pnDYvPOk+pJvCY
geIjS0hnYswevz8Lb4xBA+F5reUuJsrljR4KolPwpWBpHLibpBIcj0mVyAztox8585YDdR2vZXR8
yoBhpxI44ijEQtE2uSsmlqqQKrJxJat8LT1UaNJZCeODbJWHSt1JwlpD/0aF4ggrIKcj5b8+AvUt
GTCumgQco8ulS2MwikrR5i63VoWDCHZimZT7EmCMI8Guo7FxU8t2Bgql1gEcaPGpbW5fhCXNgxHF
NBJwI1FRpMG65MAXtUApc/cDT8zSTP/kTw1mJcIPhpwFnYKcGUhWBtHvlXMoMlGa+AAr9dAngoXW
01MZgJMe2lTG4MIFaQbI6QQFQK8caSvfnCZbeY4BOlMq/3a08Xfb0YkmAMxhhj26WjSoOhNfznD2
ldPkW3f7yFlbeR8QBClfz4xM4ZLNx4QwQGp4iVeB1jfbojP9rrogHHxlzN2YIDBBCLCrQHqSmcoR
FLIt0TKn4AgrNKKKin8tEeYEsN+AIMe49KVQ8C9wQgsmULfni97iylEjYivI6wJ8gYTLs5FoHWjA
kkB/6g3fW00dzyrBiQsXG5cLh43QQ+evkPU7oYw83Hx8g+fxL0Poc1/ZIBmSlYF6ETgJVQ6seQRQ
/RN4JlHSNXK91o5erBjgKfW6OLZijOaCGm9IfBCdj20b7THYVscWP8biS1ZI8guoUjEPzwd1j/l4
LRTgM7Rc2Pt9whvEEPvg2StE5bnK6g69hhonu1KXFawh4iVfhjlP8GMCixFj0nSrXwIi1MozZrpY
9DWqNvjctA6gSDEBw43JlR/iGz6H24oSye/7EiRHgql+9K+lo3qmLpgASyMq3zDePXTf66wEAEvA
92BAHWEgDRAvgviyagPBd2cOHg19f7GIpkdVWw3gENv6mEjpQcaWDPYkHW/f99/X26VRx7ymAmx6
NH0C1vnX8p0pfdn6sh6DX9q1Xv+MdrZBx0Cz4cifnPzBRpC7GqNgpZmjjKlv4O8JMR+tn9PJ3GKI
z9rvYQZROkvIm2muT/hvPZLHx8x8LEyQqqMzabvdmo+s98S1jcKFkdATgx5VfDvt94AKmZaS4XlP
QvkG7jhSN5s4uA8Ghuu5vhaXYqjsQeDlit4CYPoJaTbbT441IEQAIISJ3Z0EKvfbB0EPUUIHLqVR
1sfPSzieGNL83hrNYqMRNN78FPvD4eCAhWLz/TkaZNgOJtlPP/E9q5Ni4WZcyqcMkdA1VQ+8Ku/J
Ulfo9T44H7UJ4iGyke/vX3inICoCKrAdmcD8Z8Qx1w+SS9FUkKeLsa7Fs2jQFsrFjxDfxSBTvb2/
14HkpYz5sM/0HJQ2fgqz4j0FiVu2JQkbxk2iUzN/HaAizXA6SJUAXeVSAgdWs36Scu4pXXv336th
222PALT8QjV7p1gjQ1+ucyVYj4LIGOJmTgZqz/hS9TuparknQGeRodnM1GsjSETLj0Z96RVGZX7x
hGCbZjelgQZDvFybJ1byxI0dpCmYOqhXqfYsoR389hEtxDgGD4gvGEFcbh5h7aWUcUL9X8847im3
Yztd6XudbH98dP2ykrpLBgT7IqPPHRAWeGhdClLRvKfVg8c9DX7qDMU2qiVS14ey+fchM1Z0Joja
N6mWc1DDQpCR9Xi7oYVC5sEjq5GQ/0ySibWBSxbrXBxlseq6lWuvMrinHTgkMZkintAtSvC+/hRM
O7PNrbpjPJSXrhVCUgDvIF4CwBi1k5VUSskkY4GJ0dkqyPIUvNtvq8WC7iEAFObcICqcwPW+PKwi
qRuw6Ka+m6jVSxVWe7DWtiQIU/u2nIUbhToqyFOwHDw5ftt/zyyErkV91E2172Z1vgVwzp2nxK9G
Fn5I5UjKtHMEkWdcq4WslHEhkzqwQR6CQNJz3z04d8DaB9gAfgzIwG/IakPgbM3t2jsmeNM+MqLd
30klyvFfiKbMlVApat30EP36ypvPqv3cm+B7XCvEcpyNYeMTPpAu9wnyDRX433aypWKAy2xWyBLW
611hWT+MzOyC9l580awIZwegcZIRKU3pu2ForNUJXOMKvy8HwUqrxqxrkbH5i+JgZOZXFUilVEqv
IqHQPTH1fTcGqbJoh60CTK513OyKPGVczCXnivqyIEsYVUb689f5ny1N7OK6GWTdd9ttqZu1jw2V
SKYTjJfeNfeZpXhm7ZEGI9vExyyoR2TvCfC1731ZkfzNqxnfQ7eyz77q4nso7wG2XsBrc6LvYlJc
eD1EaI1wQJv3E6FryPQYnpEqZ10Jo1wvGHaVuAOtvVtPq/Kh2/PC7l1BIkk5jP8WeOovWQAbxQwX
agjIOl7qEDc0fFrGSeDuUnKYiCDY49fX7jlBbuqrX0sseMqlqA2FhH/kUTn1yAuUjkefuttHm67Z
AfIw3gWdo4FxmSeht0Z+IJyAZZ9YSSBZkrzrwjuBf02Njdjs0MnEk4LbapkNhmxryPaxpzHint8H
JH3Pz7+QytqMQTJ5fBcFLmamwXHooOgBpFiC8PLL35pH4Y84Tzg39vfT3Z3zsOfQ4W0+nqzXw279
KH+Ed6GVmWvP/tKsnvRkzeqPW74a/+wg3cGbSVoxyUEcuKKyi0TSvNQggMUcuWpG2hbY1Pl2BMix
WG1EKzmN6qF8qgUyvDcPXGaO2qkIGMn4hYQT7sbZB1F2AbmRMOxrHKkCugPvTeAEWzHWkldYfWO4
Su7kQI2VkHviK2B2b+vCAr+u8V3pBzDVk8RjVcUWXof4IMAUgDAEWQnA7V/qNEB8hhJAloHLm/pW
tuvV9CLehyb/2lup5XkYxOQZN3bJFZ5LpNzSmIlG2gR54GrVWi3NscbUeDb+QWo+YOUwl7cbhQgJ
hBYzWCF1g1pkeDtlxHaXsiMBfiG15MfqGGDe0bD7Y0IySwvuah7FgNUE2miSYA7u6bbnXzaHijrz
wIH8DiHh5Q63M/M4OEBx5M1qUiv0/0jbyH/vfbMUkd/Nok2qxyvR08AWX5sKqyS5FPiiSg0gQ0C2
SXBFlNVSOhUU1RnkjyuFlD8gqI8ImKMF04wdht+nm2Z+LSQ2G7kekA0AHJBS724CMW6ZjYGLWVvH
r5/BGJ56gdXxJzHcRerMd22G4PMU38qC+JzFa6aiPTM2fCmmO/8ISqWnwpiB6qbAbbXHVjcNfS1g
WmEgem6Npzg4jWNtCXkIYDdn3Ih44quVyPCBv40btGFEfycoK2C+AedGfUNcTEIyNfgGlEKdNLGE
hrxhuPSYHV3XTZ3YwtgC+YHJO/2Xxc+ZZOAng86TniEfakVvfF6FxTNTWwPEFIdBl1Vn2++K+ZV/
KIzU8aKPQpDztzzqxMNak8tBgbx2i2bW6im7j+1mr63zg2oF79VaOk5bbnUE6wNYs7YBaT8wS2ay
jnzeTnq70UAAdBq8VxWA417escqvWjFN6hAcro/gvQ5PWmWD3E30t5pxTOO9/8VtJRaT1mKUey6V
8n5hoAA3sIPUQDKd1z+H4LNd1WZNnNkPvuJlnm1GU0Nnjxra9ypRyRiimHZ0j+D1IhVxH8eXXcvQ
vCXrqmO+HXwQULwrbEEDxMZGqnmBGxaroHmq2l0mvmkYBh1ywtr12VLTuz4bFeT2NAHEE1RMDerJ
YkokHum93g6Jvx0PIdHBUHsUiQaeuP/iO2FYZr5YzHMACfbykI0KDahSzIVu3vq2In/6GpFEuxiA
bWI4rXrP52aIAff8pwFG4T6NLBB4m6psptUqMViP71kYtXbsLpjxZB31wysgN5TByjL0xcg1mpWa
rAX+1HurSGEEWAvPCAyNIxMDATPQKKVhgxRJEviyI7drtpxkNpIV22Nwr09ft83G/Heo1aBdRZOh
NIgEEN9ebq0ot7reKFzixm1hodsYKLNEbjfhoZLWoegTdDkzHt4L+yehqChjlAwAEHiaXUoMhU4N
4sFIYKfumu3oMMeNFpTzQgBlgas6Gr2shYD8OO0yS/wuduj9QLyHvmLjqf/gnNtbuLwgZLoRSaEV
hAb1LDOEAI0MefJIuvpF0Y7ZtI2y99tSFsopSEyrkgrbDhyFK5YuIU0rsS6j1MVgaF6RxtJI9NTs
uz3AWPd4U0/koSOFfZ8BVSbL7OZZQJr8cX37K+bnO60u5x9BXfwADU5+1+IjwBhvy5imyv2P2xIW
dhM1QnQP8ohNJViYS/XoxVYT+rpEo9YAxz1tQiCi9uXJZ2jhwkLgNGTEKoBhBWHL/BlnT+cq85Ji
zLGQqkufNb7RHaGqCvv2WpYisAsp1GKAxCQHMjjP3cS467qttPfCxAQ7TyIcxvxVmlb1AAZGVix2
XfxD5edsbZRPbCtQKU9FkCKyj7VHZfqpp1NUHjP/SajxHtpEPSMWWDAiiHBlGBFAXKK5hMqwVnlo
dFkcp26vkLaJSRQ/jMNb1TiDiMbB4MR6j1/pCAwiBAGUGEljvFyow+s0EbyCap654RgBITcpUDZe
gSYpNJNYZCjKlSGmZFFHKOtVOghRnLlCrVkRiPkC3knRAh6C5KjlP28rzJVWQhiC6DktCRgqLO5S
K/NMG2stRH8QuJIMv/voqvrrtoTrZ98sYm58wJwAcv10qbKYcXcEoUOfIhorAtSEutdXAVBxiuPf
i7sdx1LGq5gccw+4XmixAB0d2GSps5IKELWAxKFA+RsGC2PfHCDJfPKtYup7AtwHguHbK7x++lMS
qRNDHV4dYk4q3F0x7D7AD7Hq0A38HTkdAdmZeWrJ19qMP62cddsXTm9O+sGpAVWQR0cgdXqhF8aR
H5YuXjfWH2MHKCHPIb5ovTcrI7KYTeRX1w4LRTMFEOLhSBU8Ni7l+WGu6t7Ql668ylHstgMHXBxT
TIrvgZHUvIotKUmzyz2zllFqIM2oQVIbfiWq9djy5HEcGTeNtZx5e8+EKBEnZt0sJCXyaGbyWjWI
q3sW46HEEkO7MJWLxcoTSre058bjCIlow44DIrwpT2Ho3FbG6+6PeeeAFY8igw6D9evVzxaFOFEB
+a1aQv3VP/ofJ/1j1Md2AwzUx54kHUsFr2IfiJNR7+cx9CyDwYBanNoEdVOg79JF36tGduF7mTu1
bL2oGcFooZoyZ5yuEy2zxJm2WRQRSMKwXJ4a78lFDVzrykV1bSQTXnvg7AGhzp2GrBWGDOQnjBjm
luaZXfLYcA/J98SKKK8TLdQ3UJrThWBiq8Eg5mKaop2Bw60iJU1gAqNjux0Uhp7Oe3gRA1HSqD0u
NK3zSmOo3MoBhvuOBUu6ZKEvdpSymHwd6FKu1pVbhhvca2IdHL0kfP02xNZauteemByGc8h9a0WU
xcRwXCzmflu5mXFQ1FX3yonQnig9ld7WqNE2S1ipQKbaUDFKpBVK3EhQGyk/CJw1pWg/fZHtInWi
zwJDNxjZBwh/KqJbGo2BROBiU3pDq4zCvDJX0RKOc57QmxkUkQlVKJ/b9DE6ELm0dgX/IQVAlJ4R
TdhOntkANrE/TTarxn7dMQ8vCLbmX/4k3P3fXNqZTUAMP7Zh7NXuUL3GaIdzkxcFKcl0blOPjjrR
DtkOpGnTVnckJIpuW6SFeAYkUbBHoJ+TgU9P3RWe76QoMYzaLdrXqDU7S+0e04LoMkPOgssAFdrc
SqAhosGQB2UXgjbVhTxt3Ch6mKS15vrVAYrUk2BgoHVI84Wg1Be0MALqMgaqM+A8vRSFnEgJdkCp
cXm7RQ7mA31GmuNvQ/fpEFWYsH7fisi+AF0GYGMr/y4zTfvhsfreYaYW03OsAcWl+AOfg1wUmOAA
mUL3UEzlaCherzZu0poB2D+dtLSzfbjThh+c7BqAlavJ2MXNRpnWYkB65Ns5Sz7qP8lrFTMcwnU6
Erp2/jHU1fanMOr6Sm/gVLsvDBIC9g9trgRA0gjDUPEgJEZfWmBrpAci3Y6Vupm1iT4aRYQOINAE
Cw5PHY1QF2rHFWPrVipYnzxDmsy0AKH1bZ0WF9yeik5HvIrnTkMEeJcaUPWp5LVAW3OrqSJgCBKf
k2ozEzmSOrUjwHauA0A3acSfbLlflWimrsH/HpHuXe9fAn0Xybu2NfPg7fZ3/Wa9L5cvoKEZ8/7z
ExM/KVeBx3zUaqk4uJVA1AcPfNCrrrKlT8AcrcHWN/mrQCZjYfblfhKtPrcF6S6JSMqvtczq4x2a
wdvVKFhF/eVZoJOWDfBy2t70FYuTeftbF/bw8lupPUyTOI8Fnx/cmhyglUgw/EHVYO4cmOECQvsp
2xVHxXxMTEQSXwzh10HZpXBKTZFlDPW8nAY8Wf8k5mG0kbOMQfnwMSdPnw4G+fMSkrd3ZSWYrnl8
eWfIv+7EnmnXZmYGPI7m5xeVlOIMecj0UhkQpoFlILandYr2w7iyMhAK+JZCeszYeyZD7LXhupRK
3Y5UMhpdVozBbYbjqCA+S2owaa5TgdWZJF3fw0tJVJQmgolSDmusz0mJc2f9Gc3Bae0Jo2IN2i9s
c48s9QcgGUm6wvg2JsYrYvI7E9aasPLU17Mo1F7P33rm/owsHdRS8AY3fc720osMGPFp/ZBAVAB7
VJoNFM7/MiJinVA2ACoGwzPR2ClAULvcDOpWTgLajoQWH+CXX0KzywLSyPu4lYmYvcVRMTd+AhKc
MFT82kZBqoC8zEz8DVhhKknChT7gQAUOyybCpxM83v/ZcJ/NJnJUUry/Sxq6Yb077yiRZMX7ZEal
ZHzAtUfGB4AoFelIuH1YpMt9V/zQECfdH12IHxNywEzuU7z1ycO3/LV62CSPK8wKYvL4Qz5+rX8A
xcsqyl9Pbs0bj9YksA1jtgStV5dfwHFJJHtpOrrPu9e7Q7j7AP/O8Q6lqpA8FLvVanW0H0ey3b7X
m6O7TeyAoOn3tH6+vRHz8dJG+fwrqOMXkkbMPTHBPgABsXrR6pgAIY5x3EsXDseJE5+xLdAXfrlU
tB4UWlUXoxtOtldrdiIY9u1lLB3nuQTqSle1l6tBVY5unQJyTkmIJOHixitf0CwlxnNzZLIkX8eO
c/n+n0VR5yeM/0fadS3JjuzGL2IEvXktmvZ+OO6FMZbee369knMlbXc11Qzduz52dg9YDoUCEplB
B47ltLcz43m3Q7EgJZv+9Pq6e/f0w1O+e8IVbyScfu7IaiArZ+WSJ2GzivUFIaZppxyxPVBaAr56
XF4CsjaTPZpj7d9E/zYeT86UZxVGdTa0ZKI9lM4QisxYoI1x2Np4FOM9BcN7hq7mWJ1Z5kk7gFjj
7QC4LPTRbpc5cIYhiMczlSEXPqY+VQRXrAwARfX7eERTu3YsrKOFBkAvCD7eWsocIWt6Lext/Ect
kSQ0DMp8SxpkQP8jQ3c0Oi3mLhoPqRa/OfymYm2Be31sYnLW/hnLnXZzm5eQqg16yFCD+dndxngY
cOGLm83V6mYmjQYYN7XkarhNe7sWOzywEpzDBHKkeeitHo9o6rhfrY5GHUapSnumV2DIafGm0lDn
T6t/Y12gf4kQF65z7Ci63QC1yospGxW93YS1wUUAj7p7KZhJ19IU0n9347UV6pJoFWjQ5gmsIFW0
jcfHyevuwJoH65gtG3LuNuczeKMa8+1D5MkHSwz0Zzyeyr96Ge2frz+Bcp3ATjSOWGADZsbrJiWK
Bjezs6zDGVfVYtgfhVNCth8QhLksgaOI9BnXMbWUf40zAvoCgW+gjnTPo3Pwb//XHUDiaULU8P3x
CKd25bWF0bNfBUBlFshu0GGAZQjMgmfI7nPGzSH0/o+VRDfLf4+DdhhSzCtlBCt+sIzJ8y4d0QmH
1VlCRtw+t8cvkbSIPRqQPIBgRR/nEj0YM/5xZqh/odjVUJU2gLCrio+oRv+o/Uh25Fr//9lEEQ9v
PzRQgk6COhdc0+W14vY4F+jeLhPJcnJ1lWtzePGJlzSKhcD0gK0KaQ00Ct2uWhQGolDzzQC8C3iv
sSe7FZrPjVW4Iybkz1y9WCsfmb6cay6byG7eGKaraxBzS2RIfg62QApvIX/44aZ8Z495Qxw0yolL
7Zh+Pp7SqdACQSIUd3F9oqZHbVCWK4JKSMvBjgFi6hNTBCggqM94J7+HwUz2Zpw2+rTDDnr50YLK
4pF8O61JD5WfsuUHW+0TUkeXmsuMTCDsKxOcNCFbx/lcz87kY+/aJLWSQZWkaVwKAx57mx4c34AL
6e7yHeRVlmuTuNYT4B7mMEOTrw5k3cBlCwlVtFWPR+XqKLR8EgZqow72EFpaZOUdS7owNWLhxWdI
y27r2kS36urxSk7UHziEDP9YHa/iK6turXWJljuD3UDkQSZJYwJErIh6U/9yuhYfoZALCoD41eGX
jy1PruuVYcqNFlGTs3wGw7x29NcctEvCNzZ984RFsY7nGNCmAtPrUVKbKFUcSdGS0Zh7aiEJL/1k
6SLqTnPYEpo7/O96HJF9LLyAghiSuudDNNa6sSAN9m5X6hsLWaRl85TbjLlAF6PuW6xhc/pXb5kf
pxguol5mi9/ArDenmUtqcsDgJhbRw4yD+vfSulpWLncEv9W0wUamXlCtail4OjSg5york4t4ZYae
1zKtRa2HmSTbNYc+Jy0cQQKGN1V7riBg8njLTKagZNA+AxmEgBpsALebtaw5yBpnHmtzZLVizLNr
Ph0+3yU0jR4+V6vzCuQqlsvM4pLvb3wFYDaUzJCjQxmV1k/L6zqp64ppbHbgbUbKdEmY83LC/UU4
2kBbKVgVECiy1MZJC9fLizpobUQ0uIllXfvkNriJSXJY/STLrxeImgM/ty4rclnaDvGWH+sliHMU
w32ZmeX76Pv2U6hZBsIgUyI3bO1ngQgHkH8QzsIDDhCieDEK1bGrxcsbeuT25eFyyudwqvc4JhzF
65mg/KDKgPe3D2FetV/7X/T+6weOWKNxxHfy9utFPIDbcr+v9J5477+o1j8e//Rq/7MSlEccQrGU
wworkfUvcXXIlZla+cQuvh0g5fmqto0UV8QAMwP87NarJerD2H1VueRoJijzbNf6cvmtmrPSHOMm
ur1Lby1Tx1Wt2VYp0qhFYFmCeorFi9TQXCPWQj0CkYtSLrVo4XGHQjpGySbOZruN5z6AulmHSmWH
NsTcCuQ13L+jGOMZT8JytSKisTBZa52tL/CIc1HmRGx2M3A6BlS8oQu50e6mQWgGnq/Ievo5By8g
xF/rnrlkjks0yz7eRxPJ/Vuj1FMpZpQg5lMYbXWpJiCee999Npen8PSUrlerhWS+REheJ4S13hAc
kpobS/AtmeWHm7iUbj+EejD1Upuk/p9vyc3xOLfm+3v1pJFmTNDsZP0pMM6LZEPi7fYtlcw9fDi5
jG03IP2dufXnTvdfPHJ1MfFanadpgs3PLJ9fwXeRI7aSdWsFHmdQ6Z9/FHNrKujy5wlnr0+acZo5
3bMfMB7/qw+ou6aPYw+rMpIBgokM0R3uD0yCT0DsuMiWR0bRX0xzjRmIdidvMfOCvr+ZbxeDcm99
r0pxw8C+h/ZCp92omc2B2sRJ9CCfeUfec87dutK/3vGrsQaqVnfa6EpzM0ZJbyeahxVUXI4mt97r
PC4SY27Tz04v5dyEMsvqOoNJoBIkizNW3sUlzRgX4F15Btxpu40NOO41Ovpfvk/Ct3ye6+ufSCPf
TjHl5pTQYSC5O552kBpsRqAC0ArsuthioUdy624T6op+fHmBNAUoJEyhJyZ0AhPiHDICiDqWfrmc
WXaa4BuR4e1HUa4vTOLcLZrxo6BUdECuEXc70p/nxReB4/OP8Png9v4WVo+90N+z4YHP/9sjV3tg
0DwmDke7IRF3MTGq7c5S0GvrGOdzd94S5oStAJQd3qUzR21mp/855SvLDph1nJCFZSHPV8hXWX2W
bvzK1YNwsNKGNx+PdAI2cTPDNNytKMrUizPYK4zX/GMnbBEPkkVroUR3xBAvrmXMLOrEm+3WJB21
aR7PhBFMZoazcxaS5a+dpXhwNv2c35yJD/+219VkRvH/3GBjr9Zu12yHlBwOCQh/XeJsF0ek3BKZ
gE/5gm00q2Axt5SU06q0rky18UTJ8aIqFw467mNIMQ4rJpzNo4yn89GGpeKvUHWyrNBgq18YgU9e
cUXlxEL5CQNdnY+K/qVe3lL4McP+PYHeYDOzbYXJD1BASAQhm1Hdk1pUtY/KIEgQJYkgxK+R2sx1
6xzuzuqT3+oQoFqFp5VnVRvhjKpFiqPjW3pyGi+rpTqMmL1ZIOcEZAT77OqTqEsrd321qAJ8Un8S
QxCh7ODKyUoZgB91rC+yR4ruouMtMDMVk8t+ZZZadrQGxnksYClAT2XIeqa+xX6mO/ki5vTHh/cP
RXW36lemqFVPFUmLGg33BviOT83X+DhmEfzz+meCLlAsPf7kNk8FdsEKp3q/5w0Uf1NUANGlaxXP
2xcBMF4WZEEN+SkqcuZXL7X1FuyltQmSIOOENgEwdm/lfm6Sxrl/9OXUjcdHHt+JYtzatcPv65C1
GU6Yq89P1MTHDQA0LyBM7FgjvY1acifJfU0dwyZkpJQxYkE2ysHpV8xhD0QaujpM9LAsExTPNu7n
Mp9tH7vfCyrLs5qsCMihjg2rt18w5HzZKBUKljUbGUFVrWqHKXTWife8qpCEVSLj8ZbgxjHdTuyN
RbrQlCcN1wZe0tsGw5PwJwighi1uToyBzThj6t673pqiprcHT1U4eBhcq7ML6bDZqPpmBy4sxCye
kc+cqvv3NYyhSAoPM+a/aIQd16RV0XQYl+Ppfk7Q72rMnKYJ9ORoQkYdCKsFGkMq5+2X6PbrBxRi
Qa8xNt2/v7tL0BIM5KU/qDXZ66chsR7P4YSPAnIeJGJgxkd/IdotbzeIhppdF1TugDmEsigAY5+H
87CUjdICzjddEd0OzJb8BrPqyBO3MND0IhojQBOEtgW6j9kJ8aJgaqm3g3rdt2amyKAm2pcVIF3g
fVWqLxA2kCSbSyre3xO3ZsefX13JDc97vJ/DLDKnJn51BkHmNnB1ZiaEu+dSkG4NUUcvyAul8dCt
bj8jyZYYB+RDws0TePLQ86dtSv2zXBx8iAFyyDaO2syH1dbkN5AftEE3vLBTS142i/W6WUDU6FLp
+GOdWheWsKRH7+0ckGVqe4PiCOmyscsY5CO30yJXwRBlkjfYXH9JNnlua74Vtt7MFp94aGBSrsyM
bvlq9jmxzLWixXbj1/UpF9HF8RWRhWnux0LV7yUy9WVlLS/Lj9CIFo+3+pQrRD4QrlhUUe5RqZ3O
51mcxUIy2K7j6pV2cATg0YINI8Roh1RnjE08HEaBYI0HRzNK4opEvd41J0AVMkVdINkymwwkedgC
DB4PZ0X/RI3uRcUqQpRyh+xJsZjDQo1bi/bB18apxeSdsijqCAleN1rKz5mMYEdBlpf/LeG2ihwB
SDVLPDHl969tUivbaJ7WuDEGzG07tPBmS0XRfQb8x4VAelRDX3Ll9HhBpzwIGpBkyPkBpYGnCBXo
cG0SNULENbbyApcPSuPUykVD1HaN7cQr3OmP7U3M6o05KtipC6hzuR3b2OI6MNATB85NLtaZ8uh6
C6eaYdWY2K03xsafXx0UMRqkKioxNlFXGKtPjLx4zQ+VO1Onm5xDRAYjkhclWzQm39rRmkqGSkDV
2h0bRUdZCndqm+bEc3rJrPOCWbVBzBERDNZx7WkLSeznpMi4cWdQuxUHBTz+4FcbEbXUNQ6EKmSm
Ba2x/c5gg4WUjUyWzDp+4c/pZ/4ptCT+fLyS8kTkcGOSGnXsy1zWODApsouseKs/Ge5T9PXM37AJ
4XLDD4nPrbzujcUyd4aU7fLklIHHNll02i5ynuP+UAFOKYHz9ifUoHWarFXIgva71DmL+L+1yJQR
lWDxpFP/DuoCubO8wYhTvYSIhbqIkkUNpfjLsBZQlay+A7DmrhNWz6sXL/qSpa+kPcu1LrQrqSz1
2NnKmdkpK3+dBw04TiodxK5yP6dPM3EJYFrgrNDUhN4+ifIbTVejRlKgZCJmm+FScjpj1eIh7MeW
qtRb1x2InE1BBTf7MUEL9ks3h0WbuJxvPoByIkg89JGQ+Eh7tIbYk/i3935Roo6bRS3P7PyJ/gLw
KkAMdGwOQdD1t0euTpjAZhVf4TKy+dySSAaZ5gzibVZwaKzCShbRaqN6umcNm9h2rCFCWlHQHSvG
E/aivP8pY4MHg5m5N6ZiwJuvopxMlHUMFGTwVaC3fJUcsgNsdoTPMuYrA6K+0t/U3kLP7BlfOuFu
wKnDqjLoyiXoXVDBSixnMuiEo85OBhlblNUTCJwnSCnnaNsLXh8fv4kDL3AKumFRlBvJAqgQDAVY
NUrbvLOVivGfG7xOiSh3zsxunigfqAKngqMPhJdgEaF7VSQt9XhHBUxfgWANdAysyDG0zjNA1ZQ1
pFDsAeVVVOkdRLix4QsARbR61Cq62F/kYl2W4K4rmGXmmZxgPZ6Be/5PcLsp0MEF6g8XGEAut243
UF2uDwelswN0QXVWEW9FKSOn3PvhwYWBYiUYhfGWLg2H0fN84bLk8QdMPE1vP4A+6nHgwyEDOh4/
g+HLem/NV8P9DMnpd4nKyhK8rrmr828NS+J+g38zl4ObOOlgARgB06MUL3q+byeAzxs8tgo8pwpg
15EtcloD8prWYSDsQT60W/9YroL1cmbUE1f4jVVq51XtAD4nHsClTWVFQEyQcJ8TAUpGT+d48VOR
bWttvxQdsNZ2te52tj7zAVOv45sPoM4Z5gLhqTi+jnEPcBYofRqj++BdQLQuxuPBTs0wCt8iSAPQ
Tg9SzNsZ7lOWkd2eRQSK/jMJhYruORmehnjZaytFnTtsEzeqgF47AImhhIE9TXluGaFCUnbcYHux
LrzWHyFgFEi+HYlsfL287BsT7bGgTvy5FCFGOjetc9bHn1/5csVjcrVVYL3Kd+DghN8U0PhDNGcg
vaDnCGVA7BIuFU/nn7x8PydsPYHHATMTMNSQrFFAEUtDHKIwlMOs6gGtUqx853FEdX8BBNh4eMlG
ztaVDkOzdCFLyJr/70W+MUwPvGgV8DV1eE8FS55buzLh1a0iNiTldS+deb1NhAfopIHWCECp6EzX
qLtJy7OaUQs8Kyph23yK2m/RPWnKzIikiatI5Me0gKpIoAyh32k5XohcpeF2EMhzD1lH6TX4ln+7
LWeB7V6XrJy8D1ZjsPqwVRftBwelrgWgDYOefeCWzreNuX1Dm8PaXGy35ke/4kwRsk2rl0Hfvq3X
v3M6rBPHTBQVkPHzIHeAK6McqZI0bBukfG9H2Ql0lVpuaCE6bSoIziBofrzaE2UhSIlcGaNOWYGm
VlbxYWyzO8gfkQG6dZso52r5tViY6IoGgSQDznX+pZ112BOu88Y0tdMaTagBweR6m1/kCIt88mlt
vp93JbrIomdtsf5gVtKMB5vyljc2qQ3XllniVBJsxiR/VshrsNpx++w5mHEfU491EQhsRQb1CFIE
9MaOxKpkhgbTmiIBlhipLuPNAUppdoUHbIn4y7EqU32NjfzArJTjt/QE2ounOTmfiVIYVvfqM6g7
sXECp/dafAYI4znw+O4rTC6/Hl5N8cDYzSd6LTs074HzdXXh0E8ozWyvcfdQDzFA0PG7jBYL0A1Q
Syw6ZYpZwMnr058y2Jfq+fH2/QPT3hvA44JHd/Y9AnUIBhRTu7KzAed4hwKlMWzFZ3UN7L4MOEEE
1Xp3UZjhKi8MZWFfUBrRjN9RJADkasyxQQNjBfUgaFWSuVM8PfR/voy6l/EEztm4qzrbV9hyE7qS
upfU6PJ4/OP8PRj+H7b76paqWq0SuKyAEYd/43m3fs4TRJfoWkp2jy1NDgftboC6g4b9Lrfq9mhc
qHNMtBd4l1xFr70wd+HPmRj94tVgBKmUmsCpO/u57vUYAhBY0kNm/WGCtvEK7YeyoL+tL6hRPx7b
5GmVrgZHrxXfMQP3Z/mVX++sUVA0XZz9BQJ3IzfMNx77Y/mrrSJUVeYya5NL+I9tOl0uJ4La5HXT
2Y0sLVv2mdU+WXkwH49w6p69GqBCRW5sxXTgJ8JmdNOfyjGU7oXzrcCLjX/DDFpORmoRdBDS9Mdd
CQKfRug6O8tcXa0+XcFqskuJp/djO1OPHcQL/xiitko8hOBR4fvOVrnSjBN0a0tOQbCDUpKgcdsD
cDj0kUwL+F8hUPQMzHtNg/KUI4lWrnQrlxeftS6e2cGj1bvTePVV1DYSJIDhNRZLOaCI+cSXamh5
UQGgZAX8iefl4alvxM+CUYUZKOFUgCNJqHqghxB9m9J4sq5OTgxpEEdi0BVdZtWp5X0zz0/98Cwl
/IbV5jLuE7B4VHfQasDjBYz2UDoR3SUMXv058rJOCbCMb8gFSTQgxkkJEb3hW6zQ2reOXiowuYCu
o/uVY30QwHw4k8+cvMuRbkEvwJ+iIn1yJKnRIFwDFHD+G7uvDicakWCmzS4QPhTRCjqI6EBVZ9Be
ZzbfmNanl3kkMRuLaqqI+t3tbHse30Dk2WUB9mD1FGniHbPPSHx0XryZHMpULhU0lsibyZA4AAaB
CleSvmvchI8H2+BeOJCafC5qFLsTUr7UMz5wIhjDDQohHhQJJcTJlCUhlIfCSVDLCFZVrXdGCQQc
NJyj89zLBsTR9/MH9DQ6XiWwMIhItN/OXx2WYhVmCPo1KJbstG5wZLOskAy2QG/MqSTKK97T88ER
OyviFeYz70TntU+7hlmwatLJxB0fhiT0cCT0VPAk0Mg2MpP+dIJXhU91AmFD9EiooktYF+B3HTLg
YXJWZLcE6KjIkYfwozSLtmql+LIpZ6KWmmmM7O031Osd1oKaHKMiwaqmvq6KEtsbhdiwyaHzYmmU
HEPHsjm2lCZWUgPJSngICzOmBlEIgbhh3/tG17qBvGqHVjsJcRMJh1RJu2gj9inv7grPLxhD9hhH
INDuztjFkKKOsgGxAh8c4qSSilclVZr02AR+oa26CmjJRVFGQoarXfaBER3aSLS0LhK4TZr1fbHm
Y9kZawi8I+94js3RnNI6AmclUek+wQd63SXu/ajceZLkKXoBzm+o2Uk5CGfTwg/wytNEkJ5rsuhX
xzBus8AagBirF3GqqYUhDlmP1ow+hvqd7zAhmHj4iK1NyeEFb8kVaueD1ilnQzsVoyb5kqQYSHbi
DciSfcZ8xkPLLHRSxtujPiBmJzluNXGpdCDmPyl57aGnrC8EhvAVn6dmVCpRj6kvOn/Q1TZO4/cE
jFWy6SNhUH5VKu8WX2JZxy7Yq4aSSZZ1Kmrt2mUYKXgGo40XmB66YKOnNAz4MCdFiU46KBrEgbxv
GkXybcgvuGhjQw0ITfRa2GWo9xSNhqS869YKdL1LOeHObtrWgxHhn/OK5FKNv2ZaktihBg1fs83c
xt2UBRIjv5HL+VG7LptI8vZMXcvSG36ZDPCIWGmb90qoqgrydYn2FA1R35MOYoa8mddxlBpODkJm
k8dM44u0QOn2VcFAM7ruA15euGnkB9ua1zzohPGiE0pbJGgYf+MUDpvsmAgJsQUciIpfFB3mG2EQ
a4bETZN2Zu+nCQThU6fMY70sUinU1Rz9wKC/KpO+eHKhbigEUE7R2uSSZZkybBMlh+BIxHcRo4sM
2qOWQhLykFtWMEkcyZCsaA18S+WuKuirJmDrThLOrJlCiDd5yiaYPK+tJKilIqrh0PpWhWpH0Cyp
MaQp2zhfxXHL5UcwEEQK4L193vdLx2dK9iKpHSAzgyYX6rvbKkrwOaRFJi3cnpFLFD5kvzEbJ9J6
nef9xrM42Q0FLJXQiftBBksSzkadrzmvl0FakUGgfhGVRZSAsSXntC8miSGIwLq1KxkD9N5+NKR4
PAsqlq538IrMY/ZckXChGcVuXpmM6nepxfk8mxWkYZloMFw0o6i/bZIwJuhahpcO1D4uVI/a7mfm
kpm40kGXjIovuNLQC0JzP4lDE+IWTgfbr6CxHWibJrBZdqX4NmqURJN2XfLeqE95+Ak8Dsk9/7fr
MkNzfvwYPK/a78znTNx5/2K+EsDghoI3dT0U8ZAAaDKWul2LqQhE67gF0skq4SRDzRePrY2/GHXB
oqqO5B9qRhg93SSdaJzDgHeVtRNZjS2BUZ8l1bcStg6MgO1j67G1iWcHrjzIWCFqAaOHRMXGQjEG
4A2aGPtAyo2k8l0TuJm3x0amSpKg00L5AIAYULX8gQ2vQjShqtWA9dC+GDFoMMdzvM72XI3pq5Cc
l56kAY0YFcHDqzIjF5QaWmGkqmrIs/2p1EWPdBIY+K701KnQOazTVhNy6KkLHIkHXZbwRvZ5g/2q
v/05ZAy1kHe2qICYlYui4BOV3yEWD7bnNgOy+vG8UiE3bYGOAcvSHUTZx2gyBC14pgHc/K1qYGsk
2Rz2bmbi6DeU5LuRpHgKv5N3foygb4B4Sk8EV++XyLY/HhYd+P1rXGPRFBlAZCxpBhQBSpFlKgXC
Lg4cq/G2QmGAOtdyhhS+91vz9ypbGQJY8GbsjrnFq6N3Z3eM3a62qVy2iRarsItiwrCVUaOHCIWP
1hQVv3O78tC+zAF96b7lf9kEPA1FNZCg3dWIJbaNMi70hF3bm/GylQnUbTW9/MKVBe4Abqe9zZmc
XEoR4hN4KoEPjqbyK4GkEusgFHbIraoRYUUjkYj/3T8FdhfMLeXoP+6mFK9CsL0i6OXvuHr9Uo1q
iJDu6l8QBy6bJbMX9t1z+BRagKM9Xr/Jgf2vLfCo3S5f29SD1GoJplIigAhwTzIC0if3OzXUz8eW
qPvpX4t2ZYnymowLpRilhSVV1aXGAvnjb5YjbJjbkNRj4c4OfzuiUCxkPhztMITd+e9qMIqTgLWz
0cNjvyzs8lNZtQqR7cfDm5tIKgdfFqyjDkIs7JpYD/zEzIWfGNKkIAzwtkyAOOflP7NHveA9gFky
J8IwwdiOTAabWUpBwmNwLtbM8T8zRR1x1teivAuwH5lLeAavk+mACf6pZ8kcz/HcHI63w5UvcZiG
5dwq/RuT+sy9gObY99Fnwrk6J8xs/Pt7ANoEoML+U31AtERtfK8dwghky9quq1T0lbAkijKTzw4R
gLUM1OrdfG5j3ntK0PQiCQA2gvFl/peduBpdmAeZCgivs5M8SA8XlZk76irhwI/Y10aCcwcAT1g0
hAlCSBgfa2jZ9Iw4Rx91fzxuv4I6HhkT1G46xM5O4X/6cJEm6FOdicbmTFBHgeFBvsP0kbOrRd4K
ohXeWa0416s1aQT5KxB/IxYDE8HtXuE0rUd82Ti70i1Jkx2rfFtrMwiB+/0IMBp+A9OliAQE7RxF
qWcguTN4ezVcS6/cIRNMNvgutUOEjpmymEkGUmElHNetNcpB9ilE7gAT8vau4Gp6HSccYUqx0B8f
ZhrdAzMq6uMyBApAqI9U2N3G9+IgU/xgXw3JKk4vvojysJ5GBM8qI8ie8Qwn0NEwtYEUw6oVAMRT
MgKm9UPQZGYgN6bTzzHIjYt1e+PdfhM19JzPmCpEAmQfiNo6Ty5Cq63c6NQkc7ufrpL/jR6KoyA3
AGs2kD/UtonqkTwOjcR71a+MXHnJEkhFI8h0PUM7scTb8z7pfjRpxoXSnDmjXQjRApoAij4g6+/e
DIMPeZe0jvY1mDpRrDBRMk2MwHIXrskZjFkaqgFAFykWMSq3AMsuZCg6VZbNfaszaVAadXb3LZQL
GLSgAl9IE+0jnjTeEf1gfoWGYqEhSb1puE8uTPTkW5AWgaroKhQJ+oow0RIgQJ55raA0/+7Hhlpv
GMZscyIFL1FyiT2DCwLiHorcCPJDL5HoXShWIdIH7Is2qxx7f1agMYAIEHKYEEa/a1MIhrDn80KO
9nmUfoMNGIFRd3l8UO4dzK0Jak96GchWqkiJ9i7wmGmz6mQDWbPHNqa24804qKUQlcYFNSeMoHkE
Sk9DRdjA7JKlsBtMTdLrivCZ2c8FfXNDoxy00PhSz/ewChHHkN2UvsnzM88sOtc+bjLIOI08xQAL
IGlLuRm2dV3JKct0zxS5VSpHrriIYa23AKYmvRFJKw0Mym0ZLrx6xvR9oHlrmVo4p+1qYUirdB+r
l3chLUw10sft284psk28uW4tUatXarycZG6d7rPQUjjDVc08APqBtOqi2vWk9WZCiMmRQftVVdGi
M7qS2zsvE+I40KoUIxPfmAopJgX5z+wNOULi83MB0oRPBpnGP8YoT8l2YuxzcYbB1Y0eBAeh/lDS
RQHetpkzMM4S5fxhCIhfCDehdEG7ZCXIhyKssV5em+slt5K9NYJ2Be0BTLDjnEsnHwHY8sZDOOMJ
pxdQRZKFh7os0DNUakMbkppLmTzdO8Oq8BgDcjosKVJ0qtoKeyycbRfMXAR0LWw8F0A2gFMa1VUI
zdB5MXCCZq3qydne/xis5PjJ6O1RhHyhqcLv8xu9Xka2Mq8gch/u3podt9ZV8MmWvorksJLt+/pD
/IkbQLOcCPGFWTJoCF7Krel88cFCVHftoQ81u1H1rntToJEtu+bjBaeL53dTQM161blI6MtCtmeW
rC5YgRXaPDi1uw3UMiK9CqCpMuggqjEL0Em0pEdRBkqiZvoizuoK30d4t9My/vxqWoY+Azwxw2oE
qwGMsUCBIMelJ0s0hL5qu3wbLH/RGckcVZNbPZ6FyQVB8XVk8EY/O0tNQsDnKqskSbZPs1TvJbxO
e1cPOyvgkRyCkCWoBf4Ng/KoqgdCAXQDUQbbvnI9pI2zfSm9glhfZ9td4LgG6htlCqjRHLp3wn2A
8xpvHaigIy1N9/DnysA4fc1n+7j39qGTLBgnJynexrU2F9GOVwnlQCQRDnGUWUCO5q7BVGBjzi/8
fKSFcYxwgeQMsd0DPwNomYrhru3QkbMrCx43BLDTWNFT9TSA5Z8jwYExc6OB3DhjIpjboTpgOFan
f/TEvXimuowB5IdC5UVbzalrTARB+B4NyqiSoCrAL9xuXlZOAjivON8XWaCnaaC35czUTlnAwwfC
Q3CRwp0yHJ/VQScJSb4v/ZjbdIrqmYGCsuvjnUk3gP45BGA5R022UcmJ1pbR0qzhirzK99mK10cw
dLhkTdGUNh3Zurq8HMzonOl2OyKyIn0utzc9yH+sUxddqjGo+vM1rKtlAWxIxh15z+9nvN5f/YXe
pdeDpFZLlNq4qAsMkl8nT8yrv8TzjiWBAeJ5cataPhR032ber5Mj43nMr4IdAqT/7QYpkgYCpiiy
7sMBjFHxBlXLGadCVyn+tXRXJqiQRHKlXK3CLt9rS34dfIHIzXmTjcIst5zpbGQos841Tk3eoOB0
/N9RUes1lJzopyVG5a2kL+EVE/ocGMVnsvFXqE1r6+CsWp45KjI+3qZT0QLSv4BwIP8rj9nn2+n0
3cAvPQ3nX0pSIpQ6kkWOwUKBa5G4Ow6vBDXIZw7g/2ETPNMSOlZVjg75pASaPSHSz/sKcui8aR0j
UKqu52iupudURpSO8WkaKmi3Q4s69OQLfZuDJF5ehMvIYkxEQp6jl1sB8ib1RvgeGft/gzlB+qkX
kAS3/T+W/ybg6gYuQNkWcwMsS4fOKECkJJ2BejgM+odm1BtlZg3H7XhzCEWwGkLFGLo8iMCQ/7sd
p5SldVaCUGeP3qBULxSvXsoQ8zYLvMSMx9uFZmuDgu2tLerC9RxOCxI3zPdx9xQH3z/9uwdtboOp
Nr3mElU8lCiVZCcHVCwVkapD8I6/959Ft25sd1X2VuTyc9tpbvzUOrdF7XK5im+ShVeQEHPKyuMu
jPeWD57OeiRcNeEiADMgekr7xdDqCjfj6+/fhTezguTd7QoImtApvIAvqNpfZ+k4vzEU2fLDILRG
OVhQ7k6HZy6fo7Qf1/Vm3cesC8qi6DBFKAKUPGU1Yyu/ket6D2yImcmnhlvzSqJHUDCu3O/HC383
x1BHU/6Lsy/tjRtnuv1FArSS1Fdq6c0t2+09X4TYcbTvu379e+R78Uy3WmhhBsEEQYJxiWSRLFbV
OQfXsoxDAnoMc9LHgCpNURBSOkUSv+eRZ6c59C+a5vW2memYmw0JZXWQe0DLF4/Beb0/7bVOiyH+
7lSDZ2XKUwDQapehJLYGuVgaz7mh2XkbVZjapIEh9Ao9h1lusEQ/jmq2Mm0L4wGgY0qOTdwWkGS+
XCKqVjlagAKMJ3dyiJcy/4XmdqavlZgXXAGOgDgDQS7Sx/NTXApU8C13Q+kMr2rMVaN8KFSr0e3b
q7MwaRdWZps/J13LMnUsHSqmRhU+BNaInPFtG9d7SYNPg84U6UQRgvBzDSTw+uToTggrRyICYL9t
oYDrUypbE+8aMws1YkSVGxl5GxWGLnsF7yshsto6WqsCL80pwQYDXmb6jcyOFTFpyy7XlMIRactj
Td2IwVekpoZLA2Dh15K41ycrxo0rA7xGADuhAXHmKmEadnLMvNIZ84/R+8oKGTVuU5FRaEMNWumy
rZA/xJn/0ue2/qurvU0N6jjJ8cWtJrcGahGENuj1BOXSvd6DluD2uszZ85DLmL4P6UkwB6PINHfl
qIzaVOxY4TSlvq3T1CBfvjLJaPyS9mFlRM855b6yFcR9HAU2U3Z5f6x8umGuNajHEkqw8evtT1Kv
DwsgKpAqBfEFyKmYfLm5mmaM6p5RxLhD8VbogVFH6kqwueDxVEZTFmolig5ltJkPAE3l92lX1E4u
jaYc7HsAwSKyckgsOBqw0gzkGRBTmvbw5TiCpqLFGFW1k0V7afxb6LoZhroh+yOnSrySnV04kS6M
zfZwnHkSSUlZO1rJDLm59/OvNv8OyK/bazP9mNlBjjXBtaSoqO/ghrocEyosfVv6WeOQ+lNANxvT
Ab3xICwnH2XxRUMp5ra96+cWHgPgIEEaUUFFAg5xaVDpvFxRSdc4PtsodYj6g5eYWvVe1zJXdKfa
oV8soNbwlT2Lh2iXPYOkQI/28FSHHCp1e/tzrv1GRfINgSdUTiT0xk6uexYAxkk8CLEaNE6SPtTk
myV3Ic1WduSSDaQXocMF7CBqeTP399UsFsC70jglejoDCPVlyDO1/zbvjCFM+Q4s4oTmnwMw81Qk
VdjkjTPaNd4HIA8EVyP4SNeey9f+cmlnGuzZhAFurqEfGnbYgOyZaLFwEyabdoRCzMqWvj41JkvY
03ibow3lx5HOLPlKp+YoFjVOoxDfqKX+XgYf7MraLAwHqWxJRLgMhjIwdF8Opyo8bwRwoHVS044M
pJq5upLmnfz5coNBbOPMwmz1G1LoIZqYWwctLqDkg+TcjtmPa/nyOZwdpz40mic2AVGehALnB2BA
9axslLB1YjU5ds+kQwRf7/QSUMXgJfEfxyZ/F/tkN1TuPob4J3gfe9WuiGpA8d579tEeDPx/fMxS
QymesiC7I2NsA9MkuKfbW25hXfGlFAGqDM2fK3grGxoJj5OidVxWCbs6bgOrrYbv20bmkJv/Px//
WJktbF6WfZkPVesk47HxILtsxD7uZ/W3/6AmvaHdex3QqXr20Ivpa/6X+HY4Wp4cr5wvC4P9UVCC
hAe6BKQfsuUzJ24z4uYsrQYHrdFcbxtQ+N8e6JzkYRooLOBMRUQJOrF5v1abKp2YJ+2AhARw7sp7
dAqfm9f+rn4AbcqGmDFoRIMH5pv+aFU7mf8h1u0vmHb8zME1EUEz2n4RBgLmdLmFBD/qIqGSB6eC
vgRJfEPKDnFVm7etXF+HGCZgmSoQQ7h6f6Kys4kkcZZkY+8OjpT2WwLSCA08FWn6Jq8l5K5bFDCh
MsYytXVA/FmdlvTMUlenRKyrcnQGYzT7nXLInzywD/dGZ6bWcADC+MEz/oab8en2CJfm8dzu9O9n
doMkaFJRKEbn3XxYe3lP3j5fo/OfPc3u2c9W5bCWgSQZHZ2rm8/2UIPbTjMeI3ut63QhOr6cvVmM
NJRUAB0DLA3GZ7IJzezIduou3Y6b6r0yf1fbYSPYxEFWGtqTpela2cqOW9gQCMsBsEW1AbAvHDCX
Yx3ZSNOiy2SnH7rIQH8/d4W3UAy4+q2JFmRQULw0qAua7FMmv5aVnZW+HaXdfeCCSx5JypyM2za7
GwdLXtNVu75u0IM16QSiOoFn5s+b6mwdSh/ES7Inof0f7flGNgIENsrE38Z9DkIWNSG2QMQGZXiF
bG5717JlxMhgLwAd2zwHQVmGDC2Sl06JHpMOvRcpS7jYb7xdVr0HUKC+be763EODiwKBOvT6IPaf
n0qMiqEwhqHqBCU5akJug+hmJeJZiCTBsiEinYaAnGmaMnM1aaAJaoq66tS+lT+ELqq2u5Fxtkm+
Yye5yx1Z4JHMu7syMRXVriEeKD1IdmBKRruaSbw+ny4/ZuZ1oQv9z8hlqjM8iiAlIAcJ1FeIwgIj
6HdVs2WQS34eXyHXNtRb2dab3e0Jv06iQsQJbVWoQokTNmCebs9Y0Q3glFCdQhXQ8Gko0iMwNzR9
yUOZk2Yf+0e52Udsr0mcjsxgsR1qn+CW6j5vf8l1pernS3D1QscF6ep51ljQClqQEQBK+sVidH1z
tT5F3r1gBA9acJ+Ai0TYJMWxOMh7f6864SO5L/fxafyWXEvm8ptEt2i90rcKM0ADNK5cJNfxGBiX
NIYiuI5LGdSfl8dDVFZylof4uqH+akB/WeuPifL3rwr96ELAs/zt9mxc1ygwG+f2Zu8dAcxxHUlg
r283dN/dOTpkAl5+O09/VgamTBft5SEPS+ATwpyjBf+qy8tL4kmMKdIc5R5ivwwIjYd+tL0ToG6a
DdRrvOkY7/oT+vvKjHuH4lWXbPnYfoy/aHsU7FG15Noe6aNGtqnQGzlkpQtb2ATqmqDG9VV3+aWz
kKGOyrqlJNHQJNNyUkATftxr6lqzw/WlByvIhqC1G8cEoK+XKy37Uu/RqtMcdzCicuS6ilfEKQCa
rPdLrvpcVQFhiSJ7LSK6hghMa44YF/xe0gQ5nlnWAeweEqHVnKD40g7CJB5qppXZgmhz2NbB/YCm
8EY8jcHKkBfn9czuLHTRBldqtKrWcPK9lsFzihXP/9PasQmTQ9kUdM4SBmXdCUOUjZrTBLUz0mjb
snqjaP3K6286vK+c+czMLH5HsdAnet9rjhZrG62LiUGH/KtEUjbW28QK4iZfubIWbsjpokLOHGsn
I7F96S5SUrhQsxU1J84/ohKM/3YVaSdA1XknBFu/F6zbJ8PSCKHOBMjmxMkK+eJLexmJqDJ6RHO6
PuWq96bJ3SZ0n1LAJvsyWRnc0n08NdwiBYfgGSKxl8aSANhU0LVqDngmCRdGsBZlaUpXjqCF6A9N
rT9k3ygX4nU3u5L9RtAAZ5ZVh4BcLGVgcY5OSfyqasDkqBaBo/SWDoE4qwPvPwU31WeU2oU+YbgB
mdOVjxDNVjU4J5vEWk0oLAYMhEngm8MjGWia2SRoTTA2ckRUJw3jfV0wDtFmU8D6AqDhE5kDdWxo
4JtzXTczxt8QLwDudCKNV5RnT9/m2psOVe8nSHi3zV0crKXGrov0ODYAfJ2oyid837wToRzGWukY
rnDwH3JNMWRo/JbV1jXBlPnbNdEa3Win4AFKtuYgvlRrKK5FhzwzP5ueXkXCDu6O4LQHKLP2wUkd
hEVhVh4AZJhN9Ebog7KyC5YcE53nEJ2jaJ5BX/SlY4KDknZ0wKXlylW1QYIrBO8ldARX9tr07fPj
BNpYuPfxikRb/ew4obkCQHCnIFZ8RoRvWSo/6cbdyeP2L53bX5uAH0UDus42dQTTsKy7/Zv1zX/f
/X55ag7gmv7jg6X+CYxaH9vt43b7/vz38Qm8gebB9Jz3w941Do9rLVNLy3H+ybNLMmddW1cDvLUe
a6MPX+hw6Ghht9K9hHaN2/OzGKWcG5vdWG7ijRUbVNVR0GKfl3s0PMr0RU1t6VMobFW1khdlz+7C
/OCCiP228aVb69z27Naa9K6rMMXaKPGHiuRlV5pAsd+28aPtecsBZqe754p5XvdUdQ7gWuztibEH
BGqgYZJBdEonPScrsnrOTCjseMD176s7PI8hOW6uPZGXAlBGwWGGZnxkhOe7PFIbRYkj3DPe8Cvr
t+10T3u8Hu+D6iBqdpkmK/O7tMVQEwGvFU5/BEQz3y9qVggTZ4JTuCLXAKHyV2oIP2+L+eQiSYuz
S8ILA2+Qy02MjoIUbVwxcWzoGxq755F/E1PlX9Sixrdrfj8ERmESboXo4nja0l38/ppwKGac/qwB
4Zb2+fmXzM4wNvSqPLbTWLXD4LhKhxfYLzRCrLjTzyLdGvHsogM/gz+kFCNO+LAHf+e7Dt2Az4rr
vLx7/7Sfd8z8/tG4MXXj4at7h0gTzzkSzGDFs39PNF6R/XjIIKH52hhrtHFLGwqElxLER0AmjUTr
5XKMhc/SIG/AHQHGjmbYt8o2S9oVr1qc6TMjsxkQtLqEjFBFnB5nBUOHJahQGjCKZr9v79xF7z2z
M7sgKopscV1jMI3XQ3yLVgCKFNGwEh8tTxmw7tNFBMTA9BVniRmxZKk+tj1xwCOEh8JdO2wl8Hvc
HspShKljSdB3TZEXUeVLIyAGaT0/TYkzMLRMvgKTkL/QHkhRJCeyz9u2FpfnzNbsQJdFcEeVYUIc
Tz+MX2Jo5kVpSNVa0Lx0mIGw9afkjNv7RwPibN6ktulK4hfEyUHmHSq7qhKNwS/Mvn9EMNWjmKjr
p9sjW7gXsU543uIa19F/MPNuBlZmL48V4ujaMByY5BdWHUibMSfHClkiMPEEKxYXXBBisdDHVkGJ
MPUTX66bPqgQ5BBwqCgleI1CZHja6vn2oBaW68LELEtAg0wGYQTOEylSuYK2XhVpk9FOkjXNmAVH
p8Ab4BEgTv/pM0ePx8CrIwmGiuIPOkN8oOWHfgVLuGZj+vczpxhrkXq0hI06+oWxNHQr9Svt0Ivz
hWSmqiHRoSF4uzShk6GN6wHu3cckBb/H8EwInviqAI6vCDCO26uz5HIAe6FxTwMfBp4Ol9ZkL00g
G94RR5Az32r9DJzVI4u4W/mATiWBv2kyf2UD/+ifz64YpIkpBW0csJJYrkujTe76jZSIGCIIoo8U
XM2v4ea1NDtIPxYQ0iiMe49DeHJzenj4eGDmiQ/QjLuToBlndFwGA2DH12KXxYk4+6bZRCQCmgrB
9QDv0evnOuiZEbEG0gwoxEBQmbdarvLbU7/kS+ezIF/OQliCBQVoOAK1qCelPIXyLg5WKrSLJnCc
gAoI+wJrfGmiS/sEjEIScdTxvvOeRsCoOrayv5eOEDSY/c/G7NDSPRCpB7WKc3Lsvnqp/hKyyro9
U2SaiiuHObMx2xO1IpYNMvmAVOyH/Wtl4U1t1PAdvKbxK+LlO/Shmv27wksbQfDzd2YIk2OBypUD
vJAZp+/dCdtnRwAICgxo00Bu0vV5jz9OpKSgqkIM89YakEYS+VYzH/+LexEFCRHQT6AZZb6r20od
+iGjWGzNU23Zi0EnlWTv+UB2ciMn9wSYKXNl1hYmDTlTiD+h8Q8kaLNJQ5weSR2NqaPRlyHe4QWU
QbFLzqJ/H2AA7k8ndXXg+kFyfulkydAMXSkFFGEMIAxiqmRm3KL63lWsW9kyS5v0H1Moll6ailOt
LDRNgD9X5VOotq9qL7/RQKo56NA1w4eWrH17EueqRihCTxAQdNKgw+sn53lp0osZbAYJdd5rCAaX
eFC9Ip1jxkaIdxbQXkZ8X3Hwadm1yazOeJctaGOTcotiwO0vWdrLCK6gs46s7zWwKdW0oo/Vkjq6
sBfIoyh+64h9bttYnF+0pRBAuBHJzaUiBBppQ+tl1Cn8MTRQA3uAnjxSMxpyysrDGG5um1scElR+
UPOetKnm/NpoXBrlwK2pAzo4rgGPlrHf9fhy24i8dKGiaoo8OYAwaCCcnex08FUhGBrqlFD18btD
B9Ys3NvD375+EGPeMltnAEeKDwVBhk7dgLEvdg/pWPF0Gwinvo046hy8Fzw+uN3R80GeBFGv5kFc
az2+RiVMzoZNhLZTNPwBNXbpbF1fl1VZD9Rx/QSt4ort14cODz1vJ9emJhkE8AyjkvX/sA4Ui6BO
WC/UG2dHeNkpDKwdCnWkDgrUlNaPAhjaNi6SjSuVzZ/KxPwkPzc1eeBZAFV2wAkIIUw1Rmv3+KWh
WD6Azx/pCkCU0EV2Snc9ZKB1RAL3CAN6HhkeiN9HYBdj/uBtvj2L3wWYBe7rhr9/fGwM/T9EeRRt
H+joRO+ROL82kUBPtRgMIk4wkmcEQc+kpIXh9rK4st9+wqur6UCwD1kWdI9CIvByOnwIs4HKUccZ
jZsq3kW8NSV7sCp+jzLWVjLvA/7d8q+Y32W7HCRvIIlA1VeycNZxDPz2Tvl5X9z6mtnLSpooq3MP
XxOTgauNqYPr84/QbbR646YHkjihXxkKQc5OBz4Hwkpov4f8SrUbMkvtZLDM9jZIlqCyhLZs4aAr
O/Qtmzk5DNVWCQ8sxHM6Muo6AkHwu+Tvkz7gTXRfNXYlgBoYr1+DMC46AVTN1KQyOwKxB2+n5YNB
2rXBYmZvjXUKa84cUQjBCD72FKdCC7AhiHoB3bw9nUvnDkrFqFdPbzrkZy8tVFGUY497zKH9Qz2C
szN4ZgoYEJuVK2opYwPQFkjdp+YhNGDM9hSKFl7gp1i2Evsm4+/gZDIpYiPU5DhuJdBi6MD+EQPO
dIJghfX9xfjXl8rJj6JCbRni1xT+DJxZj5GJTAQ3Q2OtgLKQIYAWDFQ0JrUeopDZS7Mt5Joqfsgc
xfstDr/TvgKj2e8i/a1rhaWyZOW2vCbjwFF6bm8WlYRFXyh1DnuUfYre0VXsAoJ5VedQH7d2XnCx
MJKOq7GpH4KwM/TedtOdj6CQDI+1HIGHpjdiyVIGBQ4IUXh03SNrmjxVhRlLH4NkjNAaTASeF6e4
fWXtU+RybYy2kbCGrFi8FqZ5m0Ac6AmZt3L2TZd5hZYwJ96x/sMFp56PYtNO3bYQT1edfqXWupQy
p+f25qcSjYjuF7DXgip1zJI3TX8TG98g91pmePpjznBSgxxhDCwSPYK+0NXGlUhvLpjwE3edf8P8
LPJBVDChEZzevRd9w02fQDPOA+jMSKaub4D+kNVHRDCGQu0xAdFpb1HxtxiUp9KHrpPLpVXU7uQy
8yMDdVtQI6FchEbk2TVZi75YBhFcqsP6O0qBDFD2lecGIfvY2xbhyvmxAEOZ6uwooSJ6hwyiPHPh
AhIZQublzIEahFJZ2oOG3jPH6z8Ko04qPoL/I9vdPrOWConnNuc1cGTZc5d4GaYdHdCg8LF9o98K
Fsh7+APjbynOCdChmRC4dADENpOV2vg1bBHb9mzM83zEQIrKryb7Wm/XFTm0eY/OyxZqeSapNv5Q
GXV1D6LcJD2osllla8DQ6ay8XuP/zflPJ8rZtdD0XlhrHewXer5XhHemGFTciQrwk76/4uOL/oTI
FxJhqA+iunB5QYSqrw3MLbGtB4mDPcrQKzNGRBrSg0AeZKUworVi0fJRcmZzdu2BuBo0q2jcdRTF
UjcdhV41JheFYHQ+cFK/5S+S+/e2Ty1F+ai943kIRiHgImbDZFpYgDm2Y06giWadvovoxsmi59tG
FtcNuVpwFYO9Ek0Ol3M5lI2kZiWjThgmRiBv3S42qWvVamUIa8KaPy/nKyeBj4AxHRk6vHovjRGh
Rb96hYMA6G8z3IU7EbLo2JDc4yqqRB5/1nEP+2CBQhVuNAX+iSrYltw9ZHed+TH1SLk82d29dPxP
bKQI5UCOgiqKbL/8uT0rix6GtxwSD5iYq/eyLxC5Sjsc5JqfOsyFBw/RIWpMvELsaOh/RWUBCvf3
20aXbnrIkqDLGO2g6MiYhSOilDWoh8MoqxSeRohG7pJNo4N6LUNMIq087xa968zabC2KuozCQoND
ExyJufypyn8GvNZuD2nxDYl4AvBGqJnCj2c+POhJlMqCj6NfeE2aisfks612Tffsee9xvY1r3qCx
TwxwGx3D1Emkba9RkH9k6AX5DPXjMBEFNKChGnKrVPK32qs3ZbDJ2Sbvtre/dWEnIEIA6w/YxsGB
8pN8PTvBIlUZ/Q708I5XDWDO/1DdE5CDPOoeynCN8GoBi4B2PLSTozkPpSV9/lKKdDpkejwdYQj0
EZcUW9/fjHQ7lCoPIfWaUj7WkRkhSdfyfsRfyqAEfta6le2/eK5NvYHgLJOQZJvrBXvSWBe50DJH
8ixfs7Jsk5ya0tCQWPDRGi2dqrXrecnNzy3OogGaqF4Y+tOxFuCt7o3Ch5dGVubWwHh9lVH33iEk
ub20ayZnO6txsyaMB5gcosgaVcT19XMf32dAKXtxZ6mCtoLUWzM4/fuZLyUY3li1/WRw7+6TKriL
3D+Fd4JYg5kG7fb28JZOq0kiEQcr7sSrSqXWyEpVIoPjJBAqEcqDxLadwAm6GEGgy94bYSXAWszt
AYE9sahNoL2fOPhseF3ZpeieQJ+ajBYZtu/xavK2+YNigzmQ/1KtgpP9VJOQ+HME8qSWP1fGSPH0
tdJ4ZWknb5ldKQwpKh3DBr4VhC2XMy157QDBceSH4cgW9T7lvNrWlPGsW+NmWjofzi3N1jQW8hhc
G7AUu79qseTTW0hijRlHyI4JK0u6OCwVOq1A7+Hyn8+w1/oeVI196qD4hAgqtFUZMi0kMyRxLTf8
0+h0NYU/EA30n6CkOd0UZ6sZ5e3oFUVAp+6TINwBCDDSHcm+RrMVPqLeivzcjF6gyFB/DtJdUA0G
eCDQDtPslP55IBs5WqtILp1K0FNE6xtySTiU571ZRaSXqZAgeZx00NodX0rppDLLJ79yIdnR7EHx
sldFebu9jRYX+Mzo7PUWobZA+hRGW5y5Qv+NzkWzzr4b4ERQv1y5Gae46mrScSGi4IobH5njy0kX
BYWkAZQ1HDFIZCOO0UEoxMUa58eiG51Zme2OZgxisR1zJOSk/ZCgEodqUAsUfAct72GtYWLp3QVe
GNxrk/wmOj1nl32ngAwQVzfSYO+1aH6OUPF2QboT3rGT9xqvdBgtDg1Thz2CFz40AS4ncJSKME7D
Cmn98IPVOMTVz6p6k4W1ppalhSKIyNA4M2GhrwJkGsRKmwzU6dlzMDqsXgk1l7xu6rD9iYehOD8b
R0lbtwY6gjrgYuZa8dGDBEJPXwtI/3Ta79sePh1Rc6cDzmaaLkBxriDxhdKFYQiYGxCh1iiXPJOf
4hE1mMcK6eu1k3kpvYbW0f9ZI7OiE+ohsYz+aeqkFdsp2VHMwCwVfpTCTkp/+yDVco1Sw8nmx4cw
9s28lMDxM+77uLQgyM7H6K2voBdf7Zj/SvuEu/q92z36GQRUDAFs9z2S3MEhglqKuJtgwGO1B+/E
DlznrMXGPQEiDHYQngpAjqR3ILFuBi4kJ+oFXB7M2zO7cAVfjHWWswT1sxuA/II6leyfunrDiGCg
JR5IqgMgP92ultZKTkt+CWlO4DyRusQ5MpvdDtEjJK+wlgkNjTAVj0zId7cHtbTFINwAwBx2NRIp
06DPLgbdbZoBNJXUiTJV5W0s6wZVQAQgJsgo5Z5HVy49ZTogrvxTR+EVSgMg+px3Q1HRj5Kmdqlz
fNe4iV4XtGK+Thn+91/Hz9D8hCo3f8fvHkdJ2pjy+ip+bUhstC+3h74A+USADswUHmMoPIPX+3Ls
vt8BbS7jU9TeUhqeUDMhh8jfkmYnjru2j4zOqSswfe9FNLuNPt4tNmJ3sCTWa/QdV2lFNIgBnYfc
L7BtoBmbP5uhpsvKzh8zR67RjOoBJhmTnRsE20g+okvXaOsjGsB5IxEjkYR7tekPVaIcGiAjbs/K
/PzAh+CoAo/MdKWgaj3zuajya18lRe4U41YGZwhextlGB4AMAp4NOFmbkywEKwHe1a0yGYUMLQ5f
RSRU+yE3OfPCcKylsZro8MqMbVvvt1A8Fskbde91lFFAR6+F9TYYnjz539bnfwwDla6h1YbJKGJf
ugAbMpDYSiAblNT0b009K9S6EuINa53oU3x17vWTHYCCKAJ4MEGhXH5pp4vcqHWZnjtRBGoaNU4I
J69urJGV1ZvfND92QH/McGMiDztHwYaxGCK3nxXOAIJlyA5yNnqG1gW2Gj8rawTj8+PpxxhKOFOW
DipI85yvF4DALRAk0GqhXeNREtJ047FaXzl2l4Y0dTQiRkZtBK1Yl1OXIZ3rUh0cTbliIMe1ZYO0
KULv2FYvnbga31yPCR44lTWRUwZeYH4mYMhQGUO7k4O6N3IZgs7Zfmgg1Fnfa5sEKny/XKiPIdWe
0F+hvuaO12OF9gpOJKCEp60w5yURxS4biBLmTtwWnHq/UCIzFEh5E5ANBWvkEQtDvTA2exM0UQZI
Vx7lDqT8UDxAsTlfeSJfQVuAq0J6Hn16DGyCWMGZCfSf1wltWQRYuG5ne+mg7opvbVuBDwOVa5Ar
c1Q6i7XMy+QRl5ttsgqxC3CITsCfWbgVMdIppQyrkhhbfSUZEbjgw8q9S2j+ePu0vN7Xl6Zm4XCD
JOKU+YmQ7azCALnDUxSvPd7WbEzreHY4CmUogCowiJ20S8mkOxHERy1IILuV1fXr7fEsOODF1M0W
LGFxl4CEPnKgLcfHbFfEcEB2EBUgo9hKM+eardnGLtFtkQYUyyQ+ZsTW+ldI8WbMiBNq3R7UFTDz
/7nhPw4xfcnZDGr9SPIwgSUSbrPR6H2E3xMN36D4T75fmrnwlIR3XYw+QBcNzRKzb3/A4khxq+Kx
C3iXMgdp67Xb+KDwgEN2UDnwyrew6mxx8HnsuYhiX25bm8ep02gV3GbwOxGw8DnUuaYDVAbFCFIL
BfKtxybfqFB10LZCdHSrR1X8c9vc4uye25uFkDSWAXvVYC9Cr5dopeb96SvnowUS4pWk1EKccDG0
ef5WHqtYL6M4xo0DvchD4qNPCenzAQzPtlfmqAQC2iuUPO/XWiKWlhCQJLA3TAsIZtRLF4rKgSmQ
WgITai+YAWiWnEnKsky/ojWqpcVD89zUbF/4UUHVMoOpfnxDpxk0v7kst7aboRa/zaJho4Asc+y4
IKNZHEW+wLVJ1fMK1bHbK3uVNfrxpLNBz/aN76pjo5EMJ8+ucDqrNQUJTROd1ZzSe/9e/vCO3UNt
jdAmg0AHcC5pbxRrMKZFbz77hnmEpkaFh4pJ7KjeO+6P8Z26DlDqzXPyJaYr99WarZknuzGis47l
sUO9TYpWNh+dPoJdQF/uD6G21q4liH6iiflNhRoZAg00qAAzPntSIn6TXYlCoWUEDt8GtLMXPiEU
DsnDrTSehOaPsm/HY0BQV0nMsbSGxibu2qaaIvr5R4A0BYkPkGrgG2YfUaFwP4QEM5wUhqyAEj95
T2SeuLz4M/bc+9eJv8mrkANBv8t0amA3XW6lUhCihNZxAsR1if4ITdTxyk9DKagNL2ylBq1NtKg5
bZvsbxJCRZnHohinvECj2X+47pANRNiIYhxoIWZbrQr7vhYLOLimVraYbGXs6SE+JNl9H6/RVk8n
xNU0n9mabaZCDIlH8X84Wv7oVVDYfBDWevOu326YWeDgZHWKOrCklzMbKSRvGsjbOzrE7FHrLTLP
9BnjQ2WW/QcLtZUDYske2tsxfxO33xVXG6lFdUzbIoaUxdGb0pzfhOy89jCQX52+vX0YLV4zAOpT
ZYIaAo4xe5gGfsCyAfq2jlu9DiHUSXkr6Txse9DeSVwUeOoRQyg0Sx6/BrJyMiyNFMIZE7UNmrih
33A5s5lSpoHfRokjoN8mSfyj4NkJRfquiQyBWahc3h7tkr3psYgmOIQNEO+4tFd6ihL0Up84ZSDu
NeEglRM+/eSpJk11o26atQTE0tFHAZHGPsDUQnb80qAat1DjTtQEl3gOmoraffwefPz51auePaX+
D44DuqZJUgYee0Vb2NNmZBA9T3DuudAi55BI5jG6yDQoabfpU+a7D7fn84oeFWsHyQvU+gFX05Hv
mXkPhfK1VEKD2xnH4JG4uMMyxRmKF6U51Mpzq3ePMXOPncJBKWuJAzqo7rz2wUvEYz4C+lBAizn4
EoJ983b7w656uX4+DDVZ7CAoc9B5FUj3cvTKuXEGpEu4C1rtUNbFp6Lnf7R0yzSfd3A4DR16aiVu
CkE2SjxEfe75CF/R1WG7JTHEcnwQwk29RsJ8RS40fRsa61A1xtdNre+XTqEQdD+TXsgcSr5BwnY/
yiFnyCWDnccTTmkYmeUjGSOzaQEXcbcqA8sW+MSFdje6PR9Xy1iTvdkRChJ15MnwMkb5/qcT4SyO
D5NSdYXOS8Ah6BqaCi4QlabHoAtlM/eebi/MQsB3YWt2XJdg0yXuqE6xgCk0G2hgGwUmvorNhJKV
K3htXLPNl3hBzCo2aWMpvqVAfEt+EsTaTruV1+pVze1nQdEmCWkNnCsIZi8XNETOCIxgOMbKTt6k
EdCGYoK2ch1Na5FoNJFo+rFij65v0mStC2nh/sPWQ8ZVxfYD0cVsQiFEOIRJGySOh96DLKC7aChf
dKTsb6/bVZfcNMapFQW0hEC/43y5HKMEHUhauVXiKEF4LKveEoPurvGeGvoZe7pZEz4S1ezcYOtV
3W9VfYn1tUa5hcwK2MnAyIXqLgHt2uyxUDSlMo5uiuONqLEhswwweJ18rwxUXtgNaLkEYGpSSwGZ
7+VA67iPfK3EQIP0L4u9XeInltaTP0Pa7zU9NWhADc1L77ROOzIRoIzevP0FS26LCxGXIiq46hVu
S85bTS3iInEyD9ZqdQdSTw5tOV55w8r5veQ88FkQw4oYLgT4LscqpwoWq6sTx69EibNGh1YEpNAs
yUWz8e1RLZr6uSVQr0P6aHb1VijFkMBvJlOp1U+aSENV3QVIGvwnQ9MKTsA3BG2XY8JLtqgD2mH9
FJV79UvQUbOO/iXKcdoNYC8Cz60KmXrkFC+NKILqJ5mOQEKQO2a1VP7TlZmIbkayVh5bcnqU8Scc
mAro6pxvwk2yHOrAiCBKoUOy6DEL+pUJW4hR0LcFck70/YLEbV460tqW6X2RpU45QtIWCIm6lgwX
BL+bXBhqd+cLCt7KkIDSQ1MAU8IGF5W41jy/4B7IRKNcAawZA3J0tusKJRxKv25TJ4zQr4CsZsN1
lIZu++BSVAACZPT6oLOZASYxO6iTLPYZKSASB9XLN91qJ6QLKEqclzdrAHLztYFK2Voj30INCu/s
f4zOsyt6zhI1TGA0qkqz0I0CFa8B7g/Mahnuat3oW1MPLVfd5hGIxvaCsPZGWgh7wUaFxjxAvAAu
mk9um0EeWVWi1IlKkdg08F3r/zg7rx25kaVbPxEBenNLskwbVsu0pJFuCLmh955Pfz72xfm7WEQR
s4HBzN4zgLIyGRkZZsVadamOdjbozEEo5bFm2ug4K+Ve4X3r1YBKGyUQhq7ByayJtLNoLBBgGgl1
DLH8WYntADxmVB1RLIaHqDUXi5LiUzlFoJ2zSncGSx6cSIqzj7kuCU6q5M3xvhFsHQbYGCBY9H8Z
Xlnc77toZ2QULC0heL5UQmI+1YUlHRrioke5rMTHoLKCQz2Uk6upofjp/spbNg4eAsQVTR2+x/Lf
360shlOfZSY6cYI2H/2yP+exM1Xi6f4qGxEWXSPYUCmpLUzfK9ckWuE8tjPKkp1/qKqfcn/+Nmj/
7pZDt5Zh1gFsHI6WIsvKzYpFNjaFWHOMZcJXTGNCx1F8GGblpehnDUyCsgcj23BUC+saLQjCD1zF
6vbOWThmeVKU6M0oj1L+IhFkIevqFYrkaum5P4m7CiNbl/f9mmtG/7xkoqft6du2w2cz8CLxR29+
6lLxIaMqlyovKiIQjfxhjlQ3y1/roDiVe3X2jRdgaZ2hxUA2s4hkXJuNJflCXcw9eo/V7Ajjj6bY
i183Qh6mAUGx06Am3li/MWIqDgnEmjSnk7MUH0TLHUqSxkPffx3Sr9LU2UH6miaHYWc0cyPSeWPz
xBsvvn9NrdNP+uj7Ctljl8rNIVPbn0rSKU5iRKKdleYeGfWW/SwAK8ni7qHZuTpIUUiKLpumgsCq
mwFaRiLijH4RfpR6+j+99VCBCnmo+7iyE0kQd2KtDb9D0Epcpy4UhRR2rj9jQWHbiCOBJqTV2FoT
OokXJ+mxVkCc5osr3jncDbNhOo84iPEtwuY1ykXxp6RXypo+ZPdNQn04Hv578YbqKoPbzKnDlmus
Iro41TO5n7mOsaLW52AqQ7vQxulDAyHXxSpkRnUEOTiZVWDstLg2HOlSqYIhC4Je/rYKFgZlZNC/
nssL+DbqVVb73HfTOZ7/h1YuvkaXwa6ZDEQpq9wKWE8nDRMCV9M8OmGgI+V5uO+st8pvwCRAydBS
WrrTq9eoZ1ihkC0gGkEuPALG+9zDT1cZLkM6dtAXn0JUZu0EpPuwMCy26bHN/qs0BLEsM6PQdSxb
5Ile/QRI8QKriwBr+ElEG+216f7e3+SWJb5fYHWMfQOJuKalSE/mT6P4bSx8+/4CWw0sCPsXiA/n
SJCzSk61UgiVzOdD5ekx70/1g+W7qls0cENrmStVtrnXP9l4/gxCKcIpCmAyAc71bc6ZVYyjKUAR
zkclIhQ9I3vyGTJS3LE43t/d1vHBx43jZxQOscKV28rmUjTLokHS1gDnB3WO6ARptHOZt/ZDbCIB
KmA2DKLx6/3oYiIXTalWF7WsnW6WXbFAf6CJwaEOH8mId3KO5Y9blZxI4SXy20VnA+z09XL1EI/m
1BcohKU0v4Lx0ejUk4KHtsOdjW35Cs6OxGkpM9+0YSgqi2Q1SX1hipKpX6t6GZKugBN7x8i3DpD3
U1xQO+RQ1sonzenUjU2n1gR36XEQwotUniZjoM1ffhL3mpkbJgEfBykMCCuABW8VxneRpF7WYRKj
Nn/R/eLrbI1OHlc7hARbSxBlAdlBOIZa+eq5SrIBwv8KA6+bPrVzw48PfZfutTo27AAJR7y4QmGJ
yGNldpaP/0slgFVybT71BkjueXzQ9czto9P9W7SxEsEqaBnA1W/NjmuLE+i3MolYtJcMJKAa/WmL
r2Ks2pWwM056e27LjB4pJlAxylRrqJgsZGWu9mit67NovoyaOfwIKsqb93dzG8qwCu1N8DgU5fAL
17sRIzkepIBQJg/7Z3XIc1fufclVgtZ68OM2QPHbLBmHaoSD2U57Eoy3Z4mrJSYFS4zDgKjmevWx
bsuCF7O4NAOc700aax9V30hdvxipkY1GuLPbDf+++HbKqyA9qGiuA8VRbiUrVMvysgheSfYstNJz
I8amnUqC8Tw2efwyN4QCZp35PpQlvv6P3pegwvNB20Ny3l50Pi4en1+EIfEZrjcf6dkQ6j5ZXCRN
X+GGflbE76l+7JrKMYw9t7yRQLOaDl+NwXCARJh8vVrbJOFQy4TmCQ46c5umrL7jYTRoBEAVfxwZ
xAoPQl5plgtaW/0H3LMqPw/mIIfOkNSF3Su9gFDSOBvlzqu7ZQUUwBZYKy6c8vP1T2tgDjeiSiwv
cNhMwcc2/lhHTj3sxHpbx40iOCgjOOPIZlfHHdeBFveZT6zXNPp5Cgr/pPkRePck1qCbjj4LcbUn
D765M+qhXGGLg18nff0k5rEaE060iJmIgpA5hZY9GlVcOpXe/Lx/lW/zgqX4Ssee+ItAXVl9YSlr
tSKXWQyae3vph1gxWjmTM/nA7hPrQMV75/Hdch6E67rJoVL1W2cGBeEzMQBOt0k+y+KPUjqExqPC
vPBjo/6J9T0ff/sCs8F3y62+4NA1lsgcIVCXuP1g1MJ51L+DKtoTH9syFJ2ix9LZXeaAF8f87k1U
4bGsjJx8h/98GtLg2IyTN/bkB3J6EWlt3/9sm8vx3pNe4edvamrdKERdOWH9ZiKdohAs+Wx1f2cF
6o/pd1jugYY2XSDp1jL6qhGw66uAU4LwslZVqbzUz0nyb+fKx9p0k99NZyM3I335cn93W9+Mpu7S
ZqGpC8D6+jCTpBMaCORKsJ6jbTSg4xmqgbpz5xC3LtoirqyRYjGGubb9MPAry+jQ//ZT1ckbsXQn
LfjO0O5nQdW/3t/SBiqIwQim0heh2CUGWC7iOwORGsMPhURmMeqwSAafw6E4jrIzi3akOLNGilce
5emrYX0W4Q0dNIK34UU0vCk63v8pW7aDV4H+EtDDwrx1/UvydiyUtEJUtEIVCYbB6KmpX43grIk7
C20+H+9XWllNoqV+4YeIhSbA7w2nY7I0/Y1+QB7aD8Vg+50dNe68y6SyuP7r8J6jXmZc4WAghlwD
gKJ2TkrCh+oyi7ojUfSNGD5M6+EBIl07RSiFRvaXuEy/zOVeVWID50f7ADU8EtkFa74uZtWZmutp
PFfwNdsyyUUeuXXltfX3zFDtIvZS6ZMm/xTLGTTGU1LEbpcJH6ZuL+/Y+MYERlga05hU19fvlhyl
FT0iTj6bdAi2MkceuKmKuxMabVxUnDhIAuZsjAWDcW1KRmHMaegL6NMyz9QCGIzkpzTMXu8b7MY9
vVpl5Q6mooI1L0OlN07TR113mEOyqb0c2nzHYDe3QxmCA1um/NdzU0NQRJoWVfXF7LuDaKaPXSk/
tMr45/5+Npcx0AuRYDdc1HOuT03ogmr0Z/aTCorl1hRHnaRK21NIbWHHxW08tkse8P+XWuzkndcR
xFLrg4Q5i7DHABJPiwMnjIXPUSvAPMvsalJB0OXvNfW2d0h3EsrbhUp+lb5FveHXihbXF4sgNT1H
v/29HHTTJsAb0kFZRjDXgADNLwi7q3BJeGObCYtDQfSrxtYhKXZS+K2V6ONKrEKYRJZ4fYRd1TTT
FNf1JQBZEaW6qySPcx4dq/bvfbPYAHKQ7BJEAM2xgKmsQ1qrkWRhDIb6IhVS9zEppvooldP8K9dk
yDPKIrZLSX3qI2M+zqL82EaFtHOft9zGAt98AzgAD1pZZqzPXS0N/AIjSV09S+xifA2EYySox2qP
xW3LRt6vtTJNXcj8Lmt7LtupR633xeh/3T/PrQ9Hv0siT6RzQah5/eGEojR8P0E5PU++BOlJLX6A
zfT36FgW57N6bKhc8sioDJqBp1ptI0i1cmgUCQnx9lSUJ0X5fn8XGwG6BISX4oECYwNl2utd6FYj
6G1CkKIIYfYSss/vmVA8ijH/rzIj85C2qWhXRaXv2MLW96E4QqC+UFazt+uFg74RRn1gECztDqX1
XQs/ms1OU2LLO71fYnW16j7t8lATiQ9Suh5oMKCWeCrz6ZNqtQdR/JCKB7k63T/PLRNfSnHkcohl
44Kvt9U1i1KoyLa4Qb3Wu736o4LYre8ctQ52qjGbNxqeGIJY0h3gIKv7JPZBJPWmXl/qUv4pRKJ0
hEgpcGpVq1wmmqSjpCStU2RBjjIPgLcuHaydBG9rv4zAA+AgT6bxvPoJVtYHYxxQGWybxzKynklg
PgdRdJIC6aXVd8p2WzaDZhn1TuSXMZ3VlYtpltR9hJhYKKUHXpuMaRhf2nnTtu71+0VWQUfQ5ABn
5bC9tBET2oi3Wh+EwS7n/8HvwzxM65OrDUJltYzAZGfodyUBuzWKnixlDmQCj01sqS6k8XtT4Vub
gu8ENA8oGPWGDsVvc6Y+RsrsmEFl13Hf2q1UD26qVWdfb/ckeDc+1MKPhd96w7usq/pibNDLTv3m
UrcttqebUK9lRQKCLhR2/MhWFkCT3mIGGqPQSbaub5yk+IkV1l0LEWVZMnjxbx4D7I4CVXGncbbQ
RNLHozkL6jntROXYyFn+MoRGfgyz0AQHW/Y7X3Zj8zQa4DcA78NRryVuqsicGmOMG145YGeBaSt9
5+rKjqPZuvw0aJj+XiorZCKrCpUlj1UX1mF30U9W9eibh6h6ao2GxtpDURRH2Yi4+Q/3vduGGbEm
nOTk6WRe5spoG8OIGRROuwusCiY95kta/Nz5nhunR10RAiHCStZYxwi5n424maZ/Cyk77VMpKXbc
ic5/38j7VVZuukmDSqnnur8Ms11OX7vWLaQPA53y+8tsbYb4cYGWkpXzla5tUx5jP23zaLjoxZ8h
fAzRh2t/319i45NQNqZNt1gbmdLKJ9aSX4j0FoZFvTyOvpTAqv1EPlh5d7i/0I0uFjUMyuGgbyjN
LwnZKupuJnEcQqEZLl0M/H4Ky+e6+kZhfApdBToeK2XohjK1YiEhJH2qjSfV+t4HTid/yrtfg/5j
1l+KHEozPmitUqf4kOYvev9Fj3QnGkCJtQlq3dXH+79663iA/dFGsiygmWtQXJQhJjf7EjS1Uezm
llsxrdNoXyI92rHb7YUwWgNnxAu/CqSmCeZp3eiGS1MuTN9PfaV8CqLiwxSkyc5SG28usATqt3Dq
4M7X3nWcxXFMEmW4TKcgfhh0DTZpJ9YHu96d974NDzUNjht6WJTfLNpy1wYc9ek4ijEcBHoPTob3
on2K3Sj8XUn/lsK/9z+Vyp91HepCIGECH+NT0Xleh7pKbwC9jGTycG20R3z4uEc+cHsd0YoAX4UQ
DMUyQpHr3dRzpQdNtlSj01p2KaLZgxqlzEQMO4HKbeTJQvKiG0zngJu5Ora4mXWCv5j6SKq3thg2
wI/NkxjpzGJmzpyKl+GlT9KdeHDjAKkKQZ8JTB9/s67s+6ORNvNE0iqplZfW+g/JynecwEalFjgH
6SMzRpwiiIrrIxzFxtSTiJCzG+fZTWfJcAoDuY02hPi5amOnV6PaTWo6VXJoNu4Il7APZcbOFdja
6hugFt4PnsC1RkZXpqVZiJRSikQ6wBB9UP1f961x4xPS7X5jfcT2QQFeb5TGid+HDSWusiztLFIy
+hU9ha7a90pVat3AVP/1ZTCd4t4kwO31JpSnMbZsjOKGvuz9fVGl1zTqfEZ9iYL0rFFY0UMvWMBr
SfCsqJ/vb/PWbYG9g7NFob5GZWptqbIKIppR2f4yAW58KJVcdWUzjN2wbacHQyn2GPo3NsdxAnEE
40joshbIkruwkLK+YL2iPYMZ+1b6cmcLDewY6tQ/qol6vL/BWw/GBt8tuL7zyZQFpVz1FwjdzzIz
W0iOGaCrZiw08eUT02Sn+yuujpTHHgwcCS0JNRQWN1mKpAbKMJpN4VWxZNjAAPMHVIlNR5Xi+Slt
tb2G9cqrva1HJXjRieT5Z67j2l5CaTA1XyxKz2DCT6V5GlHgr4wf93e1BnO9LbNo3iGsugCq18mm
oTZmSuOQZWJmU2AM1h4lv0vtNoayezYG5Xc7pcmnfgggH5km48mX1NGV82F4nCI/2/GwKztafg1g
oUVUhSwDpbVVJGqV9CsjWW48QZ2aozRHX3IjftU1yFesIIM12K+HHd+3cc48t6AC6IhxzuuKRZ41
wRwpSuMpWDDDx0L42A7hQJgzhzsmtMbyv22PF5Aq8SJKTnZz/U3VIlO6cpZbTwilxDhOmuWDve0Y
YLWSSCDIj/SkAmhZ19/CIunNgyCVeWcXihD89rVE+6dreuFj0k21aWfdXPu2bs65YkMJUtSHukaZ
C6LiXAxtJozLnbrLuhn19utRUkc3GSTogjG8/vVMAPI8VWbj1VJaIi0WxNU5MObMLQoDsYqmh4a0
9YP82HR6cUqEUfwJ5LFFgaSrhKNQxfkxF4XuMY6s5qvqlzBOln698znXCdTbr1z6KKDV6WPcVKCS
ZA6nMDcaz4DXA+KLuP7YCAHgsDGdncBMEbRvutTRdHRRpFYX7MDMpZ0P/XZr3gU9/IglSaae8TZF
S2p1fVTF5JdGQDHMm/3ElNxM9rXAlcd5GRD2DfQ85iJqvnK//e4YAjbsjjXY0NbOpzH4NaDaCcBs
aCsiM6mvXswM1aZa0+JHSFnygH6JOUGHhhwmSiFhqOe/omnsWydPc4QZ/D5QXjVGgaDgUPx5PqRj
5zfwhY3i633ncXt1kGOBKgBiEVSfgCdf77KO5klPhqn1ClmCwrluJMaSSR16zdotcy+B9vpEeVeI
j/HAdD9WJ9pVS5IqiqwFrbjrB6msOG0Thwxj+KZbBL7/ZTQKIJRCOJ1rpeMiyPP3VGFK5f6ml4XW
PwRvAYELSrok6qsfEhR1VAoa9lUYo3WAUOvV19PknA8RpZ7YjvS4cf/7ihSkmXWFEIq3fOU1jEbV
6kSdW0+fy8JeuKTddlbRHun04ICdDSegcO3D/UVXgdKbBVPlUEgOdJgg1nWIqA9Mhqek1sv7qP5I
2zCC1igvXKPqpgPRYHPqpFBFamBCdWLW8/9leaD93ONlPnWNjBChUMq6js+tl3rtqFo2fM/9Cv5/
S/2TZE32oKP06CR9DaO8ru+hTdYN2WX3tFOI1XgRFzT6Ku3TRNrdpi/0ni420edUb9BzUMXZrsxR
P0VVHh2UMZoOY1d0TkD0fmzaSnAIcz7BHuo7bSVXbpEPwTejb/e6c6vQ5+23kamDQgWyB1Xj6taJ
3choljSUXhBQeTBbpjh61XDITiS7onD30aSR9gH6YsW5bxIb153e45LLMRxGILCyfHpJZU9rsPb6
OEdDvQ4ahj0tQe/Ek69y8XdM4DbgYh4IUn4KYRS1+RTX3mU2unCImSPxCgAQH1OVmS8VZS/H1Eqm
O1ANir7d39/yB65uNmMWeEbGdJkQWueRURCH8RxZtSfI8XwUFsOj9r3XLdvc1lI8otZC3XY9/EzT
ZgCGFjReN/oQeLdSr9SJQ9mqFD5EfjoT6QnIVs87WeTGsrTcddZcVDtuwhw9msEALpuTpx+SBgwN
8HcmwOMTtDsp1oZ9EkZpi3UCN6Rkev3djFKy0OxMGq9qa7dNNcfQ24M+AVoAr1UaxQmtBfv+l9uI
YglKqDDQhGFIjeLJ9ZrlUOdJ33W9h2eyvgVa+m3U0+JQppnmhloyHaxRgTaUsNVOYgFebd2iMRqp
WmmPvb9HvbhhSBqILvwW/1iwQte/ZoSH1m/yufcY51U/hWMwH9O+2avGb3hoSoNwc0pwPKo3VMIl
DYYqiuTeS9TspbP8Y2KI7iTATgQRbQ2lmKG8Dmq4E6Fv2BFVIyaVQXhy2mvHPEpznhtD3Xt10PV2
CCBHarMfYhOeK/W881W3dshTD3wWDmPmn1YeICvIwhtf6z1RaqPPii90+jkT4t5y4taPX/S4yz8l
vlladqjgp10R0TxEf+oq+6MEanIcYKe2E56xl6CMxg8Uv79XaAOfiXGbhzoRpA+9Emo7XnLrgBbd
9aWUSniwbr0G4MO6sQwGr2UqZtCsHtRJ/1MZq9Ip6/R0/4g27hqVTqYSGEegjbz2kaU+KBnc6bxT
Y907Uz0jj5emf9pA/hH2rduUgDLVdi/u21oViijGUSlQa2T81/Ydd3pndGU0eLWufW6y57n63aen
xCcOaQ+aGO5MhW2YAT5rKbm9Tfytk0JziEthbIvBa3r9PAYG1KJfc3hZy+RgKfkp/+MP055DWbaw
egtoVJATqkxrLVq011s0JyZ+EjEdPGOReS6zyXzoU70/Brwcp1YV+xNktMU5iKbEzTTzH+LM9iBR
67QzKzwhWLQ3B75hVssjiJtb/rpBz0uBgaBZ1gzeQB3nCX7U9jRRmT7Bqy8/COm8N8GztR6EroA6
uH+8iYsNvCtXzd0oCR3PvCeps1uAkre5eT8DpfiHWLT973cGdCPRDCW5BXi2MqistVp9juvR64L4
e0UJx5r/LbXpS6BXO9DstXLXEj1RewOTShOKjH9NwBjzCMWiFXXepMvTK3yaX7om/i5WfemK8Tw/
BXJquWGtGK/MqRROOjT1SyDMCbJpURTaVqTFGfI0+V+901EZHUer/NywsaNPBdcOY1+24yIZT7Cn
yMeBqsPOjV/3a9gAbxxNumWygK2s44emEAyzbpLBi1UjhnFA6NIHUgfzcxBAst738TnI2vpjGpnB
OTQgaJZkUOeDnpPpItB7LENUuiZ6Km5L1+RUV7F17CytPRd9Ds93IrVHVUBRUkzNT6htCW5odeQ5
TLI5GV7ITcr0Mep70Kd9u8eDsfF1kBKg12ISfYG3WGN4R+a5rDprB69KutIFWBR9jvsmeI3ouR2G
oa8zO2yUL4wWT047K8MxN6bxIE917PbdMB+6CXjo2PTtIxTa/qOJg3JqGlwnSwv0Uz5pvp2LUcrM
WyUe4q5Qdwz59uXn9y/E3QvJBj5rCaHf3ZpalJPO17TB8+fSZ3xVKGFpQtPjvte/vZusQgDJo49b
tN565+9WMZkpF5McX6C2QuvmiTQ/B3IxHFNDRNJy7OSdXd36e8rxAFyWGiHhzHo+SNIbpZnncPSQ
mJMRfDeGZwis5kXtuD8YSRG6bWsWlyHV9mgYt1aGbYoqCjBy8GWrSCrpoS32S7xQM5b+KZKDL/EM
ZevQazBAi/L03LbKqWzGvXr27ZNDw0VZBoSp3cgMfF9/Rz3rdLTY6tnr2xMRmAtD0PhR05EcEE5T
6TR7LGhL6nT93CzrwU/yVoiEfv96PYOm0pTH0ewN5XCSo8hWpBRN14+VpDpzvkfvsbk7xgAQmyFE
4ZW7Xm3qlgPXutmD3aFza6sCx2EJCjdds2wJ8QsBAKU7VUvVSdfnHWvasF4K6QwiLdk1ZcTVXkdq
M4AROdtBPk7jQxx6ff3D/J8WIcti1BuCqTWMry2VtMgnGDNrqf3RSJkbpT8G/W/Y7zFMb3w5doPc
GR8QRrk1jxaDa4Y0iM3sMe4T1i9ifNG6L2IyOTCE3b/1G0nOgvNkM5z+gs+Vrz9bOPqCLqbW5AU1
uYsC3vgQhW6cOA1FCNVpv7VtatcywEjN3Vl6uWcr+9Tp3QIJx2qWOcHrpX2/6Fs5mGePTmvvUKZr
B4c3yDxiLdqTNYaVLWgRxTktzNzJgCAprPpoJ/VYdymXpw9+JEphOmdAbK1c/4pU7eqxMfgVuewq
3/xXKh+ubsuuaTsglO9veeu7vl9rlXsETRealcpaXTS7iLTMVHWkRy0NHd6YnS+74eVIkykTUdvk
PqwpHmdplMexUEWPusszDQBzIK7T+KcC6V/7j1zWOxH1bSVnETsE77EsimNfBXfU3sciqSbJi7T0
QSBreM2KLrIRUt0Da94eIyshUKvTi4S8Zg2O11HKbprBl7wGKlv5o1n96fVHsaWbhY79/S+2tSmc
NTVDojpaOatNybVSG1YayV5uDu1TXpuhrZmIw3dlK3y/v9TtM68wxvz2FNJmkNa8GG0l1UagTYoX
93l5oNvTOeNs7m3o1lGCM6O2TsC3XPr1VMho5HkmDqLsdb36WUZ7Q6wtO9Jmp07V0/0N3b4ILIVL
YU6LLAs48PXNIrPQ9SkyZA8WtQ+K6EriczWLx2ASTxAtnGqqNky775Skbj/YAlkktSPJAlW7Vv6G
92lIrLZXoLD3oTSlmSEgT9HDg7ljGWswIY6DlRY2XB4CQuE1tCav5yCNM7ZX6q3kaX37o28Z5uty
vTxmRfBBUkswRALkTb0hBW4iVbON+wntea5eqqj9jwRpb7+HAF6jx0lkQyXw+rgp9fWD4ouKVya5
XWd/Ff/r/e+5UcB+a5MsMTRHfCOjYmpBjSahpHiNKsaxLXVKA6uJD2u4OuG/xEauv0ZVNOQueQZ5
jaLVKUhiEHSt00RCNx6Grh0FJ5S1InRSVG/Q3e3abOcibXTroLYln2EqHI0S5qWvT8KqxrCMR13x
jLJR7TRJjVOX1P1TEViVOzHI4WgzVq8ofudIlfmrE7ppxww3rhkkY5gg7aWlpbN62wYtMbqh7lQv
Nn8q3UKndc6t7Jj58o7X3bhk8CEtIqyMRy8Ehtd7nXwlmOKuUeHhn4C29E1qp4ag23WZFidNLOND
WY3pUUjb8NSPyi67963XIlugLAsPzRJ3rVm2AqGMa6kfVY+BpScVCa1YjD9MbXMexegpSCAwUB7U
6GckRfQRYODWJLfMPvRz5943zo17D+yMsIxwhlGfNTjF8LWxo/KgerhrJkSkzEbU5YlB8tf762x9
WLKwZbBW0sBrruIlS0zaOpZLzbMgwLaa+TQhAjL0ARz1Oytt7ujdSiv3KUe1WQRmoXlJXQOm+xZl
0WMj/ry/ndunlHySgWs6MPRgiGyvzacuS5rI7ah5MJRHrjaMgzNSI4FoB06Bjgm3Serq/+FTQeEC
7FkDHHyDdFVzvyFONDVvHCjvDpMB9MNM1WPZVnu6SBtfi94LnUYSW4Yw1y23NFT0hr+pXlCWH3QL
PF0oPmv1nwpu7fsHeRtuUdRjzBPQC51F0srrg5zKKLSKqtI8RJceBeOxVCI3FGGVl34p9d9cPt5f
bqOosRQRgSsxNwslwBpzBuSuL7t20rxMm8XO7YkcZExemk5SN4+1M1ah9RRAxvuPmeUQmbc0JU+G
kDO6P6kVjECDNGmXSrIi0e71PpmdVFMWQSfGAWHh0trwjypnITh8Ix0KWwhm8XkyjFK3ldiIft3f
zUYWwm6IwNkSMTjF5+vTU3xJ75RI1jwUl+Qqsg1/slMhOZUMQZuiE0uIqIgvHSD5aRhtdr7z9Tay
gMVXUy9kdf7HulioKkRfS2HHM4LYUQv/05Ay49Z8U8L40n4zxMesG+y2PaahvIfh23quqIguGqUy
uwded735sUoA3MEM5cnjz2jWHHCDP5LmAxBrWoVMnSuxo8tjyfj5fw/QyKooAAM4J55eo8GyZJk9
0Crd83ugNv4Y9Icwa4Vz3lsIRMgoaJu1KSG7Uo7wp9PtOtz/7BseTqdkSmi4AK6BtlxvvILFmPiq
JxaF0dgNxiJ1NQDEThUpzU7m9baX62STJ4p1EG1iuvgG6uGHs6ZMIdFaPMcHaGvd2PpeRf5LAmTT
V5wpbJjXRBYv6I96/RqoC834ecrPpXYpg7/pdLLCyJagHW8oosCeSjHlaLRwVCgP9w9lyxyWKgZ1
SmDUMDatzMGHo4x/myqeKn33q8itGusPnUjXlJ+XmkNX9sd6VM5NskcIuoHFWjqMbwPHSAJwVNff
w58LwYwJnIhog7OsBCffP/PV/jHL0fFTYGHPYpWe1UQ7GUrr+t05jNqzn4/HWgvPaah/un8St2/T
8nOINHnV+VFv4ei7imTEdGoWppPOrMJhMF3hcpGnb8WeFMLmKtwl6h80u26rq0YyayF0sJ6oBYVT
zpDwJ3GtHkheyVVA/VIJMf/z074wJgPCXCTn8OHrWpkSm6XvRzB2NvNw8hu/dGNZzuysn+Lz/UO8
jQ8X3ipidRQxVVLYVRRRi6Wu162qE0VYTpkqcNM0zpAVl3lUjmbQkffpRBfth/vL3j68LKswELBE
v9zw1dUuQy0EyabrnpC/TvWHcPydBtRb917dzd29W2b1bshCnk5iYOqeEhdH6vx/JfAqSt69xANj
I0SikBW6g7AztbW3udUN5eLmWUcI4PGuJufR8IxHc68lvmGWHCBs9sSsjDmsW0p92NWVoUPqWtVL
4SbUg6dwLKuHNM0zF53W9mCWcGfe/2q3Dnn5av+36OqrteGsG2ECTWXPNKJLm4hyfF/8E1R+e7i/
0oaXYylGN8ibqQHelIvz1p+0IcEuc+tnhPSIYZ3xTI6ciudcfkrqxz48h+WevWxu8N2q8rWHq8pe
A8TOqjhzQMPEur0d7KFiFjd5/dQsW1vmlfly+PDVKZYoCIdBpul0NlxpPu9KVm1v4v/+/JXR66UK
YqnnzyfFs9P2NZC+6v4erc/eIisbl9O6yYVuuVmj5NaGbvux9lyq/zkV4KjA49GjRcDUXFfyAivW
IaSzcL5WEBwaqodOl+V/qP71x/sGt/lRiDYIMDE7UtbrLx/05VjJQmh4sQawUpfiyikBa/wPq8Ct
uHQbKT4whH+9ilmJdbIwCXlDLhUP5iDRADaJ3+7v5TbXgMqWhj2R/wJjVFYGlugzQGO/Nb1czOBO
zyrRSa3URN3Lah6h2pntoah+pdDd7ITJWwsDGaWLujzI1rqqgTLJNAniaHr+MKNdpmf6kZnCDEHh
aD6MsZGepVZuTlqSF4f7W15rxVHdWqbLoCIjJCA0WpMWKcoAAl0YTE8rX2fxKyrCxywaznMGJ2P0
YwSRm0hnVRMOvfbYL3UdGqSMu9uxOtlWU5wZMHpEfvsUidGj0Sygxt0+8/Jqr+49GjZvIRu1VZjx
rj9+kKVxaUQC975N479QuJSvnSD6BG5+9aIKauGYlZK4lFHUU6nPFEMRCoGMM3SgLBRcM1S6YyUN
2gt9UNGpY9X8EluDDhZUr9xOEn6N2Zx8ikRh2LHajVeUmRD4M0l+SIOMlVcsu1I10wmvaMySE0+a
K+Zu0X8LxYe5+N1WHyTt+/2vuXEZiUgIgWjWMZyxxgFP0WSVk5/DKKUJ3UFKjR9+C6ju/iIboAZy
ca76ojXNPVlTChtVX8AW6+teOlVeYR0y44lCfouOiZ3MdmCFx3n6pft/8zi0s/AlYNDIb58C/aLQ
dpPy4RiZw1NDOlTbyXCozdfOPFfyc9EwHHpIQhqqvV7vxE1vQlgrI+JQQJEAPWQqcE1yLqi0Nny8
oifOUoFtp7X/WdJr6zVq9TZzxkQRT3Jn9BkCbCoXXJVDKwAbnE//dv+PszPbcVtJ1vUTEeA83JKU
VKqBqrJddtk3hL1sc55nPv35WBsHu0QJIry7G90GFtqhTOYQGfEPagTzsqLPN++RK4uANYRV8d2v
rSiwDdkXkfo20hyU84AcVGgkcuvKGZJJoZa1/42zNmNyNiSR4krJrP4XA+AIXVmJctFpyMMbtEj9
HsJe0XbpTtBQRnXLMO4ycKbxYu2TT9YPrWoM09aErHpa/KgTAL0+KgJyqqHd0ZbynNIQnpp7ckb/
E1aI0psaJj4liEamflFoidRxlvmCYXeplMQOsqjWITUH9VswK/VgW6NWv7ZhJsZ23Tf5txRfmNYO
miLg0aJZHUKYQZm4YDcBdPiyEDiCFXE5NtnUdO40oId3r/cG78u6pki707pCjw4oOunlsWmb7ofY
C5K8E1C0UQ+6NlU/Cmrh3/Wgz/I9U+QHjtHl83CHlayh2Oksa+UOPdX8s9jRKto4b985sx9XA4Rd
qnK0gUHp085Yo9TooimCwMGCLWg8t7aeBHVq+w1oZUeWY2m0k45KqoKE0mgLAi1aNbTSZ0PAndgO
Z2t6KCr4vuJsynulB/JmS700/LbqNPiaZUWz0Utd56wQNzCBQWGBG33hCK4Sk6gxrHZuBAp7kVge
CgkNVqkcY9cqev8hGuR254fivybK/xMUYCzFIxygjdUDR6ylSCz6SH+akrvuq1mo7lzspGbfRv9a
rlgiIWnM5c5VBA9oNbxaDGHUKSVvGkux/VD/alXdkbrQP74u6IZzNPJugju78KlXOUQWlWopZiLl
IIENq7myj87YcFCULQrIRdFricQRw3XCWxQm8OrcT/PSn/u+1Z6m+PfYNCclrg5D/xjlmd322mk0
lYOYv7SJ9TMZtlQq13cOsYGcATJd1gojXcXWKmsWZp/Mz58WubF4T6fVznPt3ohrW4LiKSHU120k
TssXOt9O50FXa0UBr5WkEAWflPBnmL4KWN9F//qGWgbG6mda0Q7lD6sYqaU3CWBA/amrYjtsY7eG
UxJgMrNxu62zDeIg8wSclDIINYQ1cKPrQl+Sa8l8korcPKSNCVEc9LgDLU3ay10ru0GqBw7SHw1w
GHN+a/Sm3Ju99ZYYcvcwZYP0NPlkSmmNNPCktcqToGPNKLRJfFR71PV9Ldf3vhRuqRivzRJhYaKD
RUcYdTt0Flh754lSNGOOqDax/xSlga0kc26HQvbaB+Je9B9981CpD1ZtOOKiUOILj8NU7/JyAmTX
OWXmasJnYwh2dSDZNZiQ2Nz6fRfVaMq/lAnRZeSngVlaE9fbOglE6un+kyT9CfmIcbWXmpdkp1aB
m4szvjgUwxTuNql5LOqtL7tOjpbogP0wAloKN9ra1EFuMfxRmtR/yqC82UUkiHbo6xsZ2NUxIrpJ
72DZgxdOAYIUGiWSwuQZQ/VXMQAcxPKd/0fwHUV4ivzmixYMey2Q9ogO45u7hfZePy8ZJPYjCtZk
VKYQI189YcJCpvlDKvtkqrkdiNlehEjewFm5vUu2wqyObEX3w8DsJ+FJjia71Q5C+VvCtu52kIta
xjKYhbuACwKvWZLO8/XcpDhHJL4lPNVmcpCH3kZsVx+AH2jf6x5h8LTxHbNsnXRKN27cC/LvEnpx
UuIhCC0AzvV56CxuBQgoceD5Erp8hiuoxh3RNf3Zl1qkk2t7VrRfqdJ/Frr2GQfW/wb0jVuVFG28
l3OdAvZzlDrm9On2nFwk3+8/DFgXBXwmhx7x+Q8LKZEnepUFXt/skB/BvcNREAGqin2qHQ247tCE
gvxThsk4PgEt+o9y8WkxEcKFzZWyOwlUbhe/xsXOsj519V6O81053sVxTx26dqLy3mzUDTO7yzuJ
5wKPTG5F5vJCwQQ4Wqz4cslvFvYTeG4i0frqIiQdY8MxRaauNCFSQZS+PVuX99ISeJHLIa2gfb2e
rDBWNRjcgWdFsjcYgz0hJoEp4y7JwuO/hnrv8yLCJlPiB210/l1SyQikFKthr/JN022NeN+o0rwL
8h8QPfb/HIsRAfGFcLlUgldA25TKhZSpc4o1FrAE+nt3Qe7f0+tbuJcbC+7y26Gi8iHWqqRuyGlZ
QWrC6nxKFwa7P7jFNLkWUgT7PDTfYkGd96GYRMdAjJu7/8NALZI18MS0Z9aJb+WznKhcpJ4QP4rB
Xi8e0zpyrW6ri3UlYwPRuxTLJEgboPpW5xnV7DqzsjjzeJs5XYCOb/1aqn8pPOxmOr1pbw/hocoF
VyuMjbT08lrS8Ix4p8ssb+q1VrNijqlvtZjj8svaz4j6Sg+Zligvt2dyXWHiwYOKPm8e7E0RDV6z
gCqkNkxjxEFW6/3ofqRD5wCvLQEUjXLE4ETlNaOOiJN9Xfsby/Va7EUvmf2H/w8dydXWQB0rHwUM
T33EAgfsv9QqcUIBnRokqxJZeSmV8u3fhwuYmLIWa2cxkDoPWUmdLFidgmkt7srRzJpVDkb8xjzv
k6aFivz1drzLFxqYFTquEHjY/4jsn8cz5anIlVHLvLyH+E7ZYwgDwS2Lccif67GI5YOVmHN9B9oo
MX/fjn1tAS1yV1jJsnqpIJ7HbqcirZpmxrU2g0c4Ty3dU0XN3X+PsoBQoRhxIECZOI8i420GJknE
aLzNM842UTpZpTRtlCOvpE9gVwDWwlUEdM5dcR4myAYxS1o/8+gs2oYWOu0Adaq/E+EQhOG4F7Rg
1+p2mJmfBb97Ss2tzOZKEg33B3AvSeqiO7xeraJBi8HSJuxdoWnYoh63+8rIPNHIfspa5+8RXQrt
pDA4jsbWd3J1/mlU7V1ci9Pex0LikLfpF8TBMifhMWYvGEUnaOVuZyiZuo9ovf77zQM6hhI8D3XQ
3msOYzXjcZ8gseO1lrBHGOo0csM39XO9qch87S5A4J5tDKUNaOZqDVSilViVukxNvdel++YQ7KLh
PobVt8Ob9vZ6W07c8yelBsPCXPjB6MuAYzhfCHCp5E4U+8yTOz/5inOw7+IyOj4PqaWy8jR5Y+Vd
28G8ltnDSAfJqCuexzM6xcr1jF0kpn8sK7HB/mRc5sN9Hmw5Fb87gF6MDfguzzXeshd6CTrKl6DV
BeYRu76XpEfARg4k8U4LrOwxhK/v9i10NjET6p2VCZzSqOi64M3iQ6zXxV5RMuuRTD92ABwrjjFE
vZsGtfCSBQFke6kx7yarNdymCbWHQKuSA+3bU1CVwk6N8/IwxEpwLyoDcPy26v+oZjjxPC1SB7/N
CplVpT5OcsNDtzDMPVU9H+pk0m7c7dduBUpwsNs5T0hlVx+4T8GzUlLEm1GY/5D8fwlF35akZM8e
ctQmcCYRTO//YVHR+l14NCh2ruvjmWD6cj3WuYdSwEMtTRj9PKph/mS0328HulxNnGCcx7w14TCy
fs9XU9K2kYA1EBbbJE1YwmdS6rYcHslsnLJ+/nI72uW+5FJH6hWOECUfVH/Oo/kzb0pLL3NP0f/r
jbuFIZTVdj38VYP0Aaz6J9zSb0d8x5ifL2FCoh8G+AGMLDY25yGDsY0GUcIMRQtxPwOyPLWFnQiR
9btFDGm2C+i1PNQUqy4cag5wCAac2E5KOBbfxKTQXmXEiSbb6Mu5s41CVzq7FBPlOLe5/L3o/PKz
FWrVzwAUSe+KWRZAg9RK7UeDo+deBcC5MaBrHwxqAKibd7zK+nrrg7wCFzfkntDC4SpFm3o4OLXp
S2IOjtbFW6qk1z4Zrzh6fUwh/1odN2MYNAlPrwIwhX6c4GY/Bfm0T/GXDX3xzlISaJ75xuq/3HEc
muBCkWLDM4I9d/7Npl7HS3wKck9HMqy09rn+ozKLe2AJTRjuLB7TtxfJlayagAvrHO7KAt5cZdVm
JkcGCG0s2UWhpReBPsBbBkD/PhhK/xW+i9k7mZKYn0PQ5jo5Wko5dOwL5OFCbQTzfPv3XB0/Yh5s
EKhf0AvOxz/PqUWdv8q5UpLEUWO6hGHeY6jYJzktRKt4CVTUvbDDtTYiL2fZerdQk+W1gqXjkgef
R+7okohiwgY1R9XtdcFJkoMSiv/8zGaaSfRpRDF13CvnUXxpxCHQn3JvkO5QU7DT+FNPq2coZscQ
B3ghyY6yxgYg/zL7XIKinIHcEVCodcFJtpI+FaeZs2dAp0Q98TreyDyvTR5ShQv/EWY7tc3zYVV5
YPmBtdjHIxJRkPslT+lm6//a/lcWtDYAA6CB6yd1aPiSQs6WewEeyAkci0r4NPqffZBIwfzp9jq8
TG0WhQQ0ixYSBU/4VY7bBmOlTKPClCnpbu5VEtzOUfJ5J/fNlmLg8s3XKw88GCpcPB+XfbiavGiq
23AxpE+E4sEPPovlq6jaaoCPC6nNz8n80Vhbqm7XlgToNBYhHEBsNVYxoR03oCExCKeT6e8bQ5vd
GHGQ/e1ZvFIdpDCIGCJbCtkDcvbzoU099EJFbgpPCkvcVegaP4d55fjTl/wOM3i3NDU72cogri1G
eJ1sYcgnXLerI61X2sSYZfjTqvFQZl9S7b4Wt6oR186pjzFWdwN1nLwPewzkm3hCuPY4l5Dh0RRH
Pk6B0LixGq+t/I/Rll/zAQ2KTG5tKHWArZmW7rpEdnKjtJXya9y0d5qyZbVybW0ArwEshFo2d8Nq
M4tDF8dCz/tO0wCLxC15HvLsWx24KzsMfhziwRZJCnC61ZjSUaraOU9KL9DzfNfMhlIBfe/kwzRm
0V2OPNXGJF4ZFmPidQzBEO7KmpI3W3Fa5mlXeliShPuAvreN2s8/2kXT36EfBXx4eTeYoBhWG2s0
zSieTPxU1FH2T32HVJNZCoa7sbGurIiFSw+JH2UcIq3CCIDaE5wKFlcVqrLDl3IMHxPxi1oPPHDL
55TOc6tMx+V/0eDaKaibhNjX4EBhF1m/p5Tv+qG6USZ7B5KdnWRUGanmUO/jR0GFX31T3p291jBm
rze68Xs6JVHslDFMZ3eY1OKurZRIdDraArGrRIng9rGmH1QFCp0rdVml2VjBGz8TsBE/28nHGSSo
WtlmFdaNM8WT+oKcWA1HobbCnY/dkLFT23AYnaqGxUzyWbUQJBAN/i10shrsBcjkukPjc/gTd+Y4
7lPdH7pPRa63w11d1oliV+gXNbYxWHK0C4x+qVzmfsIfg0kHT1Eiurvx5ZYj72KOKLFR7mbRX5h1
yYlVDlYZ6mSxlXLUs/LoixlV72YQjzmoRseYW2OyozBsZLup0SDpLXExFhyiRxNTgQ39lssEkFt7
YSMBuQFYR9nk/GzBvYm3KKgbj8/U2kWqHIusdRXrIKUK8rXBPeLV+xmyV5DEL/PgbyREF4f1e3iK
XTwvQcSuhY6jPJXMzkh1b2iCfV7pEu+UyAn9ItrIdC9O7CUQVYPFz5PO21pXoKriLu7nUvcKMwcM
g+ZMWvOCyOy6hXTfPg7+xh7dCLiWbbMqSwHmVegeTA+7Q8/TQhO4KV1JU20j+SNYXzdW1pKTrFYW
FzoIbCDnXLbrtlNkGmE7iOw+gOH9jpOqeFAi9e/cweuATIB5Y1TM6pemgrHQ50qxL4dBPwiL88/t
X3Ltm4La5qNyFhJntaSw21Z7fLMAk9WS21kHVdpRrNv4nteDAH3ho5LUrlMLErRMR1RS91qAjQ0d
TnrinPsb23UryupVkFmUbAI/J0pz31LUNPKDqm0kgJcLhaVPIZxGIfUO/ni+AxF4RduhUBXPhzIK
F1CW7vzkiLaZo6RfpcjcWJfvHZnzdcJOg15CF2XZDevCRyji2FNrseqRQmUOOOAZZepJE3dZ9CIn
z5P6XZS/ipSoRTV3WupWdT/tcbJ+ClToQ+nWjXlt+B9+zvpJ1OrBqAQNP0dRHlUfmU/9sbW+tvJ+
jB+GfKPHcpmRAlMi6QBGsNhdMNvnk83aT2JDEwwswEX9cUxyww5K4JA+2dwetGntyVnAXcCV8tJr
5eRUuJ7vb++Pi0yE34AHExondAERtFsVZmQlTECGGoaXcj/S6XKT7O3fI9AB4A4Gi4YE2DLnHxJG
c5GysubG9EpRUJ2Eze6KabnlDnPly1GiAF5KPQaNpvWR2hRNV2B2y5HaDXtB+QMA+FGIntQjxpcu
z/R/PlaoiNBBAbgB1E1Za/r0EcatvZAwbaZ4r8mU0HP8WtVC33Kkvdz0dPl4uPDfIGfB0J7PHkbM
pSRjaoBjcP+QN21Efz56kXxrYydepMBg/z/GWW98uaFRIRInGWbbRAklib4CRt6VW/7ZVy75JRKQ
E5oP/Om9pfNhPUQscbNfhIhyDoW92TWKLQZBandgkV0/9YVj387+HaLEKJv5o7Dvulzj+MnN3e2F
eaGjwHNaxUaP94WmLEn4KnEVEZoUjMDH8HYS7AHbtSz7Gsq7PFO/+NBNq4Mxu1U5nmIt/1yO4xf6
gwvgNU2qjV9yUd1bmGFclkvqwSG4JkXoQQUitpEtjzcK/WQpb45Vagx3k5InOxLvHvKpL+2rNjCO
/iRLx9sTcS08RHCUf/kiCmWG8zUW6lUZWznhhcFCUjVo3NIgDcxjAy956zgjNq7neNdqG8O+eDi8
46o4AilsLgi01fnX1IWoxaiWeN3PKrFBoPgPo2pnGxWnq6NjTv9/lNW1GbH5o2CJIr6ITv/cvfax
Q5/kT7XVp1m24uouAyb2v4GWo/bDwkbop1WzmUBKYVMq/Jr+uf2ZLqeL5gDPYAoYQGyR9jn/+2Mu
ZugeWuep08mP3jSKktH8x8yPvrbxeLqcMpX6HNI2QN8QY1oD7/xJSFAQq0dvtpDTFTp8VEZH8L9R
Yq0Gldqn4KCdvZHeXJ5ABF2QW/jdYQK/JrVMgxIOWiCPnqR9Ai9G9oHK/3OuTxvJ2pVp5C28xMKz
CI3G5Z9/+ExNJ2KLFRqjV8G+RO3H7swcmj7QfOmzFFUbCdX7IXK+KlRqWxQ6KXjSn16325HP8hNa
FZPXu5ym383KHk3OcKdS7U61E91Bl8Y+fH/93H2rD8J9+gMUfnuI9uFol3/GP+VLeZ87Wy+/y6XK
j2IhIYtCne+irFIGYtf4Qzx5EJQeBxAdpYAxVb4ltX5tqqldwudR6ZRcvOdGM64FWpOT1zSw14fn
MAS7n9st2tv/Lh2wvPc/BlvdYJ0JAQPjlskz5pDl6YhF7Vpi8KSk2d9c/Vk3j71QPhblXSRsrKhr
s0nSsWhoLPC/NY1YFES195N28kL9GBnCMU9sHQTSP+9+sBT/G2S1++e8gEMsVpNH9fZgqJGdDtND
9xiEu1nY+m5XtiLoa/5DPWzhfa9SthFeo2Uk9ewpMaDX6LvSyI4o/jKUjaTjSgaMbgZZAJ4joLWA
iZzvxdpg3+V6N3tCDT3COJhvYgufzS3I8ZEX3+XpRt52CRhBUPtjxNVdlwxygkYIEY1u3ptq8al7
nhFjc6hH4Z08Fo+jWd7loy33G5HfH4Grg2BR1wfrj/Tu5SMRLk4XifIwe29vT5G9f3p5KOwfp8g+
WXZmV3ZkP40uKb4dOpUT7I7JLln+YIf7X78qu7ElG67U7vnTt8cvxZtj2v3uu2+/hvZky3Z94AF9
CHfUte3Ile2XO7aba7ifd/anw+Pj/d+Xh9D++/vv7RX5zm+8NaLVzVpb5mg0AyPS7MI+7R8e+r28
m3YAiB1rjz3KAzCXk7XzH3XX+tE8orapOdGpfXHuBvse6Lt9p9gbl/317/thlleXcJzUo64Hy286
+Xm2q8tDRilrT21fT37WL8DymvnTVoqx/KWricDZSF1IregIXORvqM4PUyVhERfH1MQjYZeUycaV
/L7n1jFQo4DHDCwPmshqYNBMxcTXCtGT7ML5hakQ/8bXz0ntb68/Q1u0PfXTxve9cgzADPzfkMu5
9+GmzCK1nweLkKryXXeSu9QVnNbOnC9vy4L9gQ6H3eyzN4Up9py/pqccwevZ+q5DtlHco8+hFzZ3
i7z/Pmxpql7JUM5+2uqwl6Y4iQyJnyamyk4TSp59uL5HdduQp0S7Zoo8pUE3RRU3juGrcwIsGacn
BdrHGj0l0fWXJqUWPaPvnvviLs+OjfkrUbvvtyf/coDvJo5wQZfjER+A87kHdllPdRxIHqq/Tfto
lb2dlTh+u5PcO7mk7Izm9+2IVw5juMyKgiUMZyT0qtV2zmY1baVElzzU2dQ5s+NGcuT475Ci4ZU/
6N190g9HZKafN+IuQzlf2QuHGo4OVehFInO1shWtM3k3a5KXPwrm3axKFOSxX5n+Q10fBmybf670
fCcZu9txL5OTJSz5D4AxmnPr1lycdpzVnSl5MQYwfvKQCD9aPJajUyRsVEAuaxPnkVYZZ1/KrRSP
Bt+yje3upxh8kcWveZW44b2PMuftYV3/jGDhyIZALcFgO185Ym+06JgzrmbazSeLTAHNGF/DajSW
UAH1kcL6HXDN3g57bYzMFw1qWscqz+rzqJGF9pqm5rJnGnA6rX3YPhtY5/pOF/0UxI0JvTZGlii9
98URBI2c1clUi1Eyx2YhexkMzGFwo8ZWIVVW5i7jJq2ehD6xU2y0bo/xcu8vfP9FtYjCqMIVfj7G
sg31aY5T2avEJ3CmXdLs8ulL0A0b+eSVuSTOMjwyIrrGq8Ot8lMlqvRa9sayccziZ4gnYRyVoO84
8C3tHtuV2wO7sDSjAnIWcfX10nzsZ81o+HpFYicp1h+FnfdvAGsExanG6tALrtpY+IMaNpU+Wwgt
uCJuwR/b8b9Gqx5869Bm9lDh28QyayLjkAf6IZUNR1MguYT727/46goA5clxsQhLsurOv0URZ3Kn
d5XslcI+9qkexLWb7wGkSxXKppXtG9D8t7R8r9SuUIEhVaVGwlEJNOo8ajhJJaiWnnUXar/xKXNG
K9qJilvyRhZ/83jFQ6C2OwOJ+sy6uz3k5e9eHZNcCax22mMQHNZ8VEmrh7mrO5mk3NSQEGqK/eyn
ycbEXrl3sHwjQUUDDb0ba3XvDHU1m1nosxLi/LM/zl41K04Rda6g50gjiHxOhWp4s3EYX5vZRYGa
khwQSD7n6nvqYT3UApVyr+j/Q5p0IMIk4HVvK2TFph3ltvKnEWT39pxeDbvoTb1vMxBD8uqD9pVc
NrVA/wGO9lTvG2FyRz2zzfGoS29lUr7qwl6OHpGb3MhUr33Oj5FXt20BhSIxkkDzirGq4f8PZC4t
LmS3B3jtc3INoBSCyxveuKtpVdJIyWM/1LzYpwOfQNxv/07VUcAcIej73fBSxcbhdshrWxO4y6Ie
aJGjgeo5n1Nx1ugSs2W9oLHFXTt9ltGdreLDULyKqbEf5sSWNnKIy8nk8Ugyt5TjF73Z1WROqCAI
eLnMXirHyq7rIv3YCEZ9vD2ya1HAopAaLWKPFztwCtVZKcJy9uSZ/H6KsIZDNP5fDabIR7hGKZnQ
XIDfsc78ah/7h6SqZk8X5mxvRoh1maMSbZwml3fZeZTVwi8ySwfswjupxy/80cAfbYflK9m9bApH
y1eHjbm7Eo97k5ITKBG4kmvA7GjNcuonieT5saL/KDRr2ku9SXqg+WFtgyqKN7b2kgKcH5fkse/K
pv+T0a4OssUCtOZZRtIFTAaShd+GEC7RcRSKqu03ttmyjc6DodhvYjkNpZpttm4HhfkIUhTvSq/O
RNuYeLWPvMvjT1rwZzYflHhji11O5nm41a4eK2HILLDhQBxjR0snhw3nNNpr/e+AjPNAy/Hy4QUo
03lS20A0gK8V/6Vl+hhG8Wx3si0boS0YD4KgLdLR3Un1vw+YsN3eb0vWcTGrSz8EKQueWmshH8Ms
dSshz/Uy+PO/p+Cofy/TPwmikbfjXO5rKmsL+Qv6NVys9dpMmyisBLxcvbkOfmXwY7jo/Gzjhrtc
jwSB6rmolYO1WXfWJRxFR7PITM9Ks8gB2MuY6DVDDWqH/8t4PoRaZXN6lpt6iRAV7WMztw21zHfR
iBb1/2HWPkRZLcIhmOO+mBiQ6Wf7tp2xvd2Sibu2AD7O2Wr5IfPf5H3Ah8kMNxfK3MlAAnTGF1NP
0WWKX28P6Nqu+hBt3Q5c5IAK3WfaJC1t9lbnd24wt58nK3hM6mneWA9XGgMsCHrW6FRQFryQm1Xn
po56pTK9acpdGX1Ev22eGkvaibHpzv291XYHPFCPqtw54n0ypXbUSQep6H5Ysf9Wfkp644+V+LYy
HxSJxw+twjCRTpmi25PvGkiesQoOE2ScQrX7pCcl/XR7wi4/z7KOZcpRJBbciKs7ZK4j9OZB06Fh
Oc5gZ7nbZbcdXdU/5qq5dcZeKe2ZBnciPUryUh7sq2WtjmlpaZA+SL6/xdYdDPSswJ5LsMMacdyo
mxx/bP8qwnOYyXaXCf8sCAGreBEHJqkh1aChc34YNsICORdKxetRm3XpkSu2Gotb2LAr6ROMC5NY
5A6Lev4qlwkqQYCjF+lepZR23mB6vOPNZ3zFh7b+MpzysN44Zi/XPX0w1ORMVEyQU3+nn3045K0C
xlfg10CkeqwhBLP6VmYUncTku1BZ/UbaeymlBCyfpwWqE3TemcXVsaF2CYJakQ7mMJF3VT7T2Zfz
A8Av3reW/AvwZIzluYnIUp8eM5990bbJQaMX5kdHRS4VhFLS+l6V+ul+qrVft5f0FUASrAHMcMi8
QM+ST55/ZLOTINX5oeEFpvQwCPpj3fqfUVCwC+urzDMIT3ZXb7o7v0n36BRn6qOm3DeSuZP6k7yF
Hn/PW89vwOXXLERhEPALSuj81wzCOFi+D8xE/jqSWJhIIXy3EE93oJpq3a/oP2lwrGeju7s9Cxcb
G+lEYFnMN7crEjGrc7fTE7lBS8zy5j7fTeEb1vaOUDwb8xfkr2+Hulzu57HWp24FjJN2DLEUxPW+
+n/r01i4jRvKh8q0tyhGy+I6m88lGLQt2v0gT0B9nM8nJAo1y+OWYIq+a4rPuGDYAqbrKb2V4m2r
gH6xsVbRln/+YWMpUh+UnN6Wl+t/26mxYXiiiPB9cQG+PYkXuQWBMDiF0rvw9lm354GkWp+E1Ap9
L9Unu+IalsMfVrelgnZtOEvViwjMHGHOo+hDEOM9EfmeIbuJ5QLFz8IHs9xIXq4uCNCxoKreNbDX
kP+a4Q2pQZgZtMHLfNfWdpA5MS2tPnWCz/8+c1T0AFiBEAdVsVrpYtypcSnEPs+SGnkdV8p/KdnG
mbLM/mrRQVJnPGCsF0rX6j0sw//QxTIQPE3PGnfQCsFWBjk73h7Ju0bBRZgFHCIjlgSOZ/V52jhV
ky5MBc9/rZ+lL6pE08vp/syBPU37e/2T1u8gBKNrvxF3+fmruCB8qfq9o5kRGFktC0OrhVwRBU+s
H2M6/JOm2U3yA/vrvs1t1XflEgCetLHkL48o3pAmBzUPbIgUa3V2fO2ESCuV4ATL3e7n31bb2H33
y5DesCrbiHV5atB/oebLgcHkslbOR1jFfZwI+RyehvzPGElfzO5JTDoXNB5yjqo7bHkjvwM/z6eU
WFTD+H8DhIcBeB6wq8OmnjHtOqmcT1nzs3MS8YTnGiQshFXmx1b7b0CUsus+wZbClBb2iNA+oDV2
iJY20Ru2S0aJjLnFhqnpomwJ9FyZfGCPFHiWbIz37mqpzdOs+1Y0RCfTf0zKgAKZtheaP6X/hmHp
xnlwoThLxkWFl3UFs5/ts6a/9RotZh8bj1Pef47z7/7wOk+PE4LRvt7sBokV/bsS7Ij3B4T0/L+8
PsnIcarf+lJBamoWbQUTmnbhVwRbiOzLnU02yLpfpHi5MdTVwhBbGFdTpsQnKQIu3eRUztPRtzZ2
2IVnAjPAEsfmhk4HEPN1rXuefAq9iKCcNJnN3LZuKibH5RVZIs4XCM9tUR27UnSNb/5Y2FRS5BAE
CjjbLKB1l36DD+0IvC+mcjfF+/YdzD2ip6S5WbS1L5cDc7V0QY4v1h0oI6A5tcqfQG36RjiJyakL
nSb/rBb1vlr8HPRfnTzc+Rl2TxsH35XFCP6WhyiNJ/qxa25DmMtSOhtmcqqt+7D+InXPUXDfNo+A
8jfOgcsXCH2f5V+AFTGxJZE435eoiVeIPPv5KSz6PbBpO0omu2akg6zZZVCfKCKwDH03mb5Kfv5U
jf0/D5a5RfyAFhSobVgk57+gixKjHPxK8wTBcqIJsEWDnBldDzk9mBuIlcuJRbZ36XfBo1reBatP
GehTUstmxL2Va+0+ygTAJqMmP/qFBJNLbdST2m0ahFwPiuomGQBIigtr6jScs8hMBC8qJexA1HAw
ndwKpN2cgvwXp6ZxWuhMX29fYpcnPCA4aq1AK9jOFztMKvReKuVRoAJk1rOTl5GmOzzfzZoTvmh8
u5l8i+5pJDbiDrxXtuXCe2VpIWYK54kiIihgDIXOPyz1qUyVhplf4AdhYY8pCjAAf8PHnNaA0+ds
1D7NcldAztfOswTdWL2+I5WVD1qLGtrt+bhMKE0AmFgngFekDbl+pA1hlOeGKaanUBylXS7Io0NM
IAFlt5U/XAlF0RR6LKADat5rzlc+UOGuQys5NaOiuMmCLR1rqG7VOG0JBF5q9TAmVK0AWuMHwKG6
LL4PCXkhADKNujg7lfhHtnDKzKpBQbZ2+gedXIVzQx5f2cePHCL95Oa1cdem2aFs9oZW2HU97qes
+tXAGpY39trlS2/xxCG3QPWO1PdixiWlT8OwzbKT6FuYYXPVS4d+yly/hAfzQ6o7x9D2Cs6F7aE1
HtJM+OcvjuqdudBRcYDifFltdk5XtZULIzv54r2aq+y51M22WkMXmxuCCWKpaNiYi8v5e+r/Yf4D
tWMPYH5FXqPeh6rsdM2LhSxNp53oQO9vr+HLh8Qq2mpImip0XTAFxWk2+6NZDbboH8vRfY3RO0XA
RvNkZStTvEzCl5gIQi0PJD6isYpJOtb01lgXpwa1GjuU+mIXy/kLPNOftTo1ey6r6CHuIxTmu2xy
lamJ7xGAQJFZtAq39GPhZ5gLW33ra/NOFR0VLvTvkC1Z3VtBr0zt1E/Fic4ZqygyIIm3vQHnIf4R
Dmm1m9VtSUyZzXSWCTAVPEcQUaVgRpK+Clqbsd4MjV6c8gGDJq1R5WOgwhWvhiyglNUEd2YQcHsJ
guDqSeY/4GL/vZCM6jhUrfl3YzEsKenFr6GMsoC2kHRdP15FcxggPMrFSfts3CkPcUlZye7t8a+C
lrsdHYvWhnu5BaS97C8vk8Dgdcp5tCbfq2EfVnwpIhRvVGpxGufirpJ0O3ipp9Jt+sa2sGJM9PvO
wszMxbDu9oCvfvLlfYRejIjj1uo+saIJYZM5KE9i17423RTv/AoVDFmb1UOciwbCqHP+63bMi6Oc
waK+yA6nEGpe8Gc1AcycMM/FKaIyDAkrxmK07ASnhgG2ux3qIvNeQtFgBoZH7scj5Pwk1+epIdeS
ypPh/1DkV916vf33XyQEq79/tY8lIdT0PFbLk2y4/te4xcfCrisnTw8slP9H2pf1xo1r3f4iAZqH
V0o1uyyVXXYcvwhO3NY8z/r136LPvSdVLHURwek8NJAAtUVyc3OPa90XRe8Bo5mYjqMDQIgyUW5j
TioFW3rsp0bpJl/lrvSShJhO1dndOVT/R0n0/C6UcZDAD5ZaSulqlmuYu6J32sQem6fpWdAcqeXY
3wUNvFoXvZEX0iJ51oeUrktNn7VoJWmn8CPIztwExMJR0cE/eEh40en/r+VUIJJLNHPCUYHWHpi7
w1cFj0kMngFFaidj5dw/rgXNuxJHl32xLNMSJjiBEDeDUTY+d7xWhiV1QNce2mgAWwAnTLn+fUsw
zTxC6t9N5ZoIzVmf9on/5Vc7qbJ18EP3wGK5v6Jb3wNpDYTziDCR3gNkOiMSSI19GyRQdowuz+Ux
AiUPcJUekGz+9M+AEinMXQwEAt7Az9JOgj0JiJtI9QEPkxErI2mJgUMoiJkfQiFYqSCzu78yngT6
7xdn1YQiAONMSMBEobDKkgCYYxOS+PelLCngf4CA0LUB742xFfCW0NaiQAqwJqVzqu6UBjOC23ja
dB3nTlFdZm0FSuE6ANvhPyEldb0gPU4nK4mKyg30dQjI+fQkZzkZDU6T89K+XYphTqYH6l3RNFQM
FKHN96G8vb9lSwIweoXJEmAogceabunFwYytPpUIeCrXNBtbyo4539enW8FsFW4QujFMRJHoNmLM
QgqyVQ15qto1uj2oUDBrpe8GJ4GLrxhrMfIkedtP9rgat1bzEoXqSiZxQga77hxNWqOskvGGrhYO
7+qLWMuRx1XWjAYKHEK7FROR6iLJw69e/Ot6APJkgF3A8oEtgblORu8DoYCjJxmNO65j8yUdHkpe
zXDBuF9JYJ6SOOta0JhAgjJMtth/6eYhgj8rxQGoa073lYX+FnOSGE5FWI4SJbARWcqpUdTTqszK
1u1AsGIj1xgibojTbRqjh+LvRUEpMcUJsCGUQxm3YtB7eI5h07rzINmqfJRiJB6mzX0hC3oAKArq
iaPqj0vMKD/kTuZstK2bARw7yYCGkyQfRjHtq6HkeIG3aQWaMbUojRGyVcijMrYpHhqYWLBQuCDq
OkjNZjKg/OqzYjwbGD3M1HidAAbcF9RtI+ibMOVhOd+uFfgCyM5jCBBNncC4vL7oKqCpQSZSNS4+
BP24/6Ty2RecEYT19/f0VkcQN6Mz9xuSFSrP6CNYOKIYjM+NKwmgosgLAHLLG6HgZQBvTT0687Ag
ZP8o0zoL9tuCqUHO+7l1czUmg3Qu4p0+25MCfogpx0jn7v6qFsQhA4axUfTT4z+2Dju2itIOidLC
odZfhW6NJr2+scXuXNtzJfJKsbd3Grh8f6TdVGJHtPuGsdS61VdwAqi/Ea5f+jTleRv0yK+v87UY
RiUlAFCDM2RqXT3/PcWYijUOdfVTAtml70QRXA1fJW38eX8nF/RQAc0Gcln4H+4EXfvFgzMUzWgJ
mdq66gZIQk/dA6956NZtw6ouBDCXGoidVpfEEADQMFu3JaI7yqZwovX9dSzo+ZUY+hkX6/CTtM5q
sCK7EUhy1f5Ac1F+yblMC4pAe7ARKQOQBVPgzFqkNCvLqfBbNy0BnwGwmQEJUD9Hd//JN0qOdV84
GUqyAs5J9KAg/cMIa3vkec1o6Nwpzj9n4C3FaIqrZ8nRBl5MvODoAgztu60WHUQ0O3G9e+0k6oMa
yJ0b7oLHctf/FvfgmN60++Sh/fLfes4+LmSgruUxVknMfGGMRalz23W7g+dxVnflCvNqO+Db/rVe
XK2M7vKFXkiDGJetIkKS+mIF1a/ZSt7H4O/7UZA9Qp8XcuRIcCFXy4jpND0t4MZ07hAf/djVlOC5
1laCsNfrL30AdE+AkqMlbeM5A6h88ZQH2/vr/J7sYawHUrcUAhrvJ/jYmC+YRR8Y2F3RuZaZAgiY
DKJCwuAgF2tf8+bZmdPcrg0yhQDB9lrk4ErrgdeXSlXy3jcwxkSWC3+ax77DK4BUbfvQKemD2Tbb
pq4wHTP/nEUev8zCtQcSg45kGrpy8BAwNrPo5GZAt3bnytM2nP7Jy5CUxZqztQuG+UoIE1z0OfDz
zWTs3HQ49AY6LCV71AAGIz4p4yYNdrX+I3q+L5Oe1s1OoukWOoWGsBsnvZDjTM+AQwu1jWwF7Jwg
98t/+BqvvLIoB+DCwJFENhKtvtfXY9atMEt1pXOj2PoYQKFohsKvLP4xqTwEqUUbA9KM/4pibEw3
G+mArunOLddwC1qnNUlZr4ti3Q0kTB2MB9WtM/7kUZ8seHq4mrpCR3bQqApGF2aJfSzNYoklWnHx
ECXHtstXFQA7UMpx0E+zGmaUw/ENUu8DbG18EfPGvX+YdGU3h3nxBYz+CM1Y6xHIU920r71Ybl+0
kHeOi/fgQgRzjl1sWkOOlioXXAurRgqJ1T+oOmcd3w74vYUwR5h11QRESEhRttF7A4T7z1+hRKKV
DKD5imRoRDr02xTpY2RR31CSb7blP8WvfLR1zE+A4xI14NGO/+H2ofA2mHlOFD+MiqCDak1y7vTS
yhh4+7usvYDNxIgbGnrB23CtRRLwAQ2QwoG4XSZqghHzMXTq3W95XHc9iT+Snfx0X2kWb+aFQPrv
Fw9XpADtKNLpmvbpblyL9qBwYrrbqh99tC5EMOa6GyIRnMgWfTLUc1odowCQLzYIB8t2j9T9Tkv1
fR7ZKuaiMCv1mJjaQ6AHRBubnViirq/2RBUmooH40Rw4mZYFt/Hq2xjvJ63gzw0mll+tyrZCeuKk
n6TkBfOTZNS9qZY5EcWimUC3L1IuBhpWJJHR7bBJukYRgt7t2idxQmOMFR39iHZoycd5fMqRuJ+R
A8zEZlNr4nYMSx7ox9KJw39AWyvmOuC0MCGhDuy3SZfnwRWGmijBppEHotS/VR4zy5KtoFStoIfB
wJHG9hHmDSCAEksa4KUgzYLU+q+5mjhu15InADJHIL8AKYni+F1rrwIelVo24tGt5moViw+GvBpb
bxx9pxxXPCLlJV3BWDDGThGkoaTG2NfM6gRf1rPRFZLeHsJ4o2E+Fxa9avNDHxukAkq8ODn37+dS
LHAplLG4tYAyfJolI6K1f8JkbRjoqXrTix0Ct/uCvuscjNWFUwmSMtpNiNZPRjOHHoj6hQ5JRhHY
ddTYuVlvO7E9Y3ze8ZNfav4zb0kVNW6E0Vewcm906WcZfRRC/65H5mYGiJte56tRSu1S8dcVCHa7
57YCsY6Y8Tz7BSVGjziSAejEMYybSELSwhCcPjiLTNx2haO/gSIyGFfWlNpZ+qtdZb8jzMD/A8y6
0f8dVqTnJHboZrCbdSmfsdPAwB4bNJ1BF2J5VxnCszkWPFebKu+NDOCNiDCfKFCxGVSjjqRUq6rR
nfEIgKH03VQeda09ZoUbziZpMO9VdF9ol18Zs8bbYKrMrHCAwtOCNdq1kY27vllpp3Wq4g+Tm3bW
YMvmtBXBoIpJcsU/C1H/S1QAXhW0wiaq5GoViuDD7ozYGWdp4OzDwh3XAOqEdnFk3ZHnZ16oXkDU
02YxvkQVf1bFP6LVeWAmtgcBk2/vosUbkFiwW+h2RJUetRGkfdjoGwDImjq0/YTSY2lLwbhVy1Vv
DPYYpmQOAYwa7NHaN5Ufmfqjriy3/ugCf5/GPOSy21EILBnt3qA3oFXJG84RM2/MNGjmyW1zNwYW
XBcSWTkY/cY0VlO77g1rUwKDCgjkOzrTK0ZrEdi00j+5FnC0fenVwvAo+kZQQwdzlciYvt6UjaAT
p8ltikNXwrcqHasnMxovH+V+ZRxn880IeIg7SyqIug2qB/Dn0TLA3DFfmCeAQmazW4KWdQRzcNiB
KwdMTzNKBWiuNJFglEkSzKQEGbxvWLyE3MIJYACD4rSBpBUnwObx9agYa0NTZreKfwDX9KH5wBYd
qtiq7GoAUpRf2oJolxPBuEwtbIMOMFHBZ5/nn2Hy6755vjU4QB1E/hiopzgHjMxe30dTmcBwLouz
241op9WreQdkEV5F8NaqXgthPDUpybUQ9A+zm7b7AshNJSpcKy4Y9pIU9KoDOAJYM3i0mSct7AdN
qdtadLU4sAtDJgC4+Ur7899vGEadcW7oEcZ7Tc3KhWNrxuAP1YRKdPVpOgyyERElM0/3ZSwkmDD2
jlcT8Sbmtiz2Xgg1WigxEym6Ybf3xy1I1iLh2MaPqd+gkqs4ihXYocobC17SBfDpoUKNRjqaD79e
mlzGIOrxIRU0mBMBJmWyMtAozvHbl44JILEAu8C0GMVrvJYSJoaWwjKJboHfrxN/g/a9ZxB6f5Rh
tLq/j4sLuhDFLGi28lRsU010JXVe9dMRdAacxfAk0H+/1AbwHytVpUKCOKG1sCqIpaQc3/724UAO
5btRHpUr6BzjWIdxJBu1lom0JyYBmZ9YHQtp5ixkoaOJSvnPGDOmIVmvICr6rCsN3J68B1SdhZio
I8pedvJ9e8zfS464231DSkpFSgOYVOj4Yft8jLDpJSxKdgPwMrT1JgUr8f2zv901/DT8DGQ00W2B
NtTrk7EaQWjiJlVccUavXlqvBkz4ZejPui/mVpvhSSHgogVvvGBsAWKskaIt2ll1pxIIO+KuxXTT
rO2jhNdPuyAItgDzRhQ/AmEJY0MNIZP7IZFUN2+rdaxHXumbX0qDWZI2+3F/TQuHgyAOhHCAiMWg
ClstRfyWZ6BNMVy8lCQU30sY0vsSFrQNDWzoiUb5ELVfkAlcn047qVo+t4XpGujTyx7aajo1vgSr
PVikibscQyDChxYN6LgYjxb4gzgfcLub6E6BBcK4C7VFbAUuwhjkOKuR5YbNsetEsHsc9RopvIjT
/8uRw9bexqkPmrAPLVcIY9uPYtKj11e2dn366/6O3nqzdEHg/sRuopzOepfjJMr11CeWW1rHSd4j
UUB8AO52+YcUSDsMpD/dl3c770vVgwbgGNLAjJjBnGCha3kCgB3B1cIWeLfytpH2YjF4tSliSLu3
AYQDvDDMjB+t+TSnIWmEz3JQ4MgAPQYttNHfu3XXH0SP4sIUW2YrG6loCq58qlIivGkt2fmtHZzz
fX+sj8L6/gYsbDi6uYDAgyo8KDHYDVeAL06L46FnFIIzCx9Jp2xroVpFPohVBrTgcVu5b3QJgjDR
CJcAriP4V2ke4WKBpjYEvhxUlOzj2ZpAoCIESDn3hvA1gDn9/uqWZVGbhtAICiVfy2rrrs5Cc9Af
O1Ob9lHTvJgN2ALrqjbWsaaknM2kxusqKqSQLhgSQK88/GJEA9fi6hKcuG2tAQ2/d8oOlAL6pq/7
Z1X3X/U+4Um7SbjQWWE6E4LSJNpZRcaUBmWptg1Qah474003fvRVcNBq0hoVoNGRulJNW+14G3q7
QsiEb4UbivoazvF6hWntF0jHAPKi7mfg4FatB99yU/c+Es/ppNmahSGz+2d4e0XpOnEp6IAZakus
HR+SXCq7pDUfqxoQ0JC5LQy92RSBKG3R23FQOj9+CBOh3SRF/rNAysEGDF1JtHDWnwurAi1k46Eb
yXd9fU6dqufCg9080ipKfXjL6LkD15BtmTEGwYqAvmM+xkKLaWBAkgVdBpiC7JmzFcqNgkEQUMjh
2cJcAU7ievszQepBghoAif+I9b7O7QZ41T0YddsXjMSQ6Fn5mnbIKaotL+Nx85hiiRR3DQEuJoWB
yHAtuaktNey7EiD8cTqspRqDi5j6Mzk+4u2AAsQglIZ7iLgB28m4O5oVlH6dqtajIdb6+xR0eGuk
ULXeDHluflVtBiM9DYH1NgOhoiKdHyUBEWBryvU4DUAm6aLQSLfhXPSbrDYHHo/H0jaAQAd03uAK
QTqQ/vul8QoaMesotVM9B/MDuK8KEsrTsOGc84IYHS8g5hLQNIxCB7MNegEcikb2MWRutOVhhvNv
EalO0FcDLlmiz3qxSYzJXKnJoD1KClqlc70M7HbIupVgxsaq7OQUZMsJD/vxxuagsZMCYdPsIsVr
YyxcU41lIsZJ5maynJ7UKJQ2gZ+2Jz+QGjuMMOuIySBgeJrVhLksIGPc35ibi/YtHmynlGcS7cfs
9ofAqO7KEGNIRmY5eS9Gq2T2IyQ1q79uh9RhbUx4jhqKvzKoYa5PeqqiFFBgZuiBHGb4TDM4+H0k
1dupSUWMz4Tdx/2l3QbLEEg3l44N0LCVicgTPde6NAoiT29+q+N5AMcyADbX0Uspg7AtrNa+YAsq
D4fs5oUE5TFMFpQM0xiwsIymBSGI3KrEjLxcUeutXMnBup5bdZXoTUmiKeexUNz4G4w85kUewChX
ImzHKo1DNTyBlzTBEIiGHK2dgVTt/p5+h/pXDzKkwatB0zNmO4BuwFqttg3TBplob7BBDre1VqnT
OwDwdUwndYATChBzwV4PKIr+lH9nXifZWm4PvLZoKoX5CgqNKcKdxVQuSOCvVUmQQD7ZYUDayzQk
5XLQ88Y9YFJU7RewVH8lYWBy/JCFQ4VLZ9DJHjpIyF4TuVNVoerS1FOiB2kGZffsvUwND3BoSWOv
xDDGQKoaFUxDWQrihGCDqTAjDw5SEG2KZFUEvp2i+t0p5raUTE7YfWOF4M5dro/xQsAMlo5GIiSe
CHJ5bTzEqVuNQNLzUIMiAOXX43J1X5OWjvBSIqNIg5C0Ki5n6tXTo2DVDshEg6NQrmtwzd+XtHB2
yGiDSR4pfQPBK7OphgAWSDmSM0+tkVDvo00WvSrZ8DjLjXNf0sL54ZEBtCgFEoKPxYJUmHVstbOc
FN5UGMAu02zsYzTaoPiKsxgMR3aOaSItxlAcRzBV+OsLgS5m9GmhZoFhN5if6wsx1EUkD8YMyJ6m
fa9Ge5pJg7S9tZbDVZvtpLQitbiRonSrc9H0bvf3WjZzklbaAg1MlCB7fA4BE5jm26wL7OkHZ403
7UqY+EEASxVVQ8WQxbnO46I146QqPEHyGg0gtU2wGf2H2DogY4ycKJASPE34fV/qdyB+u7N/pNKb
c+GfTFM0GnlRFF4PA5e81M/ar+QUu/1BdYBSaxcbdFU/FGvxgNFdd3ooH+NVupk98Ul+mjbtWtvx
ruqtvb/ahm8dvPigjKYO2q4pPKkVHAG4PNqo2lm9k0QQrcy1DZbRn/f34NY4XEtkXrQ6HONAnLHx
fXMKRJj5+Zg36ypyouER/IQYtdjcF3jjlMBLQy8KLhFN2AMG5HrP26zMe3gshQdsILuXBCcw5W2W
c5h6lqTg8cAfvGnIBNLQ4GIjraYyraqYS0/xCbws4Z3bv3ObzaLuJvQVJJFIZ6GF8VqEH4w5wvWw
8gQf6EkoQvTOAEJVoiiNsmor/F0zJqJTjKBeTZUx+4F5n8xuAqPc3d/RhTuKiiZALDDr/R1UXX9I
PvkRvBat9CJ1QLxG2U73mCUBRDwPsGJhV5EdQP0YwNmok5vM2RUlCrVIy5Ve0U0kF0evRh9ajMGR
+wuiO8dcS8RO6BTGe4yUBzsjYqlZos19VnlmnvbrKhQBVN3NPA7xBc3HwCmKssCtQ06QldKEc5XU
0VR5KFuvNX/YA6riFB+EaPopCebHlM6bKuDcttvaJ5yMS6H0oy70MhyCqSvMpvImodgl8WtVIytW
7zOhJ3k9EkPr0Ai+G0s7F4SXoI68+zu7dIAYsoXKoqaAHnfmWvSyMYZZL1We32rrbmztvu9WrVBw
3spFMTTHgtQ4ilbsi+XPyGlZpVp5oYCCboU+O6E111Opf95fzoK5ROfyHznM62SGkTag36HyNGMn
VzWG4c9SDsj2hyJ1MZfPae+iv8aqpUmh5uhwKubdmLMLui5LQq2uvbHJ25NaxPprVySWjaoh6KgK
uVzFUswDuVsyM2iaQMBBJwVv4aOMFKnWSs1qT4vDrdjicldEk34jt5ooT0DnQnzVzflGSHnYlQub
C7xvlFXRoITKp8ZsroQWBbMEKpI3awV4FM1zX5mFM+bJScNAa9Sahm0JqITeP9Lbu0+LAzKEIg5B
DoWq1sUFSdCEkKVC03iTUaNjQkrD10bX49N9KQvOHKVJhUOnITuBVC5jyfIqE4UoU7G4bEq2TTjp
e62yIkcRtABQPGLzVFTD+BoLHea39U5YJ4h/t5yPoG/rtULhI5AfAnEdOABQGbteq56YbZJKVuMp
dSUTcJ8j51ZbHxLghHfzhM5Go6f4Ib6W2UXaFas0qC1kY+O/HuCkKSRkJxFNozaDlq3r7ygaQNUj
adJ4HTIRKzSPtNs5zirOw790spdSGE+jN2sUrSIkFwFBO6wQswB0bWra1f1Nvb2kdC14eCnnGYAa
GCk+prmbKMOeSl11UFo/BpST/juWw00QBJod6h2nxefW1kEgADEgEh3buC/XmydXUaYIFgRq4gRu
81D6LUt+gZH12uBY1dt3HgGxjhhARuMS7Ua4loQMp4ERxrr1mvqzH18VEG1mL7XPsakLG3glhUYj
FxcwR+Z3VKqi9ZC6A0MJEApJCKpioBwCiDdXE4yF5AYPsIbVDbgjKAqjtIT3GIjybAZvqjHxZ3Va
7aFvZrDLsqqRIA9VTiB8Y0tZMcza5LbM57Ey0dBuNsCCAhgSeLGHf3yQiMrNyQj/maZmh0mX4i91
hJXLPLvzUI4pUsW1Z+mvQ7xpp5cxfr2v99RWXNqSbxF0D+GJotTAGrRARWU4bYLGM5J3uQH5PNpJ
wcW+wjgLsLwxXaNqBLzNHGv9zSjNioXlQLMKxThAyvtaW6o5q8vSn2Cu1XXsRi/yT/0cHfu9/5B/
GXawL5AxAiu93ezSYB+PHJPC6qqMwQyYLVTIkSyiZZ1r6RPYBn3fR1klSon2Ox/CXWzqTiVpjq5a
HNfppvOcFcZY6zIN5TALpNazUiSR1iKQAkDll08YO+tBtkVmIZn24wjrtFXz0dBXgpw3od12NTBC
NUPzo40vWT2dXi/ldOtXjWHaaRJhOk6PQNjtlH0jzltZT9Hno5R6k9rV3M9f9/WENSJYBRpAcVLo
akRVhEXNQlwZ6G06954y9fFGQPlnk0zhAUNI8daf6pz3xi0cEb3YeGqRzEMHA3PlorIYlCxNBw+T
gfIxylrhpZkyY6dHQ7jyhb6BeSlnJBbFpreVpBScslSA46vHvY3wTraLWd7GZYlcoyDIuxjC4Hpl
3IkbNgGBfaGAjDqm7OFlwZRfq1IgTOoI6OLBizvfIrpcHDSrbn6ms1Q/pEqskBFpwlWlF9EOQzvS
vgZBCacx8vYK0+4vWl5H+xdeWca+50OulEUhD140qMMeaZ9HAVAKb2pdtqtIGAu3i/wXI1AepbLn
4bF/lyKvLzItIcHyI5uOqJZtfk/lKUUdXRm9OJArt079ca3JyoTyUTjb8FHEdaJgJLCThP7BmkG2
q2d9uEWbd7nKgnL4iNM4f0xaRbbjQQA8Z6oNSGCA8U0ZG4MkA+gb07CCnS1rYw+SvAqoTX3yCPjD
wW4t1ScIiAAyW/iarYvTkx7N1roX+2Ar9PpzXVS9jYHPlQD/kAxZCxaqPC84YefC84BqLOB7Ad1M
fXy2AS8PkjoNxWj0QutXV8hOMIGMNXwFjdbWTGRv9NGNJa/hCD7jC+9fy4VrciWaeSFQJAYfzQRW
3VzWHrXEf6516W20ksem3ycCUu73xd34v1TdUXqnc++oiAOb/lrdmxLYd6OYjp4Ux2AlU50YoL7o
kLVTWSGF0NpKW+yEEm0rgbrmyL597K9lM3qu5n1n1EY+er0xgV2swmDOLDt9uumEj8w3bNnynSkH
fofaJJshWhuiaaNlWkl5rY9Lm/4d3QCNFpMlrOtmxeLcV2ON8447gilUEX5Aj5m+qflCxwXH+Vha
NZ4ofCwyAChKMztuTFajNP2MCxYLqD36mrTVaqv+ez0CzCPN0SiInzArc32uphJmlhmbo6dn2qkP
wbyrYkDwU7UA/fLCOceF7UMRTkVTJ+wVbCf99wtPsTCCFkUkffKittpGoUZq87WadioGc6ZBIJI1
77XGcnNwCIaoO2OtkxWSwtg2xu8cjd95nW7ufxLri8N2I1BF0gFFLCTm2D2extrXyiqavcBXEZ12
YwPUXLQfRxMe4vuibo+T9ktingKLx+PNRscW6DyVfM5mDzyuA4ng/K/8Qsmd+1IWnA48RTBHwL5B
ozySAMwe91ouBFEteUnQt6s0jdpdKaoFKU112AyTIJ8mFO4BCh0E66BSDAcz8YYDdF3T0fq530ip
bzwkVpGvgzCrjm2RShtDHAw7rDuwR4ZSp5wsAPlyHN4FvxCJEpgWDaleTFmw2Bp9mU5mb8aKNwWZ
g4yFugqdzvpSO6KXaw3wa5MdE3AMAgYjcgCwmL/N9N7VpOQlExdM3fWn0JO8UFPUxQ1By/Ap+l63
83XoePUH2GXXFc/Voa7M9RMKrg/40WjKoJz3LDyKYg3JICm54uH5I9mq2ktOvP6t7P1DbifP9xVj
QdMhCxEfTCmgbtlxhrkrxECXIKuFf5+XryBUrS1e+9Ktr/hNXkJbaqF+aA663jlApPZhE2eKVycv
wO9bx1OzSgcQSoa8raNm6Wbr4M5p4A6nRQFGUqQoldnqheKlP3Vha6yqzRRv8nqNnJqwnwt72GoS
yXhg0wt3GHlQGQNJ6Amj6dDr9cVDBCWNZs2rNX0/VZNqa1pirf76pGCHKfsn7dIxWcRzRR4idUxq
02ulvnaMpE3JVNcPcxvxSOUXdAJ6981oA8gjeLLXy1HlPpXHQDa9WBMiRzOi1lE7NXOsArA29xe1
sHOYOBXRsA+oN4yTMY+ZqDRtFsaG6QmVqoPKRDbB1jnymNEWF0RtOSAo0UHHSjGERmnLUTC9rFHq
XQ8vNMIr0sU/WlCanO6v6EYW/F7KzYJ+A6RRUN643jxDCMq0jFLLa2SxOCV+UChrQQYnOqkxnMeF
Er0Vh2YZ1HQVwBdTpWB8oAjjb2ZpGAJ8/ZRYoMux/HdDGUDtuxm6jCjJ7E3VWsWctl5XJKj9Df5q
1QsoSwacbuWbtg8TBhr92EgrATEQCSZWb0wJfm8vyeeEOMdjv6vIr915RyqHlOTno2bbW8E5cR62
G6vMCqUW4cIqC2C5suQCQsNd6zjRvv7abw+f98+UtV+sDKrFFzJGAHPHwFiQz877D57FYo09+9v0
gC9+W2qNKPFT/Pb6OO7cYBeTvb31VxwxN3wJrBgmLO0F2W/wyMrn16NGCuKOZLf57T0Q+3H7vHU4
+3VDVcFKYy5B6891bdBDOThv0vr9ODy5u6ffm5WweWztcbO1eWogs/eAlWheb+NkJnpS0W10jtK6
3s3Oe2jvdjtSblcEvZorxX6JyfOXteMs9SbWYwUztn9WxSkRayq4d/ofM5R82HJXR2/x5bN2LQRT
h9er8/X/v7pD+pARZ30m43YXO0/e7x/T2raFn5/OfY1fPkGAENAxZoqOwtxlsxm7udYF+fzWOsd1
Q9yn0Hna/CYrcMrZPtmfnFdeT/yyjl7IZK5yNw2578e+fM534rx5nB5+muRxBd4nd28P5PlZJM/b
1/vrvOly/t7ZC5nM1Y7SYVRA6ofjC3fHsrdnon5K++ITyrINnNOJ19+4bK8uBDL3HY0X2PTZks+D
HahEdpytb3/GnGd18TZcCGFuO0KKAc8GhKi26PlP/+umMdfbKICCjL5/+Vw60Eb6npzHX1P8sE03
2xe7fjmlNk8kvb83N+BiRcz9RtFAiFqMBJ4nlLBIN7/9tu38aOxO271dl+sTVxvpGu4JZO51YoFv
R44C5ezon9uvV2nHUTzOEd3MsM1TrYoRFO9wFEhjF/iz+Sk7+5BsHZ463GDXMFrOFrPqJBARxeE2
UyzTY0aOruued0/67h/PI/bq4wNi9wNxPhNyf5m8O836kqEQAlhEguTD2+gcQ3u923nkwSQ/A9u2
PzlachPlsutkLIjUdM2oiTi08OHgvL83dkBG4ulnVEqIvT19Br+4W7tomv8oJtuwXNdKUfQof58P
hzXe1f45dZpN6MhooP/CGOxhmzxPJHDiDfdR4GkQY0lqs1BSRFPyuV2/Ho+hd0y263VAdk+qs3kw
Ng+2ZMtObW8/OR4u52awTRlBkuhFkuEq/jpHJCAtJ3vNPUTGuqgRuIhy+vQcndFZr2fytPHIarXa
P39xPZWbPhpWYxi7YphATsgHaMzhvTlZduE5gbPl+Aj/cgngJSLVA3AbdkBpjtDPoUiJghW9r1Nn
hlLuPLylexSV7dP2dOLijdFn69Z6/ZHIPABS047SRCUe0t17v1NzG45Xf5zI9tRx3pp/cRX+yGLO
q466YJRApXXOyKvzLjnn9RMsy+8NsdPVy/Pp9MnZzu/S0r3FMWfmq1KOtGoM0+z86p7cmWTg5CVA
PxjJTHZE3pEHMq4+orf99hloh1/oNj3R0GOLJBvBG8XJUS0/TX/Wz7wU1lCqUtJg/U6ynQaS7bJn
J327b0f/RU//K4QNYdsq97O+xZpRQyh/aPWabF/229eO/G+L+Vbli3DElDujnQssBh2sZxtM7IQH
WHSDJvafK/dnKYxrWap1AAqyUDm/Oq4erwZnv3cGsu0HwlGUZd8chZj/d+9YSIIszcO5zLFpKPPg
z9uwQowlDY7DeXe4p0Ov48WuAVujjcMSgg7Cc/jsdyufbIPnUySSA0fUvzzlf9bEWH00AMhJFFPl
P76JNjAtbSyrIO/i6j17SQ/B+VTCWbbt9PGn/RzzbDPHrrCVjqEzM19sInr13tbv693525ZtCFkh
bH3Be4c/Dkf1l9+5Pytm7EtvAG7GoDI7+1XfN6rzuIe7IniHT7B/3pf1L2/PH1mMaSmmroqTErp5
OEz2cS2Q9Xq36clmhQByj0D5vjiO5WDnyAfAtUyxBWlOiO7iU/u6/eKtiKea7Aw5+sU6ORDpijQy
7I/DqrHP5SGt0YLDsx1cWUwySitEcH5L9GYf1zq42G3Y37Vw5sVQvPdUYSzI1Pp6qX+f0htglTfH
91/kTLwfP38OzgcCcM4pcZfFeJXWlGehnlCll+DimYgN7chJbYfjV8nLjtV/lY/tgemsMM3F74fk
7Vju3n8JBDE+HDpirDbEJCg2vADh1Z4IXAaO2V8UTWeL0cQMsi223KcpsMcgulcQIDSr+eQcOL9P
38CbJ/vi96lduTCQujIqWTOlcMwtRCAaAWab+DnteCdF8yD3xDDGUYUNBk4WlvEKZ9g4Pq5ocH3/
zt5gDX8/XxdLYVyr3oz8JrGwFMAkrmEkjusI0J9m5CTn+BhuSmf0/keJjAEcwcMe5FlOD0fetM6b
RayEjDYimi3vebmZBGZXxxjAqGsNUHxnyrle1w49qfGhTp2X5+3pi5dV/W6FuXdajONkzkH2f6Rd
2W7jurL9IgGah1dSkmc7TuTEyYuQdDqSNVrz8PV3KQ93x4yOec++DWxgNxpwiWRVsVi1alWnqtjJ
BnJsFNT0rQPzPfIWxVG+75TMD+VDeVcdVR1rwnyvynv66kjwwTkijuKxaXjtmhkdGs8nxVNpcWpJ
MtDCdLnefLKTO1v27ap+LiUuOjMKIGdYbM764i1dCz3J9stlwdu0+eDpHz3/DuN+iLLMMgWIBqez
20UiuTqIKsAqiSuXm/fjbR7jHBJfKNLGhKTCOdsH1+3JY7b5kxAHES7dPPMoDOevjx8rY7zEWKGv
oL1iExWSkjPSm6vHR4M+1ORh+7pMqEm5xzZdSPeOjfEZcTH2tZ9A4uVZFxY9dZbLo+WlLzH5d3fj
j8UxziJPgiACCePkLBDxGgSrWy0e1akK49A1PAbn1pJmg5gfAhmPUeT+ZRB0CBQX+ttmd3BXgDDu
qz90+XU8/oudnLr7wEyB2b4Tv9CkSz+0Ejh2XwP+G+FMGi9H1yDqcQKoyus6tc0XjlX/dhy3wph4
pgMes5XiAla9OSN9hcTOarGwjqiZ4A/nhpzJRN8KY4IaS2iLFPg0CEOKk4zbMiShvSLOvmqmkhBP
3KRytyp5K44JatBEDC6RDuKqclvbA5XXBclpYRu77YXKntbjDUM59zNPJmPogZoNcXQpFc+Stmnm
5KpEOvGpsDhiuFvJGHiYXdKkl7A2+4yXUYeZyE6FafeZ87RcjgI37P3tv263krFuKRIsqWuwrM15
J+okexe3MLT7ushTRcass7K9BF3WwEd2tnsOqfogNrSmnFzOzPV/uxTGmIeyz4GKwlI6uhFpjDMK
SEoHzHQGYhMBB08LJy27p4VMCGCYUa0LFeTZymFXerFAxh3yYVwvxdE89hU0jJizXMrfR5T+LU88
hfvtA2+2jQW9XhFijHqB08Hk7zOUAAaMyOnPubVVJw0feQ0c02Hf2TX2/YMuEXm8Tru2e768hy7A
njynzjkXlg2zDeIK7D9Y0HA8byIP/aC64CbPVyQWNhzNngmobzeP8QqCdjHS0YSs550tkB3xVy0w
XfSpI7yU+Uzx7VYU4xiMUK5108fGCRaJatI8hJDDywbN5CdvpTD+IExzFeR0kPK8OzfPb4NjgXZz
3dilPj0cnxyqk9eEkL3wutlthMNuY9PigLoxKj//3/uShemDLLYzMEobvumik2bxN14B5+Us+TgM
nsYwniMWE7MZB1zMHUVNsItWwE0aNNOJTW2OuXF8IQu3ajBPrqoxvtjTyAbNDsTcDn/iJ55r4hgZ
iwEdK1BFdN2klhrZ2ebCIm9vB48sFph6GZLn++6dZwQqE2pkpR/GoohzOveBAwTs1gZ1OIh8nQl9
u+PXPSajuuNC2HaKSsYotDDHHu7sQ1ist6imGtQGlYfd8BJ4MwWCG3tQJ9X5EbOJhVyJybSTuFT8
N4TcOXEPK5R1gtVltQU2iHtb8u4xlfEpRuPXQdFheTbc8WFH0l23otzQl6cijDsJqsL06xFSGoqu
74Eg6VWnhAgnbQFPiUIDzy1zIg2V8SzVMFhJq0BLxsOzeSxQqmq4qaCZh9/tcTGhRhnmtd911RTQ
n+0RGa/e9he7OHTuqzxv8xiHMWZyUHfW5CVTMm4yzq/zXD3bE5tew1JsW6wifc51Yq4vV1qZK/VC
ctd6tXh3GOdgWIa4rKoGSyu/96y1xWdQqnw2MgGt5ZJXcOapNtvdE5mJgV5giLJ3CG4l2xV34Nl4
xU3GSwp+ExbdcRIsg1IzlBd0zUOUDszAWS8x+cUiB1S5KoLBZeLTNFdhUcB8v7jPIZ7TYIHfRaZX
yoDpZZ6CMsfOlR3guTC3yE53hmMtgGekMjnRhl7tbMdxxpz7hZ0RImdxE6fTVZbUjjpST6AJUPAj
7zXEPUnGfUg+QtKmhJxhMrTQxvMrcZGzRIjFWdFMqu3GptkRbRII+1OlvypA7DyDEZc0j9p+fEOy
LUDpjZtwmynx3YpjXIjc9njNTg8wgCJ21w+TTMHchlvlntzdPf1kXIhpqGkqahDT0eezcXBt2eka
B8Wo0XGWIFa677BmMh23q2IeK6UMznF9ejI/A0SO2GO8EnHRUbuXnLhcUhKR5dKweVQ+PH/MtlgF
iZq2gzxtZtiSq08pZgTbX4HLi47nHTJG8Cjo6QLGkEmtxHkflV08IDhuaCIS4ahWlBdUTWHM7xP7
RwYT5rSW1Axh3U3Oa9O/OEhxkC9eHeVXz4gJjmtQsfzvQphMSmGmZT/6EHKeUKAVXaUUoKM9EEfr
bLH8l++Xf8Qx4Y0Rd4pYDYgCNrvzLt3RyqZPSCNytm5yBvd2jolodD1T9LHAop6vIvEDbgD6O0V5
u2mMM2pr2YylEr8fk+edYkv7Pd5gSy5Ca95k/9ms6d9/xIJF3mKgbP+tAJhb4Y6bnYs/AJnWnxbN
9sWFdFuKcYaEmi794s1j/Q9RwT/iGcc0GKmvlg3EuwcXCGinsbnZZd5BMU7pkhV6qGrTCs+4oAFE
PngeQG/BwgEIHrDS9Zdlf3GUY97hgj4KFP8w31/MG0KsdnVtjHgShSTaxvvkVfyrHppV5sQ58Z9A
K7fiOMOZiAct0mA6BGcFGocsZpm9llqB346iN/jV6CC3HbwGcY0RlNFVRI1vvMjb3LSG5cWSAztH
l+weMVLJaTmY2Ws0Fen61Dg3DV1iLB04MWnq5ha9a3WMkoAomWPmL/dXOvNSmiAk01AJC2OzWQYw
A5TcYl4VstfHHvhRyaXh0Ul8c9Ewtg0RJvo4RB3srt+x0A+jMDV0GIB2SEZYH5NzskLW/i0o6SFB
jTHYH1bS5lGgi2y5fdFJZ18JViq7zbba7p1Tu3jiKNPsgsGnhpHjCnzCL0bUHMPU0VYJ8HCIlIFS
2Fqlkvt7OhePaCI6PicKMEwiZ/nPkxRcTEEdILqr6Xm0I8xsNEh3RX83QaJ2DQx9H9n6nkeCNKMv
YAUEizPYlA1D0ZgbPDDRhdyUMsSq6E5ul21f0YYboc+kQtA3i/4fNPBZ4q9JKHXfJkGRW/AAh+Kt
ffG3wnr9pUREe7A528iTxFwKMUjdx2sISaW7MUjkWU4s2bG93DTEpKV7X9rccwAdItMUSPQ6Shj3
e+u786RQESDAs2FWBdkVmdPKZAyQGFGAknlsqYpOi2rcC7teJ+3ihBKXzVHNucw+ECuY1gy2apwR
e4BD0Pel6gsImdfy/qNf1hdyWSJAN8RFuqIXN6P2eOh4r7uZuxFSwW+KFlp0N/16cmliPQ5iqnro
HousZdPpVNzGFY0erwtL3zYDbQwi/9djLhDHYK/RrgZdnZi7mP0WuzgVDFB9eEiMO+0GI91WGLb1
cuT58m+cEeN/QDWB5jjwkoLEju1ZS4VIz/pCgSB7GKhdvIsTvqB8TshBXwUAVQokfW/xf8pOCulL
dEGdSFmDS5MsTYNID7w7dC7Svvkg5nKJJCurE0G2vMoJ9rvEvawr+gYKB2LsMXq+BX1mHpIjD5k4
/eq9bWD22+9CXwvAEeMlaA98jLcwpCeOKs3E2D8WprMxttSoIEvA4BlvAHd4aF+STb9RVxft+b6p
zvnXGzlMnG02FviXA8jZRKvGGSzadq61V0nlUSfJbKoUZB3lnAfStD//ef8wferWP0S1mgYNWiI9
yBwdqyEtWCv997oHjlTzOCu8f1jg2rgVBo4NTS2u+qSz8rp7V+yuIpGbUk0n+7VCHf2c29w0LU8o
42/DLhEwxBzbivG3gtPTfUYDjk+fMUaQIFmKjjF/YHFR2S5KUNYJSd75lodBXSRbZNu0t8fFSIOT
cKhX7Yu2qE4RXp4aSB53QUz1zI1jTD6gzWp8vL5hzEZN4sQLtIX/9/6e/149hi6KmEuiw03ooLu7
3XKx7oM0D0PfGwtbr7a1ka5yFQz5LWDCSeIaOmcrfusT5GFgBsaagmoIfeO38vpMlOu8iH3vLDqe
F4K4g5x5l7U+Hdmt0t4KYV4EOiCf1hWDxLzn8+Gv625MukGuy5VsqSXpMl/sXHuzQxvCYYWe1mAZ
Hh5e12sn3L/v93tlnT7gNX6MgM5bry8uXa+f6DsvefNdzrv3idO5/AgPg8sY6D64XDwbCPuPDwvZ
89bOAWfeFcRb7NcATY3rtURHZwmoAGa78aK13/cf9kjDbWRO00Awf/P2A8ZLoMll6fuoBo4uKIO0
5bjsXq8DSZb5QXjlYVhmj+QfcWzCIwXdTDyWlu+pJqY66met4DwbZtzjzYLYXnoQXNR510JC6WYr
DCx8K4gInoWCWjTcB69X0j+XlMeO+A2OZs8RrHsYHqmBKOfXWJxLcTX7LM/UqSs2B7WDSg8X4j6S
BXBHW6jTCYgZnvLMIJoRQyAWBQge2E7E87dnF1SJH1UggvLwqJBsAEoBzynAQr1/70juNA44lcjT
+31H8Y1UZVZ6I5SxXD0LfUmtIbS0YTUVQVvS5a9vr9zdefNp2Z+f+dLu2iUG3q3X64zSo54SDMo8
/vfX4O3iGeM2MbhFqAt8h4pEkJuvE/tyDI7+w4oM58zRX9QPwbu/9BkfebNyxlanwYxDVDSql13I
21Uh+qoMXF4UPGOPN0IYewwiuUpyjML1bOvwpv99HBPSL1BEO95fy+9g5Wb3WKxVWGVGX8qt6pmL
8PD4oKyFz/sCeMrJdpsMl6vhixYkjAfxrUYiSLHRUbBaENXe9uvunBB66jjebKaDAsvSFRnTPsC5
jZF4txYRD2kujMmA3UOrOHoYAserdh4RpmbBzePCoAuq0Sdxg0lcGfk68shCZmDet/IZixTUHvx/
4GOHcaQAIE5VHLegHoKX3SqmDy9Tj/X+9BSuQwdZc86ZziRHb6UzpokILbtEMVbfni/v+hqW2S8B
uIRTdx5etvlqD6KGkAdDmHN9N3vOGCLe+vjnac+nBlTbPWhLb6UL6IN7NBwHoJL11/Ax7Xhg29wq
1qy1/DhvxiSVodKRzoBswDEClAKfk6cVGY+Okz68q9sIKWhq/Rs8xO0+MzaqKkZrjAZOuXLczPbg
/BYqIJivBk+fZ97EkIQUHKjwkVEBicqtPuvWJcoCjJrwWpjPh7RZLRKyBRGBg3rExR4ID300w/Nx
K5AJvfNLYNTSCIEbe/eGUiB06NG0H3V7AYgpuF0XGUUCglvtmXWtP9bJ2G0OuALA/RALfMnu6krq
KtnL20/D2xyTt6npiVcQmQu8bnaWsVQD9ISG1UNiQze2Gy+LRbvsX3JqPf4FemhRo9L0fjqVuxi7
bK2O2sFYmU7iqHuOw583nx9LZ4xWrkNNClN8SAzEy84FsbtP0BiyuGy3W2V9JevcBrJI/D/UYedC
pZs9YCy3iPRU0jA5FODsZ+DZ0FeRLzDf1yTi8sjtv5qJ+G+EMaaq+krbg7x0Wmf00GZek1MNxDki
5iId9JjzXJ1Jmt/qMWOisqAI+fU6SRtpm8EPik+v6wowx+NUFbXv33W8jWQH8WqhJgS+P8Jqdnhe
mKRFhQ0dPVM/DxhDOG5+BuN+szZTunUKZmlipEIJp2fuijVYXghZoJsIzWxoO6aZc7GNFWd9vwsC
txIZN5SHcXyJMZoVqKzn3Zu7iFdLjoTZeOQfKzAZv1ONdWomHSRcbVdbBkTaO85+jecOIh9esnP+
nvwhjPE2F0UrFUyZhVe1zXVFZGp73/HBg2kvhEWyTF0MVrGvHC2ZD05+iGVcTmilkSzFEJuSzW6H
ZhLEQ+7KtAn5Q7adjafeehm4n0teMw7PxZiMi0kwlS0Zcgh+Pm8QkriuBA+TnwSHLP5sHbwq10+C
ndGERpSnq9O5/Xot/Fgz42KiOqlAVAvRmOr3oFOJoGMBl8kWMEnn3aFPSPUdzX/xBPzpalhCxHTA
LPZ4EipOLVU4Wy+lj6uF7y72MlBVHNXlLZFxNVEYJ5bawNVsNnpHSxSIp0r0v2mPuDFCi6nh1xro
hENTVr3wNXySP3XUUIXXjmyOPEX9hj/eOTSLcTC9JQm6GCvQl3CrHUDA6+x2zXO5leyPVUH7mjw+
4n7c7mW04u91gnB+6xiLVx9Tkifmj/jj/7fDbNosCjppbCZ7lR2J4DhJTBdbdO2Gjvp4X9QMNOl2
kxk/VGdgTe8bbDIsVCDiu7vqCcGYJ6jrqV+gR/P4xTMRjnO1GG/UAu+ViJmGN8vVTQ5avRdXwDMs
qWBbdrd5Au9OYFuvwhaE7fcX+42UvHfOjEOKokArkxqLjUtiG0SkGCj16CI52SwKnwDfC9zyVA8C
ShZ2tLE3T8sn+vr6gtBkpK97QIzuf9AMUvZ29xlHFapFGV5F3AL6rnA+BLxcVtKidSiyJw35vC+M
FwGylRFTvGKkR4V9j79y0jhIuLngwlpdFlJK5D+vU7uisUUyw17Sd+SD4Sjvf8C0u/d2nwmI9DBu
siFScal+/IkzztnOIItut5LxSpWSK13Q4WwjmC0BP5uzf3fuL4DzWJDYikcPfspeHOH5tGDjFiQe
CQYXUrSVCCgbCqRrFniE1Y8RcQprKZLsxDGdaYd+7SDYdXWwP2IgDDvsQvSbACMhLBhrttU+1D9g
jeJImA1LfkiQb0OtclBqYAIgIQ6PcrptG3sQQDJPnu/v5HwA+UMO43aE1jdCZYQuihT1R2fx8PIi
0Ql8iViV92CfV40fwhiHk9YgkJ+eW16NSTHXg/nVpicJU4/7zKm8YdMAUCty1HEy3HsnxXgayxza
rJKwj5evc5U858K6MTlHNf9W/rEsxnmUYVT5UmqikkvOEw3WxF/xeDpNJEmc4+LpHRPUiH0d6NWA
DdxcMnvEIMDRtG1ulMrTPcY/ZHIcJaFkTOHiGb1GvUiSj94BPcbF/uqWFsiMnrl4xHmZGF4Ljv9p
SD3jNcTIwlWkhhp6tuzkAEeIi+ir2+ARs/zkFvwn4/mtFP8rjG3cKrVWyLs40vCqsHd2YiIzaBIK
7gqupNkr1vpHknRrxoU5SHIQXDS8LtCIZJH8zOVxnH9x/pDBuIqhBGmxJvvfKYy3NiQATyxksgY5
UbLg6N8MawWc+w9ZjLvIx1oyBx+yrOXOVoDLcuVV76Sv+4bXKq7MW+4/W8c4C0BCskKUBXhAHNJU
mno77BrnurIr6nqPj48Li16d7WL72mz3YLFYf32BIZDbZzID7rtdMeNAessPA7+EYlpuNnWR+yu3
WckbHohwhmv0Vg7jROKL2jSRH8AANq2NkXR4oE0sHdkG+SDUjtb0KaPHo80j2pqPfH6cKONSpK5N
fGXA+p7Pu7PhNrvxuD9N6kO5r6M57zXBfDD6CqNWfs2kbJu2UPwu0bxqjXJoTvQB6RHh+bJSzwi0
EGx+buz719ukI6yhY+qkAQ5H5EYxP/nW/AKxuJZlqmiequdE1i6k58F4Jr/ESlAsHShB1N/ApM2o
h5YFfm6I05rIVSIloe/SX94dNhvu/BTC6EbbhIlgtrmG/nRiv1Xv8V6k5036tTtfgJNCqscetv8H
+ts5N/lTLKMaqprr/nWcxO5qO7xMjf8Vup59ryaVvQAZlFPTNZTy8/6hzWZJfspl7h81b0YBg/Ym
p2lgvd9kSeCU3Don8NrxgpI5pfwpjL14crOuy/SqeWNDzWKf+uvxPUwWls1jpJi1tH8k/Qpa60pr
fVmetvMMLLTyEm/X7Qnsg7wVzabpfgpiLp0WA0rDZhIUoxIEBmEX+XSw+y4e0MWACTF8LqPpB/+z
EQDHd2tmkWrWajMdWEzARAiUN/365LNQcDeQuXxK69omFR6sEFPaZ3NhoNxtAMZ13YSPQURsm7eT
302f9xbG3EFjFDSaIkMicvXnnYZU9VlYigUZLVv/Q+3l88RVO6zx3+KITtvTae2M9CVLAMqmoLfh
fc/sVf/zZBlvg0EEfTso+B5UndzUyRf9Y+sslY77LJg7UYwRB28TKkAWBgTcnmgJPrimTzsIEjKy
s84y6GTdAPWBJ56xzwV+PyUxh6qCNd6KGkganxA+Cwk1CGYrwdMABgp3OiWyCZSJ42LmrP6nVOZg
LRlTvvqi17zIIkNspwuxRupsfEC9Z2LDkpH9/eTVW6bfZJUJg4NNAJM18LqzSKe2Qf9oOWiadz5L
oFvKAXgkEgldzbKvy6K0feJoyMQeabNMffCFDgvOonkfwBxqq/oIE2VV84DH9N/Tqyt77VIMaZC+
qyIFvjZHJ8FQLJQLR/LsBfZz6cwhR2UvCBgyqHlZZRfPqNCKrxbdbhuknhFqEGPxQkXgIsPjyJ0l
NRdG/hTNnDQSsoGehBB9/SM7femp8koH1L3xgYPrbPnVfLUsKvqbGGjxZJ2jp4yz63MKbkyoYhy6
hOEhzNpFK8PCx9BAIhqkXofdc/4YHMOEnE7dS4i65ud9ebNIgJ/ymAWnKfo5GgPyMMMM8XkoUd1u
iY9GwOsL4MzIfw/uFrzM1lYDc2nuhIsBrV9L5V90tlmAHGKunqxr1hSF3fqQoBPjibzP8BL0LYkq
CY1j52rreqqtDMvu43hURwLgDs/OZmz7Ri4TPqSlEfrobjPwHAcvNUgzzgVaWr2PEbb2qK5U708G
5t/1+Laud0th9WVwe8V4X8DEFEUtg95PxhcES+0Fbcgf6Gk9Pp/V9XlTrT8Dd1hyDn0ujTN1BmA8
qYYpzOjZud3r4QpejRQwMa+LHy6ebKOgM2xSd0rjHKtNuNBe72vZN1cH48xuBDJLHJLsEiStAC0D
tltKaUgPvX1Ziq0jnNLV+/rJ3z+tHRI+f9eXABoAZKAGYXWMHgLOp0yXHvMpqox0BEbqYkwa5gTe
rr3KDbO3ukrwzMCN+5Sohmd+lMKivDxo6FOSrutOec1Hg2jdV5q7cXOMOvti9eQiXslVfi+uOy0q
SQQXmIAJdBlH2+5C0uzQmrTtV0LSUNn0SmEfjk4B2t+/KQ8vOves/rmE77rIDzDmcM2H+qqXgic9
VV9KvZKtEJS/jbXzJed6FFaFT9vGu79vc2HijVAmTBxGXerMtBA8QbRLxE5u9ClIjrYZEc64lJgH
Ku1E7yQCy3LkoTHnntU3wpm7KAlTI0wsrDhrADZ+ihPRDh505XG42nmBQVvCo5xx0t4zDQAwkX8U
haWMKBSzUHvzKniaTIvK9U0qycRq/rabD1AGK3+LctX88ckfA8NoVfjEIpJ4lwFHV1XGOY+JgM43
GXs+jaKU6d/Hw1SavDq94KCNFPMolpxDnvbxxjimQdMKWq7QMYTuKxZuZzamKIhl73uBSd1dvr8+
qU7kGgZJUC/cO7R1gOih6YFjlN8ae08uo1zl1Yy0UIbcSlrVL+UmmKAljxVVlkik2N5OREEtccmi
chdeZruLYBEhfI7C1VPiWDrAm9kiocrD/d34nYD+3g1022AjQM7EuklNzHtd92XfK54xc9CsYtJ+
oPj0UaR2aT0J4jQAjhP7/NZ0Ribjnsy29rNQVQC0Nv4oG+uo0fWJR3n1u6R0K+RXRjMHdyg673wP
SbJ0iUvPIOfN1W5DR3+IF2i2MR8M39EGIoIWyMUNjCLfF2gk5PG/1vDpSwCtx/hBjKzFX269sVUM
GPSV6Viu4qPgf/g4TITSUWVnPjps1mHP0bTf2XdGILO/YqGVYdpqvteXy7oG2Lr9bHbGbnTK/T71
4LLdC7KD8pIj93ecdSuXnbWRtdfMx4773ib+2pzjfY6pemFG4jfffYkvE1gOKIPp9WI9HJ+S49OR
o8uzlv3PRhuMhZkJpiUqlel7uUbEitQiqR3hmD4gqoHDvi/sd//ItFj0q6oShj9IBgvkaILGqkU1
FLyNuvCP0UO29Z2BRA4wTVRdgyYcOFMMxQgWI/qBXtN2qs+jl+vp6/53/I5zmO9gYkoJHXV5Lgk+
6AQWcYFxnY68pbF9sS/uV+TUBfna6M59mb8baRmZjEaboSBJshkInp3kYJTtt27yx3MvMfFWO9K9
qQp5192lvFkPL8flMnGM9/fBfj8hyuVFtpMqs07VwHBWwP2l6T3B3B5WUAQVxpkL4FdynwMkAUev
PYTndK/SeG0uul0nkXXiVHhKqktrXb9F65KuC4nYvK62Wa/281OYTMSg9KXgN/iUKllq9UsvUk3Z
dE+BRKIe3fbC6v4hSNPSmKVjSiG6hzG9UtLQ6HDrVq5mV2P8EKwccUqzhx91egy6QE0qRIHo876w
Xy82C2OGcFsaGLgNoWxAmYpGmls6lEyr6QB+umwjmOiF2lvefTm/E53fgtAhidF2Ck6VWRSGLDZl
YUQISIidPjZvbYz0qn7Qvt5lO3Ha0xIpf4NLJvA7i3QrlgUNtrGRI+UZC8iv2jH2Uo3ItnB1F0E7
b8TSnOOwZIyxtDBWGHPWWUqwuO+sPMohq52wHcd26SrL7hS/eZO/IADzYPSX86S+5AfUqwCr+YDZ
dJuG8vDFc1f/zYcotwqUm4XR5Bk+pNCJuo+ste47Mu3NY2P8qWnakGvHmWvwO3s47fOPtTPmGl8H
sR9jiHze7Hr7+um6b2+7zWazvILNrjpksGKdHoa/XlWQ5uSknjRlBYpXXM8ZP0k7a0Eop6maoqDU
9O3mfrwxJCmPUYDRBC8JnOYK/qqNGByuNQktt7EWZkL1fn95tXratYvKcjmqPjnJX/aLKwTpUoAm
0H98u/2Yp6iGTdPBiRrE32XoUbrQILI7Vwan72c+zQThUZzPLhhHgPmVYEFQvl3KjwVnkRDHeWMI
Xi4dWmytmPMGZf5uNcHPa9Y0mN5EfkPTGS8oXf2gH5omPMnmHiADmkYrJT5ehbOugvw2cwWaOjro
APzgOVNezY0yUmzwcF1r8kaLnNHyOdHmrL2hn9xQ0FkOSoJvl/Nj0RhBXeYXYDpOo3AM61VfHNXu
1PcvFbJ7V8xSp3LxLA81UapzK9vRaDjtSMbnqHs3DNqiR9kIclsZyTX5K3T0Yl3omLudvjMUuwXG
8FLz4sVf+bnphCwNo7rRm4q5xEwYExhXX00ubXBSXMPHLITkrBoIGOuMjA1Rc2oqTlYuioAOeKKl
D0nACSm+A1JWM0GooOmYIwyCCBZzaNRdWiWFFp7SDDW8BxMM/DbiuGzVvdeq3b2PYJ62q+fxupOK
1/oKogwdzPLGR55TQFeiIrI1NwVLgWvWtFGm3Kbq5ML7+FicUotKARH1R9UiF6cdHFFzUsMVFSot
/K1lUsvt45X+ch3puL+sGp+gA12y7Hwd6q6PDvVPH4kIr975FCOHIkxeFUhzscP3DrO//M/7Jjrr
rizFUk1AmiatZmKrsGp8TfT18CRENDwUJDrL1FyHNLFdMMJTGJDtAI+YkYeDaifL2Hauj+vYfTfe
l8ZKs2vXWnYBN70zc0liyK4IFpPpzQYuE8Zxp3KoGsGgwsbGnXQll5FeHxpDJFoZLIti1+4uKRUS
kj+ZuZ0JS81/KnvSPtY6bVSedf12KfgWGVMIEQYji8+GwQOqXNk4RJdTjc7k62qQ7OQdJ1z81SJ3
iHtyjb0yoLJkC9p6ioM6UkUtGVBSCC6OnLjCytJoFjtS+9IJvOjwF9YEo4GnP7AlxC2oRt+62PQa
FXHepZdTuBLOoZv7D1W0FL8qPL33fkGuaKrOSSz8Gf+m8Vsk7qwIzQLiUv6vQdDTd6jTdHVMhccj
kImX877Xy7orL6dkeLCeYD7aNj2hzNAMR6G5gMXHLf/qyMCPtmguiiej5dy7My8zEM2gwiJN1xwm
ozEbcRHSsZRCIToVABi0tBppbtD8b+W/5I4wbLoCjCLblpTNHuGqUD72uVsETmeS/CM4xNrOFxD2
uVV0iB7rkmqcJMTvIP726yYd++Ghyz6sRmX6uhrtuiGNLriY4ILHnZU/+iJpa/u+Xc88kA3cCKhA
KJikPHHI3AosyrEZ6jFMT5G8vWIexrvoO01kF+Im3/m+Cxdz8cRyKSkkPOURHTHRmYdg+J3gxAxz
UQE2XhNRAZPYMNDPykhslTg7NYsM024e/FdAvOBd7e6lWSUnkTccfsZQb+QxKpDq17r3I8jLxC8L
1x2Qk/d39Xc8My1IReyOSErX2LaRPs0kI7Cy7AT2ygADgb+6j/9Dd9rvN/6tFEZXJB9dlXpQZqfW
XDXHfqO49cZaI1kdlMvcVjdCw7GdSRduL0PwfFqmgSEIQLTIbFIBeI9aUJQwP/nlVx26ff3c5tv7
OzfzdLyVwYSC+WWajVtAxnV1rmUiRhvdExbiphxQlbova+6UVDyu4K4NVTNYhLtvpYFct3V+QizR
DA6yXRl4xytHeha4nYRzZ/VTFmNm17aIEm2s8pPxpyvhd4i4CcNtHD0L9UE/Vw2tWjfJnfsLnMmz
IvBEfKuj8x+30jcTxQ9vEjWFklkX43oKW9qOCCCMc5ytWsHF2OFQ2baVncaO+KB8FclIkM+uYy9o
lsIxsLaC9naRIiJLpAiWJuBYHdEiW05pki0N41wLz021GivHrFbtBdmW9YDIBC16A+LEiObNk8/L
lf7WPuQocXlNZoVwmn0PXzOlDS9dV5zCi61pb3m2UxvOQ+S394UI5BCQQdBlvLincPTHfiVZ5Qu+
NRYnsH2Tvn8qATO4PIqdthxW2VF/vH88v0sOlgmCN0UHuxTiBmQubsUBDacMolgVJyRD24YYEm1X
YbkIm72+quzyUXrU0JhtxTHizU+9WAg8Y5sc3a1B4wNgzRayd4hXWNqLKEq7VLr0WG8PsB0o0QKk
/4Ec7ki78ytqPTTLq8q5cX5zek2r/iGUiemNvhOB3oTQXe/Jpw/3I3pKRjvZSGCcWddo7HAdaixA
cvKkrWjULu9v+twRW9NrAnaPuWOs0V+r1lekri5O2mhffdL15iLugSq2LDt7v9RUq0R6X+I3E/Ov
XdZlLBqMJhJ4A2+PObGU2i+aATOabKV3c9QVs0wikuyYX8VzA6qiglhOJlBftJPMkS5uk5NOpeMj
cDbkshl0mqHy9l5EyOHKg43ILEGrUYmhQSEtEzoGtHro/2ZX2gMy0qyuYL+90Gbc9eGyTP+Hs+/a
cR1JovwiAvTmlVaULZVElXkhqupe0XvPr9/Dmt1pKcUVMY3unm7MBRTMzMjIMCdOrMRvttJaalXk
Ro7YZJE563H2AALJiXQOC5NA0kYqEdOzgTy2Qun4nErXsRaXb2GieYVZRoPGdZ9BZtHuRfHN6GMQ
Xnte57sT9xdFJkEAab+WKmBwMznZUJJViPJOBcB1abeAUbE6jVAUpTBppfS6L20aRs8UE/+ngHz2
80P6bb4jDuluFYRWMkWci7Qglg5a2gNFlwA4knYcWLnGbXUdv4GWQAnItdK/mAXufYyyHYYmI1nu
oEnyqgq1aFyztDXog6iH9apLLWV8iektTxlZbpau5r8K3CF7kT6DVy43Au7N6zBREoXlwfAO/E/t
GlK2xYxE962nNqXFiWtROUoI6v4WoVUmOhVcIsWqokPEmCO1ciOTFbRynyHmzvdDmBtRW2i8r44W
GiV8/Iq/pgQ1FDUO4rdVYdClybTa0L34342vFwqLVA7+fumAffWFhe187O0klGJ6D28saVBXnFjK
fOmw69DeUe+HxkoKNUYuzaJ1kHf6qgjXVh3/5hjZi+jVSK3SCsyl8r8wHRt5rCKaBuBdggiF+Y0G
br6jaCkfxGRy6XCH7ir9ZPtiX9u+yYAEwjsnWzPFrJnDoI1mtPdUaSdY4R4TVJGed2L1TQPbJUYS
0ZhBhl5DWrtglq+zEizWDA7hQvQ4k4KUmdsvJQKjocy4qKKk0qGlSkur69SuLZ7SV8HCqUamvyTv
0fu5l0ekl4u857jSw84wh9KsUK+ZJtaOoAWRdd90bddk9vwhxuziZsECz5Rp7iST5UgupcUENgO6
cYwu3qYVXscPftfJWlWpYvMxDjb8jkwPo3UmQDXY0/Orzs68erc7zRFXvYtEF+qPnVZWrBZ4Wo+k
M9BA7x5ughqYqMnpnJ1tUk34cLVqnRnZhrMncMrz7/j/6KYIMlk0g4GYjzgBAZXQLkmm79gUX+Kx
0vpNqpejyYqIPje4LvQ07zG281RtrvRb/tIXeoFEy77+Q4ea8iOtkiRRhXVhZa0RRqqrUpWqFBoF
ZqPGnLQmOnRnirG6cetqtZ7o7d5j1eY7PLYwIutId6WFNc247zhbiQOmAGgKVvotRd/cN6YbYiWR
gsoZOt3v4TxexUzR5DReNeyWpgstLKh9Kf3PUTOkwodCTkFWkHwhTlSm20QIBBe6zBturDaXvvdV
6dPfeO1JXGJ0nak2TdIkpKllBM3Sr+27WWPBs4DkUGHl+MjuVH/9mjXFeldmbwAG8flqDH+ENlBr
zgowsaDR0phd8Chmr+7NBxC5uNBv/I7OosrhIzsGSBRut11Htlxt+gUrMZP2u18rYZXEMS19TsZa
6fWOOoTn0aS/DqAOErVkVU+tbMj41VPbvvbWgMonsRGrqbGWarXxlauFeY3tFSYn4KnSPHMpqpqJ
CO4OgrhA6BjkhoSfPi6ymXyVhLwq9q/Pb+lMFh8+G9KLCAjQm/JwS8VURNqz9n41Oqw+CuEcCyvh
kETgX5UccdgUjUXlpgQmIQqIiV1RI09r1P1HD17EwaKDw/MPmsnYTB8kIabD56BiM2X6btVP9uKh
FXH6Ep7wxt/3Zge/D15TjRmg1HbECB+B1mQFIB6Vcl9iTfgTr9MlAOecDiK0BCsjWDfhSRPJB6CV
xbwQauggOPubwnT9y5j9uBUABm6/EKfMyUIfrSRJ07hgnsxdFnkUdZ3o1w7w2PUPHBkKGW4kC1F/
QOZ7YXvZGY9BnpCpAKlIcGqJGNCXqrbPxqJ2uG4jM+/ylQLnsCSB/EeNPIsTKk32jKKK1my0kF6Z
iweZW9HEvWbEPMmDNK+d8of5jjhO4wadF7SslkEeFWiV2vB6dhIFq99XfKClQBlk5UZeCrRnSsBA
hN1sAXHps7TLMNS4qh1MFrbP4UmAmfuQrJOMZPFB0tmFKzZrUG/lEfe45XMvpxnIc+k1hg1G7K7A
jNk8RMXlWHe23GhMpNKMJrUr6ay0C9Z01vNSGG7C3f8+IMSJK9zoZlTd1E6ToKCSb3Le4AvN7Xd5
LRilEmoVgzaAQnXF84KuTb9Meqe3kokDH9JGZCq0GDlh1alNCqdYSrRkNDwalcC/UaWP9Vda/CTD
qWo2rGJ7w1tSa/3H8894ZICZSoHwkDnYFJrmfh2mG4sSMX4vxBI2YIAT/AIWdF5nU63YDaGqOPnn
Vd4fBdRwApPRHMFONrIRGo1arQSbXboC04ofdgRlNh6Z4Im1crqdN5/iR0HDFRlMeht9Dru2MJBm
lKfMyNBhmOb4RWWbiLclXwvemYPc6Vm+er4Zv97fwxeAdRQJAhmvu0ScCTuNXWerpHKY98wQXjok
BGs2VnnaoIMN4hRAnCoLeOGqN4cNuEUsN0ZJPvxbI9palyXqYME7Bu7ufE8Tek0KLMAH2+74/Cvn
LCJyev/9SOKG5m7BKqGAbSozdSi0AK9rsilylGk9DV7jc2GPrVWTfiisjOYUGupK5n0FJsF806rE
E6iBIEtU7RH9Agg09eE9Og+2byD1t1Cvmr0ZNyIJPWikNAJ7VVU5dYRsIgJX392noR5KC8HATAHx
fm1TsHCjcGUTZpg9/rs2BVQj+bZBWxynI2tvoC/CBnPplgPRWWykoJR+vq+zhzghen9b2kEMeS86
TuNWypu2cuQ1c+i8WCtHSAmbQywtPKDTY/yg0zeSCP+YGbtciX1IqlMQyXcpJZheVbw9X85MGWfa
yn/WQ5yZx4VMy4NMzUFKzaG+xWtYrFJgOLitmKp0Zvu7yl1IJs54gOCq5xlGZBSBxVyO+y1susDj
pVYAPXXtGyFsY5R/CNyCjvwGpMT23UkhTELj9nIAkqzK6daDxhvN32Liws71ZlUYtR6/eBvuu0dS
jtFos9UC/C+ndXZr0HaPPth+H52WEPIzqgOtAaHvVC2T0YN3v26lFJC5DanKibu3QMKo7fbYoi01
MDnE0F3b/5ttvhFH6E8X+HExUm7lFOnfJsNwFfk7j4KF6zB7ljwagqbjFDGJ4H5N8MDDscZoXqdR
tMi9Jhy6KaIlQPCcEEaW8bLQDBL8AnGUOdM31BCGjeO5hsdjYm4NsvOltrJZhQHsB+1cKL+wMvmG
UKXIU/AUG6fUY7vXGZ3/64ODdERbaok2SUO2Ay2x5UNkI2T0X8EyDnpDjTsAWmHwK1Yv1evzuzmD
/AHEH3l+GqkGVHnJPJjSubJSZFnjMKlaWIXDfNON7hmKVpk1clyShqQ0Go55GjQeurDdoPFKMnlt
06IxrFeLTbz00M9p8O0HEactRaPSpHzaOBLzGohaFm+obh1EgS6Hqsd7KuBoSGeYiayyXLce31lL
xLCNizgsmMa5BwADjBRlwi0DgUYGMj3Tl3Lblo2zSVBoB3eY3R7GlfQ6HAZ0QyO5HhuJ2m71fM3s
yoVnfMYu38metPXm8XG5Qm4jGqfSo6g+Mru6zxbe7kmfSdOFkUkTjArTSySJsMnDyFd5MjaNwyUA
mvW7Ot+4zSquXnjXXFCxyQjcilImHA56GFHjAIoP/3G/mKBlZKnhvc7xOr1+B5wJkCwLwIoU5I87
NHIOWw9sNLLW6SsUFp8Lf8g7of7Ao28DyKRpnJFEolbHPuPHPC7acxba7yOuWP3tHkD23W2zhdeA
VNxfSSKqhBjKghwQOeWzjRs3i0O2OTexynbJOu/onR9ikphfH8PBBnJ2YWNJJfmPQJAVTrAZNO8R
JksMaDasS7k5UyzywegbbPlqwb7Piphw4yjvA5NDgnIwSjxOIyVoz3GCSi/ro/nlfzTuv4tA8yHg
R4KCQjgR4omKT6VJULZnZhRNSnkpuEj1vGJhHQ9lh0kMICQ4mqnPkVa4ex1sxIZpx0lMqYtWuZUt
eS2vu4u89laMnuqUIRkBZtoUNqMpVmbn+8b2V6zawd4tKCT50ExfArQcT/Moi4H1m1gwM8rVCGep
PaPQEqwQUcmgI1ATCuOSNj69ordsZjff2aZC9eN/Fy0ryMtgiAUSM/gOYhPoOJRLJerPIioJgTHs
MkyHD/fNa8SfhOrMN3bL7kT2RUiNcA+mvQX5pMnByqchQkiPcnjEMbuIEK/kfhFmRX8OAl8rKOAe
ZQfVqIq3K2khcuWm87y3OZMsDo0dwHEAH0qct9zxVOd5DWRJtIqnVQmPfLvjUayj0NMMe47ql9Qm
eogITpSshPe1tv7jVobIlepQvvnVOsovXbWJ0evObSLGylLDDdW81kRmDRjuianXYmYwEdCOBb/0
9jyazPvPJ05KKN2OKiVsVS3ZLHpgGRUVP+81Uq5xpCqcGita/PlvtIMBqJYHmAIKSihm4PNu5Ptt
f45kva5WlcE1m3zTrlneyN8y5jSAJ0mx22gvfDRAB/4b6Zgyg+AanohCOq7o9a8leqz7c1O+8n2j
leg/HlwV11l1AXvkGJXNV6lcIg9jU6HBZFrWXRi5X/iOaWPv9UZBLzSeRFgJeJs8oaMiEDMILHv6
TOcRpeUsn8DXHNIFIzBFH3dSgOAA0BqM/zT6RFCFvL8JRcZSQ4+W7HMsRyoX74bB7OgXJjSeb+pD
ry5uG+SgBv8rB1b8Xg7UyI0C/PG5PyinrFSrdW9XGsrBZ3crU2rpqe062W4/OnvY+OuAWbDtDy/i
r3gJDy+AVFPK9F58K7WYrJdBvLD1+l3QGXnw0TIoJzITIHdcWO1D+fB3tTy8WNhXgQeC817c0Ig9
ohGIY/JzwaykYlWlRsJhDlOoBpWk1WO+8jFEuUryXdg0X0FRfWH+lRYOVrFk5mdPGLhJUYQiIZAn
dp4bozRjpm/pS5AX97E1hruSeom4xVVPm0jqEuCRnMiizw7mndjkUSh4FE4D5ixUBj8c0zOfajL1
mryyU33fRwxTDrrXHHqKUQFi0qMoWXDZ544ZjUjAzrDIVYBO4H7fRdnNpS6PmXPcXUfFquMj20Ak
Dfb5+CwU9ILb85CVnM4Z+yqjKQRzBsSHZywb0qh3JRpEg+BDUS8bTLD5PBzss92Cmnr71ugAe6sn
H02Uq+Pl+ZWaO9db2cRuJ1zFKp4/3dx+31SXclMA9F+P1nMpD/i83yXKAmBtcO6mGtP9ljZhEnS1
lDLnHdYGdkjeQpyD8XaqmWkWyP4tKwJDtH1m1MgYVbDZOZyBv7+mrvtBvS5SCD0Erv/5IPhQYPXB
UZPoqFZyw7gQXfqst6BUzrTz5+7z/X0XaaPWmJ1V6PG+tDar02m/P4Jt6+35fjwUHibxsGGYSqrI
GH340DXbAYzcRxVzliqjchLQNcRiqXHIv4dpgXGHnMrCgzy240cipWvlZUH83B2TgMjDowiytgcO
rmRoPbiWJXPmkNKMAe8uV6UfA690VNrPvkvQqOz0rGDUAoYVRjrXnYtkmoT2/DMmm0He9Ik7loV1
43gAA+6VQkJbUuTzPXNmRTOLjaJDVfsrv7CR2XZOAGfmubjfkjwpD1B8GDG0UKKaR9iwshHkKo8Y
5ixm+4jBFFRr7BW8xnvMh687dACMwoqL9d41FVevcie88Jh4J0ZWL565RBW9rShoPYYPhaNBtxrm
wyXlN7BdsZ31u7FK1SEx8qXBfw81o0lV4FzisGCREL+z97s09DWYPUpcHfgK/vu4CVAU41cMGLZO
VzAhPt+jGcWQUAkE9hk5cOaBQAW4tyimMJP2zL0DmQ4O6r/Pf3/myO9+nziCUfSKlAtqcKj/QfpD
QK+u3W5kwVo9F/PgmU811H+WQfojCkorYTtgGZ+IQfRBbxbu78I2kcCaRBq8oqDw+4zu6sqO+Xj+
+Q+FOpz53fcTZ14LQ0uLLX5/4oeU8E+359etrfqBli3ImnkA7kQRgYXCdbmUKxDl7r4DQ9iFx+dr
WdqqyUG9yfzkgStww/T77NU3Uatf7LNZEjD9+Y2AYIiaRphUKlLRj6aOWxntRnqzRd/9deIdWGaF
W1DiX8rWG4mj66cdsGs8xg9VmPKmqAdGRQQGcMgPsHTGYPb71XUJRDXjlNyd06TyN0LRosiVSYJl
YniFqFFfK/n1z/OTmnuUYGOQXkJ6EBETGWNGlFhF/TQ8a0fv0hOjZetWbV5CDJHbdAtVr5kLeieK
0IowCHqJTweMcvuINpLBByq7WSJaXZJBKIbSIlvhc5BBF1qlqf6+Wdqw6YEiHhQZ0RUCAnS+ICYn
7o4fS3RNxcykekDUaQANWKCoHdQlOQ/R89RCdiOH2C1MgmB5Cs/o2UPZmv+yPZuzohdAaPdLLA/T
Lz1bEbFnVJS7ZRpgRWDjdxdC0dnzuFkF4QMiQBKyKMRvJ5UKbGy3XcwHLe0TcUf4TCjzapqndMZc
11dAx3mTQ19B+rp0GWcswN2BTJf15jKKgLWXow9BG+/V/I40zuj0Bedo5r7fiZg+4UaEJ6BbIaTA
7S+ud97G1Vujs+mFZ3LG9t/KIAFWIdhRxRBUiOfgtbHii6IvjeWcFQAXG1RD8LEl0s2VQo91AayC
O6Eyugfg83OLtfTzRICMmUV5xif4+eoavmTWOGA0+nMJc94XsGf/rIB4iWWXYWsXBmBq2M9UaNVr
r/5dK9ZpFS8c+NJiCGMiDVna9sh0nnUB2ZNGy84LS5m9HRgwi8oj+kEekjRxlPhtw4DPHhyumRqo
fyudXZzrNvMaT8nv/wohjqROh6KNOwjx9dxQ/uc04mQIb36dOA1aKoRiaPDrGSJlVjNBtyNgSNWS
F/xQ4If/dSeHOAsvDNqoSsHvrmMq8PGS2oLJrJhukQx51o7crIcw7N3IdTBaWM/kuySYCH/OLX3h
2GfN7o0MwqTjPOgsCLGWywVpeSA/4K9glnftqez2eDwuQVUfsH3k3k16fmO4FDGo3R6v+zlY2Tvp
VXNOmJG0ed/rW+f6fGmzJvJmZYS5z8a87IJIgWt5jE3e3o7gcFtaztLuEZae96MslGusJrQrNdiu
r8fna5hz9e9UjbDzA9qSMUYXx7PbePvUPp9fa/A9qAti5hVNAfkZqCFZ4PDvD2WM5LSsBWGaTJqi
O/IvGmOcbIllb04II6CshkcerHIkuq4Fy0goZz6IdTXZGgwGkRFYANRywY+YM5S3YshLk6PDbGgw
EUG2ghVidctbAB7P6dWtAOLGuJUnUfUIAUDBXAuHff8J18PStZyzxrdCiGviZl099DSE0DHmMVYq
d8xs8cCsPb1aZf/inb+VRVyUsADXkdhDFmsxW3eV2Uvu/PyRoAYooRYG5AVh9cF7BFbnHvM9RgV9
pCpvhyN8ooWbMqdeIL4QkEFEBkf5bc+7MSy12IZR6XIcIqB3Ti/f0g2yMVquIScKK7bBWNTLv5GI
nIsM7DnS72S+f6S9oc4wVuEcqNlO9dZZb/Xrdq+tgDw8Cvofymy0/rB0Wg8zMCYLCqae/4olVGPI
3NClQpnDLApdoNXwlKL1Dex2+vUIfrfrFZ2H+KtaycCmCuA0W/Juf7OxZBRw+wGEvtCYidpKGT4A
Oz2aeAIvl1qPdpKhvry8vjL709U3fOO6+vN8v9np+X6QO0FU0DU7dZ0QNztt3S6h83B6DiEZvZWJ
I4IzNwc183qvGQyO2z2HqNcBQ6wurnoumvsFqfxf6cS1F1o2CGsW0i8XSN+YTKS5tmh71scabXIn
cN4GemotAdxmfY1bscRpY6oFU4sVxLqgBZP/pGsMLJ0muDzf29nLc7O1xJH2Qc7TXgkptKgfJhbS
XkUYyfgLTuxsDuF2NcR7KVV1Q8Ut5FRrcCJm6q57bXZCrANbdfyzYEP5ucf5VhjxqkV1VFNCDGH8
bkqUdbHKrdwX5fUbDGOfnRG+uTrc9anju8eK200ivmTMxMGca0GOIU61Sr2kf0EB6umn69r5clBq
WHh4hclVfNBp1F9RBkaBRxAJ01i7nShEcvcfF+/9PbYlJKkkVbYmPtB+NR3F2bb5l4EBBJ3WosRQ
f34ikJVjDHC5yo0acMtKDw0Z6r9e/blOCS3PTLVrbl2vfxZt3rzxQfIfkAYBiA4ShMOxXpwNCZJA
lcEe822PYTjnzPJN/620zcqqVM92f1KL09bBAfyKeqajZdt+rqwPOOxfC3jzEYQWhX2SRWOMj+AO
8ZZDM2t8SnaRo+wKSPNMf1O8LFErTrbl4ZwAUkDNEd1uCJHuPaSik0ouL0akdPM21yZiKA2OVL5w
DWfdPY7haPhgGEcFOsB7MXknZ2jiKzA56h3Nr/ZodzzgGTrAVcaC5s064reiCMPCdhQnJlLGnwFR
G23hLbV9jSks5fMqhQBhsipodq6y6eniAvXRnP90K5iwNa0MQlZuzPlzuQ0M3D5NRMPAkkF7BMJh
AhceKRbgNIUGFoqI0coqDIA9ksZzXhWqMLyF9WkIrYIXrLc+BjSZKVU+XSpZzSwN7UKofwOAh3+T
0N2054ewrVv6vFEEo7LcH9AGZYclhu6Zl+hOCmHXYr7OWxZx2zkUrt4X1WgtpryMZtz/Gf7UoKuQ
/MUq0+PTi9s+9aKAtVgQWIm4cVHSxhKHcPScY9yIG3OmMl4qH7V2tNt5qZa35Qlg64rXXMHxWXPh
vj8u+F46seC8Lpq+aJnuTLf6iO6HouZMNwvUnLfzmtdEaVVG7AaUTAtyHx8QyJUFUJlxYGOkecLh
6OKhkQc5AyxpMON2TUmVOmYjUJu5wUd7f7iWihl6oA/rN4KAmR2K9Aoor1Vnmtv+qZuF92zGFcDn
gARw6igGjvX3LbnxcHnPY6VIKfuz9FPxx7E8FuMqoz7bq9iCduGEN7RZLdFDzpiJe6HEHgQ8/F6G
BzSLomtDZiqjbNS23xYShlOGq2F4p2rQBNly1n1n+hAeOga0hFSgjunXwO/q1Fk4k+lBvDfE999D
WEi6aLsA2t+fx0If0o0U4WHMDDFFs+fRY14GlQ0zfREn9etbPooFSQ3oE5BiIlsvx7jLCqbt+jO9
Zj1N4l+lqrc8VrCq/DOUPzjJLMRkH8bg5D8p6Efss11e2dFoc+2Oi7WkeOmZTq39MzdYIn+Qg2LB
tZrW/ewDiXNqfbS0VTQQgGHHvecK5VtB42+olB0XbuNDIzCQsVDDf7aCOAEpGnwKdJ792SsvkXuS
wPeMLCj68KPcpMSzhObBQecAe8IWJOuy0Fh3R1WvIXMs4xPDmrT3saATc9ZJAowPDRMohqNh7f7V
FIIxlzmP6c9KHMi9kSZ5pHl8xH8pgzyaqVD8rYENP5RC4Ro002+oEChJlLG/ulhOFpKQj9ARWAzs
EI2WB9RdQDB6/zFxESRZX7ujIxzAp+W6hrweMzU+xdt2Nb5ThVVdZFvUmU0ia+Ku2oW81fc6pim4
niWjbRizP3Lj4psJ+uiOzer5Vj08UNPHoZkPMFFOAl0NYce9rKcl8IjSjlsAUNK1RY6mskhU89yn
VAwiyDEluEHvQ08VxnPJj4ZksqQ4pIncDgCL3+juxnqBTSpKO6ajHTwb7HGUX/uKVb+Gb2ldRpbC
mAGv9dfe6nKN87V6H5z9YMHxeLgi0xegkZEDQTbsOVmY5dmijCIAZJ1YiDt9bBMYi4JBy4fb+ksu
6nTd7q4jZHFIo+NfAOQCQnSvBbRQNH5fZbSjA6yFyTrvjfFZvaP8t9Sk/AgPIyQRyl81aEbj6IR2
0J2hC4h7QbGP/2qMXvdWoqWovEZrBVr5zKBV1+AlFSy0jDfnQb/+ixO+XTPhUQaxlIq1gC8BiGv6
iB2j2taLCgSivl2D4EhbqBI/tKxM7KK3AglPMq+9ok65/wisUYHR21bVC21aX2t4mHUP5sQln2BO
iW5lEjcorDyW8xoc7GZnfn8rewspOQ0cXUs09o+hMrE4wukJOgk2tpgEtSamGOdIYWvooN3pS4HA
nKpOGTMkz1jgKUnqWCFMcrlFwsXJVC/QPv3SKN/G1wgNEOD8GVS/0f+Ef5+rypwZAuE0DTMAOokH
Et04dDO2rHraMQVKY14pEJ4d2aUhG0tCiJMS2Ra3MIaQ2FbUfqvgVmh0ClKb52t54KGYtPB2McRB
xRJV9SwDm1rwZvYWf/C2fAmV40QOXEhGvMmA0Qm0GIMXZMOXVH7pFjykECb54DfE7FZOQemOMABd
ppRcMnSMg2pU7aoRuiARNMam/L53tIhbsGxz2gIQqoT8PYbUwhe9N2xiUchy5/KDQ2WMnVUbJlkE
vM5dsVsRxIIKSUyEkeIGZzy5kXqJvj5NIEHtctOqI8ofsaqA8RB8K3tjtTqCFPXP8wN9zDNiQ2/l
E3YMPPxonAyxRNkRSjS96Z/nAFMkZR38jt1ahGQYFxDxdyqGxSDH8lz80gYTRg3+SZfEsjA4OTC3
spitGqqKF2RMKyBfp9sVElejynEtu1IaHBbZkqo2aNqW88Ks3OL8fDGzgpCpFdGXLKFBmbgbGDoj
8CMXjg7jOyGnKvU1G02eX9DJR+gmTgw1ZWQVACXAnAjixII4QEpIdgfnwql4B5j3QXsv3/V3IK/O
PZjNwE/02n0EmgG4B0gKhs3JqV60JZM9p7e3X0GcXBFJSViG1OBI+dEXdpS4Aa3f/76ftyKIg4sD
JimSFAfH02CpliZewUEtm+3IcguSHlNR054KPPpCplTUQ02wBvtDBjTr6IS28J6smE1Zq+F3Yifg
dufV4Pv5wmbd5htxJBZEKDrZxxSIwWlBQqthFISv97qZ6jYQ4JK2BYLGcD7cw9sPHDbD+Dph2Nri
pJGHPMP9ksnOTbCCewk/+qPDDrtCalU/P9Ky7qF/qmsYBAxfQWNQi/3ej40csDZIVsElRViloGf0
3qSiSdmLIkYenWQvXrxCY8xmLZWbzAxH2wUwDQzknaZsI3RqLfUhPca1kA3I/TT0bGqDIqGwUhzH
Ylg0tNN6Xz17yuI3YCVxT1V+/EqC2hrBkwiOHx8tc3XQ2iGoHws5VaX3RlAr8AzIwapw9aT+AlWx
LnhXYRxVeqFVa84gTzS0cNkR3aGlkbAi4yiCAZTvR4ff7d5Bz/65wbvQ//Qm4pUYvkpW6ul+qiVr
J08/Xp5r5mMmEVt0I/33z28Cl8HDZJoqHUanr9bNaweUhPRGU2bPHYNKx+1bIs1+zPNAIB5XUUDT
IqJIibBmaYY+7JYRR8ft1UEKtd5TDDfAKClMNKfUlvd36OBeox+ENVgAzxeWO2PFRLRhoMMWY1l4
qOO9NoYijcRBTY1Os66M997Us8GKKUPDALwTCFwwC/W5wNnTvRVImM0RwwJ6WfBopy9AJsF5ao3K
UAv+80jvv5sIU9nACJKiF7H98YCgzPcUc6A4XUR8I1odjwmWhoIhGL0CEqwFIziJJt5JjAVEexUN
NnqwGBCeiJilVE0lNT6NUT9ltE5+VdFCvmBWBMBv05mDy4zsEi1rN1TKFhcwUSlUx1eK019iZ2GL
Z1xhEY/vf4UQZxrFflOLLIQImAnOop8lWCcWDKs4kTGY+RYIpi3ml2geq0OhagsmoDj5a3qT7sDC
u3r+NfP6jcYapJBYPNikmeVQQmEx0YR2PIn/AX+ZwVZ22UUGFV959yx2Zkj9bQJTQsIsFfQF4TPe
MrDLU2MN+krAzEgcqZSlfciNBe10PaX2zTvYVxtao0U1itdNP6pIDah+ypiZP6pUfonDl4UPmDvw
idkDyXR0VmEIzf39auIxkVMfZ+GGp0Z8z/OjaDUX2dN830Sp8sT1g8qDfHlANQ00tqleNweOWjL8
k8kkNRugS06S0FgDEhD2/isQ0+RiEIu0A5JNjn4pLqWiB3bl63ypg2L++ZqnPX0UhnwTN3WBooB2
L0xCCzjfxR7jMOj/DHCPOF5tqoU4aNLhZ0KIR2IoCrYPWwhRKqsXL6D/xzSjpH1/vpTZ1wDm4P+t
hXwwwS5cAW1NQX8GTOBRPur2koTgsD/Kwi7ujRY0wsyCezu7fSyahDnw9/IgC7nfvqyXGCoGntjh
WEPZt97Cz//WLh927p/fJ5dUR0XbN3TGOpzniYNa0XxwRBI8Z02PFuNUDbwxHTATIB2/mK5MThSG
WvKq13ppoYcIFXuVV1q8TLwXBIrZDXlshIIL2sdOQfxtpE2kbHsuq/CChUwFNqm6QUQzMvDlVVpG
x4+auxi9YSQdFf3pk7j59DGuqlP7csSLgJTSiIE5XdxyWjrWoBFIvSGaWlw7JrUYoe1qLUeUkakj
hUhYS/NEONAtnBM0w8b8JWNSmdcHsL5VKthR68zKh9E3Q3EUYtUVCuq97Mq+N/+NntxsKlHYr9os
URKANxw0lyP/AI5aC4nxdtQw5ya1ngt7rMrj9UBy9f9pyG98dOOigEd+KKg2ZJxyy+gmaM7RdDaa
wUr+a7JafRhfWbXeD1vZpHV/05xBnL7QE/tYFCC+YDK7N1/Q0PwgCsWko/SLTBkURrRUB4HbFrGR
jy8ebfT5Sk5lPS5NunhH36XeiqnOu8cBfOh1a6Tyi4Je/+f7Mvfs3W7LFGrffJSfCWyRiTAJMeYz
gDlx1GL3jQWL9XMxcxb9VgzxpAwVOq2HHGI8DPvktpJvtIrFIdWUVAtXddZdRz1y6jwGh80Dr4cy
im0aMzhoQRXAsIW07ia4tDZIxWFRQ3C0gWl95avsKl6Hx+4bpOLFlHJezII+VOF+j/uf7yB2Nsr9
NKPdhHGSVq9favBjbuRtOqqGJpdvz3f3Ee0xyYLnDw2H7//Qi0v7cd8A/c449GCIlhevwIKXAT16
9N7X7k91wFywZAmrOuuj3AolztQdi2QYxIyZxkSBmF9NxWmLSxCA6vKhdcrcjCPj+UJnHzAOlFwS
g9kycMDvtZX1fFeQ65xB2otdZ6neAGKz1AMzeyNuZBDOh+flYANgIIPiNPoopgadOtk0r2QYFvza
2UcLpTg8VwjYwL9yvxqcWSpUIPNx5BjMkN//h7kvW44cR7b8lbJ6Z11u4HLtdpsNuMUqRUgKSakX
mqSUuBPct6+fQ3VVZwTFCU7XvEw9lFVWZsoJwAE43I+fQyCkyBbCivHe+3ZvfYEvx3wdpEouTVRs
aKUO78UTYxb4wFFXCr1dplD+QLp1sIQ6WrI2mbre9+pYYrBWuE4HzmPAm5AHiSrjPvsbrw50jAFU
+q9xjYt4dmyBFiTyxAaWtBiNxzT1D3loNc1buARwmPMG8HarI3gV6FxlMiSx6D2/Qtx0Cj4jj4K8
O6BC+IPxHRWUv3MfntuaDIohNdamdSGehlse0QSExTnhXWpVQwe1yW2xyf5TGj2EsIivfw1uXM+z
WVTqgKi9DoOR3KBtfiWR5/jj+o6dc4kzE9OclTYIDZNcmKgNObGG3UuzTR81wfQXEiCzp9G5oUkw
kbVd0xMPhkg+rDmI1PvDoyu2tIDuYgBhoptOvq8BQYU8aKCsrw9yNuI9Nz55Kmgd85qYpeLJ1zeD
a2Lx0MsuIA1+TIGTXNjTi0OdBBKu3pVlI2KoZWFDJoPFay87cOUm2wXsbuBBJFnZQb0qs4XTd/aa
QRlFAXcbUnDog7j0F7mU80SMS/GU+MYwpndMTTU9eVVkt91DbJN03VVgLMzMGDUAe2iXHqbjlTk9
zSBICoYcBY8LUFpe2hdLxrnYo8jEVUZR3UPGpjc7g1gS2wihwys7EEdBNEY/6MHCy2kufQ6tgl+m
J1uFE/uiqvBiPZF3O1oRe1hjexY7DpKesQ15VhckyGAUBd5ZPcorqG/GoIQSeahEiJRzOEeGjHvt
I29w3fPmLsRfn/WNhiIkZdKOOjsnFA4o8q9Qeb5uYG7/Qu1Pl8GlPqrBTqIYj4P4h9sWwqlFatWB
6l+b0c43vAdkXRcC5LlyLmC+PNTVkIYBgGiyvD0jVezJHWJRU3hzzZsKcF3OPLqLbLpzg8LlgfIc
aNcg8DjZQF1fxJHXCsIJ0JM2alauzsxOLK22icyiyGlQHeJsiQX/eyMkTlsNswjMIy51KK1dem8G
fpqmzzS8vlcJHfwbvbfKA3l0aXKwovst2KoXYvu5+oSC3DW491H2RMlnYrGRpGboI104RXRb7Pat
E6vQWTA8U7677iWzJwNGB46NUe2CTFN0eVeAKCx3hVPQv7TcB6euW++nUq5TK3OK0BB9k+etojCC
H2G7zYWFgc6u55n1yTg5uex1l43WlW3NHPk1954ibV14twRp4SX9p7kXBqgrkRcadcEQbE/itg7M
UarSB+Kpd6LBgMIHGgLz4VmCIJcLrvMIiSKr2KfRKnmHmNK9HFsMGTPQj5O1wJmd95l6QHoMP66v
wczhCMzOCJJHNQQi1ZMLsBygXM00oT/peMUPeWDr8VLddW6HXtiY3HN1nzSKmMIGmDvslktsmZN3
CsiOgaos9qG376C9DrWxjLU2y28FACGvD3LxCyZbNy16sR4iFL5ZbwVl4xQDXuqlbHWIzgRuW7kQ
CcolytyKlm1ny3qyzssFkNTsTEMfClo8qoy3yMTdwLNcdnXH96deAtePqxpcGC4s5jfhIYRmINr5
ZWMSd2oqy9R8wEz3Tu+EO3/tr0vr5avvxAPbU3eH7NJavlXoj8392MN0fZrnCg4wD1pM1Iy/9vXl
WRXWROjiDhX25/3LmwfJFgiQO9UqMhxU9k+4d9FDUa5857ikwjXO3eSKPzc8LfT1FYAaig5gQT04
pXKj1q9t+hwrCy+vJSuTvaKxgbVNAS+qEog+63l9KBMNajzIufH1Einr/2EywTYr6ICEAJd+OZmZ
/9dk1lBW2u9vU3SBBCDpuqOYzR8arde5fX/8mS0s4pyb4oEEWBLoE8FYPJ6aZ9E9KAtBgkNQlBOU
TeTdiWBWv+4l3znJ4KRnFqbBvSB1YYGsFqqytEXH6l5xGmD5bh/gnGjJfNT3+r4zKvqeGGP3UEBT
U7Q69FA8oK7y8US5TeUQQ0Bzg2RARhWa39e/7xuT9biJzr9vssxcXBEvDfB9QNshv4isX2yHNnMg
V3xw14nhWDen0IrswknsGLJmqdFSDp1BCDquf8ncTXzxJRMXSLRWB+5hGE4AHMoGtAJfUpPtB6jx
2dctzTrb+ZgnB6SiFkKZ6ygEj1R4aLiGnnxoa2vfBBMevM1DkfIeUWK7TZ0l/oWvYHC6ec9tjx55
5nERTpNEV75sv0DwCc8uQBz9dUIRdlAsekcP77U9qiVUq4/dU4bGZnDypUa8R8/udhEmNHtZoIKD
dldU7iX0uFx+D+SGJMn1hx5zUTywaMWOmtkWN7J0nwgCNErSWqMQnlTX19dg7jkIpr5fdifvpFQh
tVbFsCs6CZA25YerUyOxVwsbfNHO5CJqglZqvQh2Ioi/8RuTDNQ4tUtgrznwBRDjUNtGLRCF/Cmf
JFRQAzFXWh5myPvt7UPurD2oLZvDI0txD6zcm4XX1ux2Obc4GdjgIY0vtLCYZ4eUQFhDNtoY6UQo
yzQ7f6+TG3cJNjQ7mYjogEcHhyRUbic3LohilFzugIXcNyZSfy9B5HhrXaF1ZGhLD+kxQpxulHNb
k5dOgLywJkY9nm013T+3GjRS1GFvWqRZsCSNR9w3SxiRqGEXQMp2chxoYMzV81YAyJrXjNrJ1Z2O
XShskrVD7zxQbtmlbXyme82jsXPcomNavgGNDStxFC6t6tyFBI5O9EdBARaSZJO4OSyHIRVkjHof
PntH1RA2RuWMnJyf2Pw/r+/Bb1Kz49l/bmxy9rdq7LZeMS7ndrDfXuyX2mlB8W3Dde/udAP6Z9vD
w4f1ZL3mxlPhdKfYWEFS1vTul9+bcyhsNIMisEHP29iUOTkQ2k6LYp1DLaBq5HTbR4lZ6LGGNR8U
qwS0fkNE8EnooKa/5TloS+pur26jVGGPgZLya4LSnBPyg3rTsCDGX8taRxpk9bbEPzSoPX3hBJu9
RUDIDUyHBE4LfPblyckNgZ9BxWPMK5iug1YQuR01h8OVibtRXx/Z2ydnrrZkXaMPcgnuMu60qc+C
Bl1SUcEB3GOKts7TTPNbhgx8OViD8CYJDz1n+2jg743rTrJkaHI/aCGEQ1wk+0+NenqRa/Q0N8cM
E5ot0R7PhvPnQ5rMZ6hIDENCGkVNqfk80tNCEqC1ih8QZCQWcioEbQkHbQtBPo7+XD1eH+dc6gE8
wCLe5qibfF/OpGh0L05gPisgUqHuifQhQwW0DgJD5j5drjB4zpCbHBVHWkK9wrMieXi4/hGzPoX8
gCBKKFsDPTs51Ks0c0FuXQmn1HOi7UD116fSdirIiDmW5f242WyOKngJtqCCvm557gLTx72HAjYI
5+FTl96sJZykDgXQg/UmonukXVoLTFfgf0OC6SgdaroQ7s0tt46kC9Iu46SDD/DSYBdpsRyM872V
fMo6+lR8pmjyyOgNRSkkNXQzh2astH5cra4PdRzJZOuATWN8aCCzD5mjyXGfdzh/pELkTxBT0tOX
3Huv2l3MU8iEq1JooitwYW7HkVwzONlCREyJ1iHRdgrfBbZXBYgpgEb8+qBmtike2gJYzvC0VnAg
Xc5mIvKcwnLYSJp934C2NRjMtFqgrJnrUbiwMnFPWWFl5gewMpSGt7kNjtGKt8C69g56Z3TpKyvc
iaukfeSzxT7zcZK+TaKsIkUHanAR18TlAAPFlwO9wWmrgRrX0+51YccSK4ksIEvyrjYLLqfdh6rQ
njPi8sTers/vzNBxOAiAeo1k3QJyWhP7mSwkzVCJAI+KR/V9hGJEliOoN/wzurNXQCGUlmsNh+tm
ZwARl2Yn6zrIEPrQGMymxVHpPQgJAlW3122tXRUN1QJ0iqq2buITEv+V3PHIcxBT3jWPemTmxUJ0
Mi7v5RrgY0AnDe0UgkK6Ntk5jdeWEd6yIsK/NYSWtktFm/HvX/v5kzlGCl1q43rAYLkK+hJrGYoX
SC0aZNimxb2scAZf7nU0bvdrNuyrZuFImsnQXo5vMtlIQnRNMo4P4hHsqTuU5MGFqnNyF7mvw2uk
3Kqtof6ERCAFgPX6Qs+E1pe2J1srU/tGygnGHoN0p7CbMqMcO3RPebkqAJS25HKplDAG0N9mWx5j
QHSCoxV3EszXYtVHJEeuXYqqGHBNqD6DM6SO0UGptop8H7kif1+XQWPmzTAQ6Nz5BBoaRaQoVM55
YAubBKy7dpdrwXZIoiyjvd92b9HQ9q+MT4afTPXyxLo+Ud8POszT2VdPngVDH8TQ5QJCqIAiN18q
KwnA7cjfkq40Qi1esDau+GSO0LUwAndHsCc0PfH7Z691QagyjaFb6hSQJzlfa+FDUtvXB/T9OoJa
OVhQgF1WIEA57YSqY62V0r4ZMTAJ4Iyx0eflmvMjU80ewRPexonB2FIK5PtpinQX0KvQpSXoy5hW
CVW9BpeWLAMkEhWh4yfxa9f43ELoOBNTwAo4SMDwjfOCn3Jppa2ceG7giyelBL4/3pQFDeR97YtA
ybp20+QhLYvB1Go7SJ6L2KmTYwJiehK+L2Gr5rY2HnYSgWgXMtJoI7pcSK+MaiVqEvHk7iFzYeQm
sdbBJtuWpgU1YMiQUunh+rrOlKAx+hHyjbYlXBrTlADna33NE5Tq+iOjJXLDiSGbwk1n3EQm+Rvx
G7LQ6MhGBRLqJVjYywHi0aSqQRsDRBDjJgKMMfvJv4pGAv1EDRIWPq2fFfzPu/YpdBYGOufBeLQB
BSyAgRV9wpemg17hXA7Bx8lnFHWsnoIwb11t1RsoLqTbytp85Gvg7k94Oq6vm545wnAU/Nvy1+15
tj3Rl5nEnphJJ6GJDC5z+JYmLaCb1hCbrr9wFsy8UFF1PbM2CUE4cWgZx2Gc/Gdm5jeSufY2iYF2
UPe2sGT0h4E/F9XryKf5Uj1tdiud2xYv57jSBjlxI9jODl1Fayc1oZKJpjuD9y2DA1PZFvNrJE9/
I+VzOejJnV8hgq8jFYbVzIxeZSO+Jd2OGPwDAow4XAgw5m5B5JUkFSfu2C2mTlwprZBc0/QOCJVu
2zVGo9OfHrEz3QQ4uvVfh3IJEjN3wJ8ZnArdiYOgD37T4NoFgr+nnUhFxLE79LiTTbt7dZ82Md4g
S6/3JasTT0Kiu6vyDla7ZMenRlk7tfK3RgbeCGXUDyPIJV16DNeKNTSZJOBtxMeKk9eSMJgVlAKJ
eMolqnHrhNdehPSzdO1YtMVwxbmrdkmnbuZogDLoCDXFLSqAQ+nyI2IQm2Z8kEqn1ujW8Vu99mzM
51LsNDr/5JY+tzJdxIx1MRoQYWVkaJNfOrN2hJf8ma1Rxl9K4M+8W3Hf4+E69rlDdGv6RO8rXDOx
8jUkM1nJ1ajt3d1pD+/tu/Z+EqkuUGUr7odbdPz6tpRR+S5deu3NnHsX3zAJ3bpyIBEj+IYI/Te6
EQQHaeOCmu5tmbJpJlK4MDVxoyDmQ7Ueh3s7UOWn4zn0iUqbT2bpq0U5s5ltgRYSgKbGqR3TsZfe
whW9G3ajrT2xfi56yfxPxxsOoiwAKn5BFs4ui1pUPKZLTDoVdvoAWudkdRc4pcnbFvsBNzGvX03C
zGNmpKf9t7nxc87MFZGqAYg7rhEt7PKzdQCsxnXI39a7+3rVLEp2zm4CyEipSM0THoDZS3uQEc2z
KK2lk5uEtN00kiVq+/AtOILDhcqHprjjh12ZsqVxzvoidGPQVznSvH/RJ56Nsw6RTGujVjyZz+Jm
wFMlNG582p3a+5FjcgmvMwMyG3NUuAVkHv8I8uivZ+YqLap7v8oALIEMDm9GuuHW0BOHbJYoRZYX
a2bqxpiDXZYFtM0Y9aWjoCIA81ur6U9CvPWHTcxEo2SrCiCQbBeJpurft4IhF4byIvl4Xpp88zNG
HSVeCpXmJktAlUEfy9zIck82rp8BNd2SWjw9mtDGbVbryIBSIg5HvPBytJ/eiVuzBG+jAUad6/44
Q/CCiTszPdnIYZuTKPFw5/RH8Yhin1mZ4AI1dUoCKj3xhWX9QO7NgEjGjx/OTbNfpYud7XMh8fgQ
gEYgtH9EPA0uF6/z0NWli7jeJRoiiwOCM4FWBhpCj+3feMtfmJrMtOIGwAkPMPVoms/yJocEMkeF
PY8AbbWSF9AuX4qu0xsI1ASQexUVtMJN39LIvqleEeFqJc/lK/+objuzeZBuIutBNZydAA4Zn/rH
4nR/L51OBaXWU7raUeRz74+evbAjZ7I05PxbJgutdr2USpwGODY6TcHJZBMZyy0vZSzmXBn8cWjt
B3YOSnqTp3FDclB4aYN0qshdqNMkdTyrQ2iYWkF0uu67c5E3aDB/2ZpcDD3XiW7PeBzdJppj9HvZ
GN6CEwcRnF36qtHNZpUZn8aC1bnc24XVyYnaoNpRhq0oncYSQE9Bar1RNs0DVcyDtdsVVLRfh8Hw
V8Qof14f8NxVBUIbZAUgkoV09GRuA7dKhzpS8NLQjKbxaHsftj+um5jzEigBIqEJmUmoP06vpyEQ
ArHE4OIeoFy9oFK9C5ONvxDRz/SUjc8WsGkgLz1mmSbeKFaepiYchtKinax/9J7QO3wowcjQrChN
du9wUDyJ3xv6wVlvUkn93hEWZlOZm87zb5hEoSWRfU8INOnECOPQ1hSVMXFSadCf9NzPT1XE+gdP
IOqH4upKbbLaRbu4zPnqvvMG9ALqeVMlVtX2qYAOkbwHKV2EEIMqWcS/iQnE6SlrUFSio1wXMSSP
87HdQzdF460QxshTeSR9jxU5iW3FTVSr4Oq3AS0nN71fZw1tQc//A3j8ej0IXZ2bic6RkyqWygPL
0vggsqJByqISs9xIe5A5GVKqSJ5VAtHk4b/9/kfI1AK5UiHLVpycIDCrVB2Acz/U9hGR4lUWq8PK
zxTvp0hQ8zVqmTAjTqsUmlJJU220VOTWcZaqAY2FTG2g4RrXKfrlY7610gJ9mBRcAoBOp37xysdt
wVOlbWvXQKdu9JZgqkqKvATf0OteOntj/Fo6sGde3hggaURnpwr3CR9yDSBncq/34FtjlFv7W9fS
PdvzFxJyM5XAc5dFsHhps9eUsk9Rcj35O8Xw729D0zsKjgBiiNiKHbKwEWdqfjCHCjI6qLHbv3UM
oCU11cPUhXda/s5s7P0+WuUAJkHCktyCAu2VZYacm0psGBxzzIXbYn60UFvFIY4MJFoCL0dL5MDt
lS6RT3JjNtxxYMfoUUajUEH5NXxKlcBYVO7r7qZfwsaNP3l6aUKA9S/L0xvEY2KSDSSQT/qzmBmQ
9C0cke1Y45TNYSEcmD0BEFuA7h5nKplCPNATmhRel8p4cD/r/b5uABpYqF7Mn3RnNuTLiUyyXgwI
DxuFvd+CXQSkQb559+Ha3q4xqLVZ3X+u1PWjtvj+nR0cIJPgUEVtDNoFl4Y5aeB6wRvk0zaAmesb
cAyTvq3R2c+eRGw1UseqNP7s/mSBoB4AwOs/f36DnxmYxGkq6UJFz2BAC1eu4wNY+MwalPRklPPU
DIrjR1Yr4GbdtdVC0PYVbV4b2+RqytUEDggybmy8/f7l1gZai7Y58D6gG9zt8vXNzUak5j14rD1z
6Vqci55GmOtfazbZdZ0XZqHn8/LYdrDvP1/wHqGyhQah9V28dbLPpx/Jw83mBATJcYUcwt/a9L/M
T1GpnJDxUhti6M2zsLsdHwAgsVeN/va+AvrRCRe8aPaQwYMNcT+epwDZT6a6G1gpCAGO1FFzYd8b
CTErq3/YgGjnp7tE6Dg3t+fGJnOrd23oDT1BGkG2oo1qxHer/1w7cyS1AkZDh044RPnIZF+kTeRV
bh3LSFXY2Za3oQ/yc1Uvvdnmcgh40uMKAjkyAR/45c5usC80ouKEDArD/bTfcjrq6tA3fXu7/tFY
/p1WmDeGFNFTc4rM++tbcy5CBNAPHU08iOjxBZfGY7VOpLwR5VOovOX9a88eEu61F63rVmYAsZjJ
MzOTMXKSlMZKKeH0eh5PTd9oDiEQUzl9e/Coj/0gU7rjjhptd0ZlKJDDBSq1p5ypmyDvqlFxuP5B
s94DbAjQqZApQ43sctiZL+a82KvyiX/hbuPWUeo1E010UCiHv2NIGWXO8WzE8l4aUsVc0Jnmk1Nl
aootvfHuKk2tJlpl+ud1S18SkdOTDrQOKhn5vtHhPImiOM/jsiSBKQYtUZVy94M9SEa8ftnboD+/
R9Puhzcmp2IqHONPK6XRA7g0kwO6kgMT3H6n698zV81AvRlESKqERB+IZS+H7iacLng+XMvct8a+
2EHBQw+N4ineJjuy8RWjNpZ27Jee+nQOzm1OrmeNuD5XxbCJQAPZj1GlDIy63b0NN6POO91ZVW5Y
q5GD9Wg+Lgx4biOj6QjwFaCdAJ+dHBdlJY9MBzhvufss1m0pftb8Owk8QV1qgfgs7DJDyx2EXxy8
eykJP3vHnluf3LFy0AxM1vpx6HuzOOhPKo/WX6qFxifo71YLYx2d6dtEIx044oRHjZ3JRA+a2wlc
oMinBO0w1Tp3vMJIfdWMwgZ94ZrZhWblv183OnuXIxT5t9FJDFQHfVpmCG8Rsz8+u1AeVOn+tqTr
j/ZwODyx3U4yoKi0Mh6XjouZAAmcAcAHIH4H0Zoy2cVRHrqhUibkJH6CpKRFmtcEWU3HOdcHOH7/
ZFIvzEx2DJO9OKq6DIcFGTJnCDXMKReERu+iAnHd1Fy2BdBuRLLgEQS77vTJ7ilRRoYmJyfkIulI
mXrnHBwDuuD0HnjWha0xesPFwHC5wRr2BT/iq75g7mf53Gjg8zYmXntKtdgz/RoDq1u/XrhlvtOG
j2ZUHoByVP9xsE82YItMPCk8rTl1t9GNYEqrZI+0+Af4upzAIPunypLN0tSb48Lw9G+7YWJ4svdI
QEIwx/vtyVNu3GLL3VdrKVkHkLrRaFO9quLPpDd8Q9mh6YbZkW+/6a+xbCV4nus/xLKklZnc5Waw
z099vY6CJ/BTxKIR73yncGnZoDujNEuEzZb3wG5ZbDQ7/SSET1pi+Gbi0SK+7TKHQJwYimnlKrtX
8kMhVLRAgxpHw1X6moMDpdRtT8Q7V15laPPdBACBhrtEMFvRTIwINUqaAuFHNKuVAEcRKxrddGP3
/j4nCUVjEIrtFfcENhPkBWTL38tvYbnY2j5upW+ucraGkyBSdwMUozW1ORE09D+WuSFV4EPeCWDz
w8eoR8JZpW9pd9e3w7d44GsBUZMSUAiHtuHkONMiv2/UcQEF279VkatyPQhk/L/ZmJxeDfRl3SKD
ja3soPst24pLe3reDX+NYuL/XZf1Wu5hm4Gt3kxvK0AVHiO4CM237uv1wXzH2kxmbOLybZ+npBFG
WxTNgoStpNgixxuXZlQwcrvdCsa9viSYMLtMgMDgDYzgDXzucJ6zcyTplbys+AhGq7K2azeOaS9E
ncXadZEAcdRV3WPq80uMVd9xoeNgUcxArzOOMWCpJnZZmKhpg6ULwxd+QL+aiG6YG6hbj3jikqcS
KCc7R/kZiLvsg78tNBO6AlSuD9cn/VsuZfIZkzkHbrJP+TRsx2p/anMogxcYsmsFqOfkt4kq2dft
fVVLv23Gs3FPNmNI2CB3FeZbzu3Kp0SHZEAQrgvZrN4ZoeoABQHo/3qGctACK1lH6oq9Cx9Na/p4
Ylv8TwEoQvZ0/asWV2MSvJd+UDM1iEfXY/Eqqu+IYPhvXvagGwmDYmT93Aa7CFOS0lIxI24b9AvH
xfc6G1ZCBTsDQj0od6C4eukQqZiUdZKR9lQq20BBjviQHnTJqBiO3B/ETSHHRlIar3MCcQW0jIRU
vxOCp06yew0nu9Wh+YUgl9tSKXSkdq/Ia7KIs5k7Ssd7cGSwRBA+zf73qI7JYqrgIwuqbMIOC6gc
U3mtVI7XOXGwichLqR+IdL+wQHPXPSgQRqYMSeXx8rmcHQmvypJTqg7yHTshuCuHzhg68E/nwSGU
XjqFB6XPphBtwQ0tLsDH6S9FvYB8nT4F0OQIgQINvXoQ9uLxvJ34bsS5aklqNFk9y84zPESDUtkP
PCwd5iTQuzGAVOtXkY02kL17B2SVqexTQElGFUyycDCPx8PZNvr2KZP54AApA5p/4E88YO1S1NKI
vwGY200Wxjx9A0wNCZPzUQIFQxNxMFSA4TAQfnbuQcszCm47ixTEriCDuZXqCmQ5L32dLpwWk9Pp
m/FJKsELhkZmJc+fKvbAXt3kfuA3QbMKBFOobIVbSK5NroJv1kbnP7sKBJ7TKq7H8kYo5igPQdtC
N6c2k+I2iZZ6OxbndbLd3VjnO0bQhpmuecsr7ZxfpdBrBeFOaFQ4/VfE6hbpNb5Wa+o2wFuAWEFQ
wJXy9eA/H2JQ9OogYjVRDoVsG/RZ7BB82pCLAPpSeFtiuJkd5UhphKMCyjuAeV5OaR3yYEUFFP8U
yhaJDVKtwrUurfL+gCDSjz9L3Slw4wru+8J5MbeWuF55pA3BRgP87qXhIcrV0O3RfibVvvuo1H3r
dCIqaiz1RColfv/SB03yyGlSuBZ4tV8lXI82vJj9SIbiMxKS1ilVmR1jYOFuByYCt8ST16wPl/R0
5zYyCuHoZJJERf6mG9wlvM9iFx8alHaN29AXHGZKWmpcn5BpuuzLucdIAwgSZcRKTcLRpnHLFuUM
EIIWJupERngAS+chOSpW+LN1KvDccxaxdqodrInTmsmat3OUykBueoxMfQ3VAsTrgc0tnGNf77Sp
R55/19RDmCBCNRnfpYofShKvGrsqocuItI7nvajQLDOl1Pjz9Pyv9+6/vQ92+NfPL//5P/j1O8v6
IgCR3OSX//xfdVkVr3Hwmv5G6+Ljtf6Nff52X71WQVkF7+X/jD/s33/5n5e/xM/605b5Wr1e/MJK
q6Dqj/VH0d99lHVcfX0Fvmr8k/+3v/nbx9dPeeizj3/8/s7qtBp/mhew9Pc/f2v98x+/j2iR/zr/
8X/+3s1rgr/m1K/J9E9/vJbVP34H+OkPwPeRPsW/edS1cOy2H3/9DprR0UMsgux+3K0pKyoff0X6
A0BMdI2CZAm5EuhY/f5byeo/fwtBLOjaRwKmscFb/P2vb7pYiF8L81taJwcWpFX5j9+/9MnO/AGZ
EGyksTUVWCdU/qcb1wNOnBdbL7ltSVY9aEldr9xCCt+EpoDaoyc16VOgqL6+4lU+XrdDm1sq61DV
1sMQ3ext1RerQNwHvc86KweV4V2i69ydxPfBbZjo4lPfccGDQEr3xWOtZLGspVmd43HP+L6xO8hJ
kj6STx7X1duKa7g7TswlM+jc7iS4VYj0VydFO79Q83eX72wtaqpj0EW4IcRCblRLlBvmGy0ZtE0i
Zl1pswr02bhM8h1kkESNfi3qf+TK++C9YCX7rC699NL//3mbfaT3VfHxUe1fs+mfvPD2/z/cG+md
a/69/+iCd3bu4V9/4V8uzmnKHyrCNAXnKgRRZXFMVv3LxzlgAP/AZQQVNnBMAUs3Ig//dHNJ/AMX
I4TiVRXawmjrxRf85ebyHwQSf18dGSASB17yP3Hzy+sJzR2gngfCmocwDaTo+GlyoJAaIUhTP9/7
rR6oZs7EXriN5DwS37nCFRUao61W3lbgqOZsNwa9yePZXP2578732eTcxRdg3GhqwcsTtFZ4bYz3
0lkkELQBQNZQct2xEhScptgUCvBRniTU657ofrYBHEwkB7couhL5HuBr5U2cSBVLDE8ovKGlyF66
aMFd+K7xYv61//Fd2iiiA0SoipPg+3fhXCKV0MbCTmyrGGy3TMFbsAi0FiKjYeRBFSUcCuWm7CS5
tKOk031Tg/4U8CdlE4SHvI+i1pDR/qhuCCtrwVr4vvE+Ov8+HRoJAD8J2qiWDfq/yT0agdMbjSME
fJBKMNQmD3RZv5UyTjtwHZ9kn12UDdVWiCRS2iCSDMAjLqup9tZHfg0Umk6KOz0StWbriVUC1VzS
6MGhTZuALLzsJ7EewK4QGYAcF8hZgM/AvycrLLBekAGAE7agrYy7dZNWmbvOY20AYVDeVaLlK0n6
wZhfH6OoiHoTUM+SrEDUUS1RPI6mziYNveGaALVuJNlGx8N/XDpbGvjgYwen+lZ0VfBL5kJSxvu2
HSRCh6gOsx+Bkle+t7BWl6+HsSN95OYDahuseQCGT7t80oFxShr21ZahTgpJwqHIgVpVIp43kmog
+cNAipCnXCoHnQNQCf5/z4Vac3fdZSYeg88YLzPoa2DHA5I09ZgEmrxNmbb5lu9CkdvkUoPSoJyE
qOLkGQvYAv/W6ICXc41lBy4PvWoomevaOCtnG1sC/z3oArNkKxYsAgNPnTE5hxacnvqdc31kaMiY
bFcB5yvAwajyjsEr6vQ4S8+tlQEoLBmXAXvDuJ5ZHlf2n5U09M1K8gAftOBzLDVCPRmMQg8RbMaN
vE1i1SWWm+X9raRWBW0iWV/3WR+bai4rNAmYtnWLQLRaMW3BRtoB7FdUzSaWE+kp15V2laNt/a7V
lcDoCoDr8AC96VCou29ctc3AkKW7uc7ZedAFkbzhuaGruI8mjku0yOb1p165xVtWl43tcUK89qWB
3BRp8pbUGecQPqr2QpeBaY/whaGLrrCKBw16qGIuatsiEipHG3TtgeuIdhswPTUSj8m0y5hq836W
7IqOIfHO8YMP4l/wdHscWj1w4J8kRSjufFWMaN8kkc1qEm6UlHlO6ianNouGY9OKnaUMUBRqhNp1
Kh2Nql7J/Nesrj7VakCeo5WjHFkeIA3dlhvMRKmgX6p3spGTAsTvmAYJnM1ydlNpmAmBCwXQe2TC
qpJA4NwSPnt0hTaxRAVMCkgtpcVrEdWi4/ZEhVatyx68vNSsgXfBj4/mgDetFaEZ0OdFb/XM6/cy
iQ4luu2PYAuvaaVUwhGCItFdw/jmswlJh7QI0dMNUM//m7ova7LU1rL+RTgYJIFegTPmybkys6pe
iKwJEIPQgED8+m8d171fu+zbdvRDP3SEoyrCduY5gJD2XnsNVwcouoyPSRKRPMU3wSCv9qEp6MhC
KAvRE32mVQQ+N2ZY6hJLT8/rZLeCNhXsyzzj0DdNz2IYk7NsGEBZopY8lapCWgn+txElvtqxgCfB
TVyb7SLEMH+oAL1/EjCqr0powsR9Zz17jrIquQ/qBnEZJNpy2Ti+UzOAPMUIgljazPPCcxLpXA1Z
dHBKNQiEGa7oG6TrDBMeL752K72JI9MDAoRTZy34Pg2UoMOzqgMsLtggr3Q+y8p/pRE8TldmorwX
HrLcsV5vHGSfH90StGve6EEcmyCYQbhsU3uUoX6N67D/lnganabMLAeRqC5vWO/uVIo862kR+zBF
+NccqtvZwwsYD5WOL55sbblxPCFHthSKrBbaTTp1ezGnXR7HxhV68dstqeRQYr9wOzhRVUM+0eYZ
dmYXEaMt96n8xpSsoHuoT9Hkh+eINm+AwU3eZcLuU50sQMXX8BPYsAdHB8CS9TxdfI3sGtLO95V0
Czh427pL+k4c13p1uzbuuiIKKo9VR7Jl76IAxkdObHcLSKaHOBbTETwq+TAm3jyzrRruWtXWD21V
+4uoE7XT8Ge4CSaGiHmTOpoU26JnlVs4vmsQTUFw3tEUA5A89f0ENWXTrN+TqY1pIZH5ATxj7W+j
xoruBp43ff+x6ao++NQ6P1T4JdmCAA7PU9HcTnwaxTdAh9EPhScXv25jop/GK5mzXEZl7V0mIFd+
46luq1c94agZ8nZrRXt2aLa7H5l0bi5gZGzYM0J3wm86gyUMSpVZbw+OZMBG4zYzYZnUJur3P4uG
MWDzCKp9Bg3uaW0wysmNF8luXcIubItgXQg0uMZp0FYCNzeofxpUHAa5rP2eCxk3p8X0FTyCYB1K
Ti4JGp0Hvu1um6gmaeHWac4u9Qj6QGEQpdedqcctGAvZrVJf1qgn7i7FTkzITsmsR0kXIQdpe52b
bgXfqorhTTSGM9+KpB9qsyPYR1khU7mQC5162t0qLtX2QELl5zIOlq36vnm8H7dIwCbvsUZRc568
2V5GjiUGglikUboxVqM2SlVb0Y+rinBvTIa9ozDwFDxvsUQGV5lULMSOO22JM3LIV7/1W7VPIpu6
p2FQdXeeG4ZkDzuuGfswsEz2O2hHFj4XWJ2O5sjzm7IcD7ZCx6UQqzd+H7e+GUoFRo28iU2rm1PI
3VSLYgiydoGndogn1OzSseVa79uUjbfMgsa/H41KnhIU6qK9KLjHE1YEvVJiuI16A7fjGzoPCFIr
FHzSsXdhlw+LzCdLiIc7j2rcY7zGx0MbSmfw7jv4NCNwJBTQeqiumxgMizcTj2XUhek3PoiswRQi
QvRana/O+mCXCuPSA61Vv5dtU6eiJI508wFc4yXLg6TJ5IX2UVef+QoE/ZWv2aK/D+OCxxJk4eRM
iZpA4LRc8Md6QGskMrWrpW3FJR7Hbv5sl2UEbI7AX/gI4XiqJPlOhtBOSZ5sFbVJKVCx1z9gaqWn
xw1103bCJknMUw2/tagYR5SU8Oae6vZlsqCg3znjN9ypJlJJ9QnesiO2rGoe2upJwSnEEwxSVE/S
fEHBTzDY8I0SP1qFd3sEMjg6BVvUiihpYZjmY1Qwflxn8SFQvHlLaxEB5kdAXZ+BZH9YTadOte4r
U8yqInc2oetnOprqJfKOn6cR1KCljaYy6yP2ipLxTZm6PeHyxv0yoj7PebIwjH66G0Yq2OEhktBj
7jhI+8Dn9R08friOa9IeqgzU+MAOVbEQOIDm8WRObK2C51BW42GLJ5wt61UQRlKJj1zDxwn7SskN
T+/bFBlCvOVIX58binmWinINc1Fkr/N03qnNYZAfUH72cTDvJl6Da8VWbCyZXDsEhoe2f6JZ3ZdZ
sM2wPkebtJaKi/7cZFmf5DNVsAmiYHyc+EbCU7y56tgOXXRMItfsxLBU+7ZZXiM/tBAh8NoUfGQq
DwdCb9yK3C0iqLqJBwDfeCb9jRuxqqnFvW4mybJ8HCf6Ja6n/pCIiuYI2diQwjiPJztm6lFChJBn
ifQnvbVmNxrxnWyDflIQMeQmSiGQ2CoQtFbZPEmBX2eiOn2h/RxlxUiy6aLDEWFMvpnSe7Fojioh
oZAchFtUcG0Ru0KD2b1sy6SHHYKUMHxyLmkwBEoRKb/Tdol+8CrILsKT5DWu0Kjl/Qhmg5kCCOt5
KBAmB/APMb4UTuS7BoEnr10Ue7pPeT1kn4jmtbhzixcGgU+kRUdEjUAJaJqmhBfTGOfTmGkUQ/Gs
23xDeaBy0c/Tc4vD+lzXbfwlqWV10yVLfIrXXl6V6LU7JHAm5znS4TEdsrUPSi05uIrC6fm81nZ5
k1bLB0s1CipcffZklYxw5rO0+zAOQq6lhwDvrY2T7KVNxXputJFPtq2SU3NtOkviV3MK1Yo2WGvA
p1vn1g7yXkr2IZsmtvOIqaqg3uiqb3b2/JVGLWQRbJ4s/Ksw82iR24wOAWmSK0acKoMjQz8Le8Qv
hnuhcmELdwhLMKBYU4uAUD3DwoAnPJ+SBOeWE543RdxqDMGgfpovvtX6s8va7jnq16rKYQO8vSVJ
jdiGcOrFHpAdT+4wbgnBFAoHtRS9luKWdnjtz1nmzYtFM/qIDR2YfRT24l6vVX+084KsnzXs/d4s
bml3tVAJ8kl710NpFbJ5zwe/3tYJq81R8GZZcH89ptp87WiQV170N7Gvg13UbOv74NJ0t+o2enaz
gW1hso1F09F6b/RKwZKpJSKJh/ZDN/bvkezIEReI2CNpdPKGW4tBrN8mU8ayjdIy3DjbBzFkSHVj
xhvEVEeHhM11qZCbDb6g7ht3x1EfPqg2XF5Ymy6wxBXV8rImI4Q0QnWXbu6G22kcbgPl7ddF2eqW
9Sq7j10DD9LV0yORFRty5Jbog2/rMwzLBfCPjsQF74S+bKHAEjMxprPYLYLjxDC8wsQ9eM/QqCC8
Iti2r3hZ46EMEzZ+6ls/vVMyLgcyZ9/iEQUmLmfOkDO7JWRGubKguWq5OJIW7digs0CVUVt/V5lg
52DBe6FBWTjA3Hk7wItGo78azW1se72L6PRlxqA/2yNesysDUDuewRCLSwdG6THw87QbPf1O16Ap
IzPc1Olc79VS8ccQBkIfLHqAc4gqtog1X+7sUkO8l8k4r9hmd60T6UdguOYuEA67TmCbgyRdnKdk
Sk80dBPykgzdRUMbln0GhmZA1OVqw4rqBwwgtcKywMoYP9qx/iyXCu+IGqNPZBHhfiJ1eOpHOEhZ
ZDsXLjPHqmIJqjE38WSPuSu+C77QPmuHqtzC7qtO0qYQfcARlBMMKHSsP46s6kvPZrSjQVfvBl5b
dVijZPnqF/IyEd2dO8PqMxUSzCC+PbE+SX+gx5LPDn3knUDnYXae+W7cLVmwPFUEBXKZmXm6j004
prd+wNuVB3Gd3TTDGrZtnuqMznlALRyXAunZQzvS4AOmADw7ZK5qxVGMKfiUU2arz6h9ojKzHPl2
ng1PISioH71W5iDbidk8qzs0ZVHUvWZrn5SW9pgcjRXMwjq6ALfh/amV8ad5cXCHaVbUUapyD+Ok
lrPfeI09O41uKuZtUaFOeK7CzBVCDiOw9AglHeSLb4rB0N4kfXDfivhV2Cg+ssYDoAr7hpUj729n
zC/2mbbpjWoIvoSbhq/YykxeN8H6JqGC6woCQ9LTBjPq0ltUQcXIWLDrM7ferTr1F7zbiHx0hF9W
1YC0UHVf0BqLxw5tSLEGKgaBwWKt44Q6rmPMEDtYoyjDOmkAQKjuNMhV7Hzct8+CT+4OM5BwOrrQ
xwUmrcNnooLp46SUusNcJSmiaVDHvlXBO0A9bOJbP+6xotPumMXBtgecuvmiTqroh16ILbY0RUYd
IfWuB2S7M1yD/BF1Gu54soM6bpqwM+6IHB0WYzMUppNvjdXdQ9z1+omxpCuaxKFVDPyVbRd0t7xF
bRaOC0h7k/vWkk7bwinD5MGMLcIO0276vCFgPg9piwZ1xLmN9Qf94A7V8DvFr4X5jwcRSYTRQ2Sk
hEUEztpQxeYmISq7hQEJuQPklTwaFwuYLw5pfHRNdTOMNVGF3Pq0QFfTJPkqouRg22BZdxQF4DN0
heP9nETtO+8tXsB2C380ADRQ2VdoV5d1glPdEFbPJLThnWQujosVNeFlJLHd63ZyYRFFIztPVZju
zMaXQ02CkwunKK/7INzXkwGx0NhoIzladPt9Bo577SZdOa5OHnpJtnwjgn2GI138vgGLgQBxxj6G
eh83LDPpXqNk3eEGfO8Jf5vqLii6gfAnskXTLlqgdPQV5pTRoqIiUp05LEqLU020wsRyRXqqNpG/
BD3E7KijKX0LY2UfV5c6QCKU4iukN2hp6QtsK9Z3Zsy4Bzo5IGYhgadVHKTTp6FePFgWnro8CAa6
5hz2vuCQsHjOve36z/3WL+aTh1YFqYIRd/tohKloPmpJvvKhXr/jsEQ+Hx7sxbhAlImEEUNOF0+e
Z9ImLk+zUF76IF2wY8azm4okq5eyla5rbwAZVfWlYllVGpizRV/CpZ7SY4LNbi7RdtE3uDktL32X
6KWBDrThwchzETGrLjMW9mzfVha5RTG4drkYFJ3CRkiWG5IS8R7NikhOsy63PmqiN+FinocTedM4
aW9D3Q3fgZWg5JjqwJGHzkZqlVUZZxKGMAVL8N3O7vceRjdABu7GTqGXbJztyQEIjAVvals5joYU
ZdKNgrDO7ONpmsZb1WUaBDJf4d9401RjgLqRbgpvWJhq1+dahvxum9OrAaZyxH2ouSW3vQ1GdjtB
uMo+z2MSd7fbsvhqV7Ee+UxpG9rxMPZZgDdwUxl+yqseIGLTKqSOcoUH/uTjZMXUZAwHgWeCL4Ye
oZ2Shhym39tnbNzV+jVoeGdtXiEStHqBV55J9hFAagPHxjobvrccMY9P6Rb2APWmDUPSomOYfB+2
edDNTbbVm7ipyebShySwsS5gv9sC/ZU+bvAXiRQSaqEnzhQ2Q5AO0vqU+XYWxysz9q6nCfr4DXLd
9vMmB0zch2pD8zj7xKQgTcQmzc5WBPF6HycGjX+XIlz5Rk3R2mFv7ZtgiHNvJOCJSdUx2l9eJcPD
sgVTuJcpMUBBOtTSJzX3frjJgjrQu5AvKTnO2GmAu7uqXt9oLRCWWkRuNIjUm9D+HbLIxvaA0hRg
Qd2tYXTybYaGARMLe/UOpX44h4AX5pIg+6i7XcZVih9ggE1oghwq9NMUjSrab3PIApiJ+d76H1uU
aTidpfWWsR8pTYREyvlssJ6iqLmOc6TEjU8CjT8r7ph7omEfoy+1bMPUiVXEtJe+CZW4GaIEnz1C
68g+YjMW8QNqIaFRIUfqMZZ99N41CaMw60e3ptHDJ3rdtTVaY7w5E9B7UC2dCJnfqdZCrc0XTecq
T3jAfigTRO7D0vEEj653WYi/INW5LhbqCWW5pZFE8TSkYH5tU1UjEAABZvSDiaoa8PDqswmEykWc
Y9OkZK8rgU0q0hbiyLneQBtX1RSPe5TJXuzICr/ZPKjZNj4IIXCdjZEdgMUtFs147ts6+liJ1Po1
N/VCEXqAPnErGJbGEUfgwi8bSt1gdx3KkNtxM1Bi4uDf4seGGKjnl1ZjeFcNiMowPuP7rpsHC9oT
FAMFwA5+g0SbFQzX3l2Rs67Gw2RZHI27yqIi2LcJWwYMbqB4LhcTdRixqwm1FTa+VZ1HR/BTJHVp
hpoP86CzWTJM4Gk1j80JFY9z2+7nxI78/lh1suroGWJ1PhTKpUydKk1DVfgucNslMD1zuRwm6/Z+
hp/8jm9uGe8Wo0wP1c0c3GBxBfxu1kRCfD+k+omIqJveuYmCoPQp6w4AssV0RqsZ+xvMh+Z0L3TG
xmMfz0P4BIcrD+/XFUSBkgehE3dqgwgBsEJkxtuVjLxEANlUIeot1ahhR874BY2RavMs7FaY2AA/
Fmdq4xbgLuH6zfEBKr+rlAHoWpRYXnRX/eRXuFETpH4Rp774mbqHesAjOvo40uYbiOukQ1Eq8bjn
Wg++hBdi/Jb2A943OU1opuKtnr4leNTvwIi65Gj5Kv2erTyTZdzKKik9NgZY2OINwxadoak/9uN1
aVjR+y8/X06rI6zRLNRcHUO7pQ3MjWKzbMfRRb0vGxYDGBxmuZlzLAa67HsUimxvNZBEDIWmMd51
woibCKnPc94miR3LJqxXf2Y+RhZVElZS3YgAvgM5StHZAkttpEBfadsoc1E5LhvwRwaS705g4ab7
1PJuLmoZiBvnuapPsCGYfqQmXJof15zNDchzXDGBG0eA7KgAnupnDEWG4SPRM975NlaV3nV6gG8p
LGl6EGeKLcHFPcSxwyOYUtJ3h3gb6sMS6xgpHL2DHV8+1J2CG4BNpT+jY8foMo+x44ofAthOd8Yx
wLpb6jIhfUlDLNM9RpNA1gM6sXE/Ce5flR/9JUYK9aIwiNDYPxHpgN1r7aC2KJB0qWpYc6RsONNN
hOBZkxbsttxOMq5e27Sh6gCniCyIAJSj0sY+PVTLfU+Aid3ztW3kPgNpDyentW1yWHuHeVZD13lG
yIsBGTQfpiHohrxrZQ93ziELEHoSQoi9xbylx6jprTih3eAvhEjYreINnnxZZ6HF+yqkhsBkM+pL
6Fq03aB7RXQfARL7qFVWLSXpBIQqP8+IQHjc5HVoerGTrYieactkfYubROWjJB60aJh/afs6wdyJ
3f3cMVMVg0/mdAj70zUKW1p4dBbJlgckcc0hMDN+J0fAATmShkTXHTgcm2O8rZs4xXiUp8k1BBqp
ObHmG9NxZUuHEw+7D+s1O3jUYYj11Mj1DsfefJqiNHQwico2MDgRLrXEtmjWmaFSxkMOUbPVSgTH
MbVYFpGvUBMH0Synh4VgfAHk00L2BR7vyu8DIJ9V3sp6zj73NKP9LVk79hUwg/IXE1hCSoFj0X1A
RUTdU43Kd3uoYpe4D2k9w4AKpYY7EREwd+nHOtyeNEzL3QcG2ssMGAQrqT3Bk74hX8XIfBjt2xCH
5E2ybV59x3nSdzhQwnaABxDw6y24M5g1I8FZ9GF4pMRcAeFgjmHYUqKFrtalaFyt2NcKPgldnpG6
kZdM0wEpjdimYB0YhEiEakq5xog8KCOOgQLycZQErRi6ILl4oPPJ4HbM4aT/rAdHl7Ja2JVgguEA
x4ig5eBI5BFgc9TDOm1G92x076ZHNBO+PWAeS7NL2s8LKYSIh+E4wcnsU6d9JLBEIQy7YtgrphzH
cYBt8R3wp0GBLh/b5FxjaAqwXQuMPf5VI9FwTlB1+ZqRo2m7EUcXGAOpxVs8DNtdHXbuW9R67AAI
ooc0tMhQVE6fNY0tARawOCTuiGBanzM4idVlW89YZ2M24qGFglN5AnRxtVsJAugbe7p2M1jNqGmO
YY+u5+i2NHjFoMkclyVE/B2xYhSXylHnZVEz51fQSoL6e5pi9vmOnjUYP9YwHfySBrFQX0MfcfSB
y9qwFGw41ayoATCzbELk2Axx/YU7szQfF76q6p36CmujArzJf2DAsqqjt03lTtqLtoQ7RLcBw24w
irhJxi7pbk2NQn5XOWbCZw88awIfDzf2mJg2sJdxAIJyV4FCNe23wcbdG8WcHxt91zsq86hpmOn3
EErFBONDFF3fmqZlEKLJSmYMDjUKI8VeGHRUJmpq3NfhIVGg42A+uXF3gINNtbT5nHRie5wqjKVv
ZGuZ+TIg2BfkXVIvLfgkmELNN3qKJ3nU4H9F1yFLu102beP4bgJSPuZB2ju4wSCnjMKgZguk9R8l
7VULdGSky+2g7EieHPTH5IikAezNCh16dyv4wrazc/0IrsoUwuN0LYLOm/bUmkryB1GlJL3LNlvF
GLWgYmEARSZwDVHKJ4G/Qc8wzzvogrx9S2nQcpAW52E2u17I0MQQMFINrLCvh0qVswX0ooGcIkK+
3w3gVATTfRI4G/HbQCYt9Hxtj0J33m342PafTFauxI0/0khgvnTlNyFYIwPuANrbr8QOVdUsq0m8
QtAHrK6cftJjooYlN0NqguEFhAmynbyVWAB/Tyv5y0eDR3r1WUQJC/4n/vr1owNG+oSj0jmzIBLr
IWPDUsZADtm9bDeQWH4eCqqe0UT8/Sf/maqDTQA7Ia485qB2xexPYocg9DXA3XE6mxqDKFgnDXh2
P6lmDcM05x/4M39iAV4hElicZimhBC5luOpfL5Sib9HM6fXg5MCSZ0s8N2+jIFP3vjYUg1Go3dE6
bT3ego+85zjif7/e/wXy6OG7vNKK/0KL/oUk/UEO+Of/BLUUT/a/p07fvmN+Y9vZ/Mouxc/8ZJey
5DdItuGaDYc1KCmQdPtvcillv+FUBqMzSRiPkJeM1+Zf3NIgCn+DtAsyQw7BOcSGV/r2v8ilQRz+
RmPwCkETg2FHiHPtf8Iu/RO5M4M1GwWBEmg2eKpYyfRPHLBNqH7sOuxOY5dG50Cl6wtTAnXXOK9D
sdll3hujWCmUtXDwl5t4X8Il/QHWiz/94c49/Nwx/kg0/XWN//5VIhpdrwpsXPIXlyoscRNkaeuL
WGImAxrZVoLPMh9TWIvVxUAa+9hldfVVrQCw/v6jf2UdYgMB3w45MXCrB6MXTM0rd+0PTDgGVs5i
kk2iv2peM2CCeTWu38Wa7XWt/skm9lfa3e8fBmsXPDgC2l2CN/vXDwMUw2jQXfO5AwIgupnfQQrt
/mHD+M8fAkoz0oawxv4cpNG4Udc9DSaApG10CqRw5QaJ/PPf37dfeZO4FBhs4hRGPCkuhcMF+k+X
YpyVYzTbsnMS4uitzddafeDp9r2Otk/dNqG2Hx56JPH+/edCKfDHM+f3D85CuAshWOIqjv3d8ewP
D0wyroPaQnzVw2+PF1NPggt18Fsqs6WtX0DsInZfoU4Pi1aG70m1bUjFlfxDQ6ouwZhSVkM5iwFN
W6A3TE09qGHFNPD1DaAnYDcSB+CdISzs2sOo2CHPHNMkkGzW5IM1GX6RbuD+OsP3ogAG14EvO3ok
Sa40xUB33vr4SqmCi5zUQZzmbq4zfuJGpxtMyMhMCz60wesokleNW1YfE430gDyycxrtqKAYtCST
AVjqGbXrP6z2v6wNPGi4iMJ6AaInClLmr09N0kkGnauhVxtNdxuE1bzTLU//4VP+8k7BfAXRH2Cv
432GAeSflrltVzNENrLo9ywMAKyOc1AF14KsLty7DUTHv18Tv9YC1yUBugx87uCiiA0XsO2vV8UC
SGLnRtsSzsx4coBg8wVZgmU9gbmrYGZdRl79S1OBs+o/i1D+w0WCqZtg96ZZwoFm//qhnAMtSxm6
vrSbHwygxKNtDKrphD+g4/gnZ/D/8OBA2A1TEoFOiaPj+m3+sOrDyW+Y+WVzWeErFdWKXhJJ7XT/
9zcy+svLBd0XnDlQ4mB/wnb45ycHXhsyLQnHpEP4Vya2oQULaQJRTsk2+4DR5kWPLgVvjlc8KmUQ
YuQEL970A8MY47410BP+fLj/C+XH/zntytWV6W8KDNl/kw7+CD91XlcxFxjU/y4vkvA3PJ4UfksE
6wJWYf+uLmL2G8M5hi0SUvHfz/f/X12Q7LerOXTGESqYQu5ypdj/q7gg9DdUtRCZZPBMBFcV/+l/
INCK6O8L8r9aA4CneBlRyeCLIEQbx+t1Qf9hwSqQtOcWsVql4PoSAOdxO2K8fRSdCmBK6iIVgPJS
PwTQZiLLFHtf283uGg5koXHBGOQoWxaavZ7bTBZd1liMfWH18mZhtL7DL/yWAATPrRVqHxpAhTyt
s7I2K30No1UXUk83wF2rjwLU+wPi6cXT5kZSpiO5pWADH8DJM+fQZHOuh+BHPC3rLXquZ2ambxXk
WQlAjxWyr5ED0cwjMzsEnSgY+p2bthZ5QwDvYApS3xFamTKtweR7oK3swNCrXduVAuPcbJ+pJYBl
gWvD5sNswa7fL9CuHFsoUPAN++GDk9HnRvIME/pEGBiK1zBBKblC/uQ+cjw8AgNap3z04LfGNZUK
AzuwkDWT/tbF6tX6IYCzZeyrp0maets5cLvnAsoWoGhgtiPwfiZVzmAjtKOdqu+FsS8xPCvesnom
F7CPMbFYOE6ervY1WnXM03G1aixmiGIBnGv4vbv3Hhxt0IbAwNzNsEy9B/7eg1K7ghHRdWt1b5ph
+pJ1GhEpBFOedQIuYmlQ3ddj0rizhqTlhYKBGR+DVA3Brkmr9QMPIvpoSG97DClo9DWkoygZAl84
/HGVOVeWJMWou1jserAw03yel/mdDin8aUxAz45grptToDPg8sNVVGWT+9pQ3Z3ELLFFaT1+7irI
ZQGZRjKnOmUA5wLQ2GxHbxqhg3sLZuV8WnjlbtJloHDuSshLdf3yM2MAIIyeMYjoQDNGoOKT5w/Y
hKGKnkbHy85S8TnWpin6RVwxz/gWjCoPe4pJtRcjeHtcne4K0bGlwCynAzVtbUsyDizH9JIdHbQw
eRz2IKIiQSivTMsBZq/wapwBnoMzd7PK7K1mVpY9WNS5D6XNKYIFg6Wd9xRuGLXyt6zzCbZjwnYS
nM9lWihw26oqQeJNc6APxZhibsnEnnjfoIqJl0IF7LGq4ke21ukFy6tMdIzwrS5FFjfk+7nMRgyV
w60q6bh9qtctxtQXqwFJzv4wQUhdKuL2G+NLQVFt7F21DSWGz6RcEchxAmUEhprVmXePsJ+lJ1+p
IQfmPecYC1JY6FtQmRTIDCyZEUEeLzD36PgzbTCpBOsU5O25j8uegytK1/41sg4AV7zlIY96SDHB
RF4ATuYt1Ni5swZ0AIySMQ3uIfxKcRF4yP4myOS9gZzTr9WlkhUAJGeXfQi6Tu10QaHF4EH/Ahis
fVlk354WIlDKQmHsO3ZxCgMoROPhhdAxkmpTmAI1Sftjw4FY6Gz5sk0p2/dOv8Q6inOt0kefNh9r
zHtupQJ7Lx+2SZc6GyaQJtZHZLk2D6Py/lQPHfilPty3SLb6YsF0P9QJWD95AI5UPgX2qEDGfU2v
49UZONOLzhANmGO2XgC5a8Hs6NYfMPoI63xgcFoaZrfGx6EO5VKyToAtRnu3n8CHLpeqvds2vOoF
Xl5AbI1YCRyMvOtfQEmDviTGNJPmmevs/ZiBNhN1F7ARqwvzS+XA2aQoMfrDmgxdkcz/j70zWY4b
2dL0q9wXQBbmYQsgZg7BQRTFDYwURXcAjnnG0/cXqts3lbKU0mpRZr3ojRaSyEAADvdzzj+Zd+uo
rXfaqvlROolvkOyqo5LOtNfw3twpkFMdzqNb72vhLTcGPinU3oZ7aiqYLsiNKBNqfzPAHKuuU1Rd
0MZZ8E8AFuQpZZrKH3ovnRuUVhCJ2Hgssc0KrwmtxjY2ppNndywUE9PW3vxi64t/qFjc8OAb+67o
OtzKir4Gf1Zt/VRrKmGjlGy1W4dd1N8UdQZXyVTobzVfduHsKUPfTOgWd9OKt0DNu4FFljQO5IYO
Ub/OUArlYnZRpfD1DvvOfRVCArTRb2xMWTp7rwoALXwseVYPWi9bVmHKTecYyB1UQTB3nwTFDpJZ
u1HjnHDwIeQAIWC+2AT1lVaQKSf7fGU+r9lXQ2BhOK2zydXjJK6q3EQHSLdQRxUO4PcpHthVOE+p
jbfp6KUv7rJ6t0gfgq3uFPm1cPIk8hSrjdfwusvb52k5jHRISNlamL3lRqKRvK5d91wNTbVpoQiE
0D/WU66Z6tafyChDU9q2kXWhEat8TSJEL/RUg4vuU2Ruvy1Zq71dR22DG1eZCO0o9a46K8zNtwYQ
zHnt2M9Sq9wQ7hibAziO5VZXaeOwVovythhntWntor4d6mabj1psYdijK8VxBxzK4ENsFkm0yNLk
81ViNhn58FCY9Qwunmb0RybD4j5xOXc85yGdxRuCHIvI4FHbd14Abj6TbmGs8GTAe7IAxpQ0ccdh
6UEXvqFbPlt6UB8RZ/aHYdbsh0w1H11ufIyGUV3V2lh9XdahjD2jKaIhu/H8We6aKnf3DivvvtH4
0iGt7kM5WkOIXEwinCi1rdeZ5j5ws+LKsyr9XLpFdvRBwg5KcePNQjS3WVnUZ03pXDut0Zvhw3up
ymRE5VGFsLPt69QLHoNyqb6YRiP3bmezHgfzqYWMiZVRzfmVZosZdjY0AUKT90PerewtdXPXDK14
UGsmniD4fgxwuSJzmvpohrB4k9Z5s5WBqUBQBtA9171H8nH5lQNglqenO7cvrA0zyOJgZk4ZVzLL
4nrW2mPTT0w37a67Lh15ZRWTH0n6kMiS8hWEu370ZqdDFTrVJ9eo4GSbJZSymmqpNLLp2kLwsPHZ
DY+tV7Z7nlISpeVisGfPpn+V2EQ61vp8rHQvu9J1TnJI78HBzYvxUCHl+NpNpg3BbtFDtGifEM49
ZaLcKmRGR0ikBq9aUJ69MYEqAU666WXpfZqmYLotqYpvwcg+GZcIU2xOYmmvXahxrt9ruBNtdDFW
e5g81allX3nwkd6c1jrrNmBqcxWZPnyhcFq99Etj2ZoR97wezg62V33SggT9fK/hg0HAJRQYTA9O
tZEWVQzfbjrxJiksfdxKveaOLtO4aoPXtQ2qZ2PS02vfXP3p0AOLbDRLra/TaCGwQ/01vGCs79y7
88rb18/VU1E49nkZAj90pdMdSXv5tPSas7c4zk8kSDVhO0v9LmiMpQ9r0JlHomvEl8mV40eOQcFm
yBY9rv2V87QOtBzWEpTD1Z+nD8guI8BFScJ5k6FW0IJlg2ioeC+8oTnqliE/VuF+QyaXROXkDvt2
KCA8Lnl/pYvJvUc40W8AiKlqOsvEZgeyBMGSVoKnUaWZ+8UeBwv+vK9d99KtNNzlHe8xU5cHnk3s
grqlyDm1S0JwuiBAOmNaiECdtmFD1bLsQLQRCW3QU49eJ2/mdGj3tidd7hNHt1X16xZGp3WDVNf8
CsHJ4YoYOpf92n3wkpR9aK+63Ka4u0gqy8A+uu38ea48UO8sB8Bkc66U5T71zdii+/UAWf3+LfNG
cUCVllxlHlHDmulWcaNBJqZaHD5Bw1Jb20+/eK4/b7ASGLb+OMZC+p/EuGwrpBSOqR8dsCqkGB5u
42ZX7+oJ3s+aXxWD2XAH9e6xHMRD0yNmrOQ1Bx7Nh2nfeSKNCee+gv93J8DMJ+d9JgUZIkioSKhP
sL5ZE+nu5rI7Iwoa9o23vla+dpMqWNyyNGESZDAbberKaNIRhiGf2Wh2R41twoHExrMs2h1lSHoo
u/G6zax658Ol3vgcJhECpPe6654tBcMl1apPdB9io+Wa96T1vH+egtENlfWIFXwZq2k1bpNRJJsZ
YkAsvSX7XEkw6gX+2XZZy2APYpfFiKfSsLfmNwg/JMNNZRlS+YiwgyO8k6vxdQ7IPQeKhBtyCXYZ
8AfzkaRZ87RpdGfZ6hQdpZ4DhkEFgQadfBhwZRopggMMIT/SFqt4kGuTHJbJ8MM5EG1c5KM69nkH
kAlL/DjUk9jmWaqxryUqWteyjoh7SeDRTuneMbQjDh4JJtcJZF1nLa/gelwIYzD4c719MyQSJOAl
IjmsbtM65Rib65RfNYM1Ro1H4zIXvoAdSKwD/IHpFfFzdl1omnXLhvy57Jv2oYQwtzPBFVFM5ero
LfZ+XVFr8J841xUDspEq+armnodt0BcXiQiwuMJd05vPAwPHPVq6RyVNg3Ud7NvAiysLCYVtHYAA
ZZy02byFSfjUs6ugcnWvjBatRmGPbugs3PBWCJRCjrQOrYXVCIQ7ttFqyGJHaiuG0OWb1rg9d1lL
Y28u/Ssgg+QWgcUX35XFXmeT9qBcyNbacPITP3LtLEDPDHv6LU2TF02zVe3AdKPVteTG0QwYzOj9
9jOVf9yaQbtXS/3JttYB+rc27aEpbv1Ayk9w3tVLIK5TBu8tUpbJ55PG8VTmyxSD2ppRkkl8OIPk
nqMemtWFnz/xizuIAYuZ7APBIzHGKhwhlTVDxSMtPzlNxkknUotSpdlXHhWbDpgxt8F2cvl/plHs
lJUv2za3nlSWEROVTflBNBNK0qGfaDwRI7m5ydlIoYGeM8qN7jh72dbMPcR/a1aSDLJSfQfqsRTa
RtOp9pMi2bdjl4Q2DjC4ppb9xhD1MZ2yLtYmX8W62ZKbDUd8i6hX4rOLMmrGCAaqnHMwTUnaSl8e
M+a+CDOgyKxoCmFHoyKC4XZGvtruc7ine4nieI/+KNnDBevZv4E4zaWi7IQ9VqybTpTLIYMSEiFG
7KNUy95naZ07e1t0bnYWjp7tpwZ9Rd71z21tQHItrBf4MF4MMx41K7vDVVDcDuO3iZaVyQRUfqhg
hyDT48Yg0rGtn3N3nCO3eMkzMHQEmftJTQxzYAnrpfte9cWL5pkjP0JDbBZQYaoGWQWtRN7Z8eJc
T0Nwk/ruZ2v23xIRpJulgzWnHPeEmVaOWGi+hkI7R4FEMIa8AQVDhtazbNeDVfNWajWiK871IJZS
n0+ZMffbUYHY6KaP+2xQ0EkMQx+uwh55oasF+ii2tOtgmjHtbXGSur7Eg9Pf9a4aoqwfb4y1/+KZ
S0okz/QwJyVuZHB2aS5tpktphioJYXleYaHtjP4dTwdvEZcApYXxCXJYyPn+eoCft8ntwN57Rt8z
RoBM2aFKoKiQxl5WVSFRIvc0s+74zBtxkwqFGHDY96Y3h5MZwDyfa/AIylWmNijXk5ERa1Z0J9U/
+UGexyPkjLPJ+Iodb21j26hOKnHcqJGkl6OyBW+vCi1szKI6GXifxJrUKGq6ln4FtAkJu6U5dws7
dKl3R6Np/M2S5W2MyuE8yu62qKdboQaaP05PHyph5ZN7m2CacEyTRsTeBAOTid1pVBlvwOBCVWX7
xajlMbXMa1T5dug6EuoLOnbI1M0S9RJKiNRXgpqbNIjhtC/3hpPcoloouX172fn1W21mbWhCW7se
GPnAfck++kr1Udbo2bFZ4RwFzspwQuPbwOBnHCeCjzJfGQGp8usoJ1qMjHuV9rZ2NDTdPRZWR2xS
p301QJKi1a5WfAHkGJa1reBPmXgyGgg0Ume1UNEb3SazOir/tJ9vk1UP4mAyIdN6UJkp3y+dqPXA
Z975ZEovedJfe+uqMfIQ4yZB4h8WcwZH3jAfvTq5nhTnduV8TZDKOJl2X9CJ75s+vXemjpGjru5b
2VsnUy2HpRB3flXqoVEUx6Vvt8IRT/AO3vWiz7eGqqwYJjI8oHGcQrtuy41lVxPtm+vuOrEgff3s
pou9lWb2MLuIzVa3ODf+8qb8+psjsdZIehdTdmmWYVYj6TMMjlKn2zWmheJhvamK+UoY3r7Ty2Nj
T69+wUmwLhN0motIH64kcexyKGL0A+W2KNkTTJreMFiNL5ahlTsgs3MnYaMhSmWlZ0xkJvKg6zOJ
0nOI0wMSlhIrenwxP8aG0YawBTkAxfS6qOTkeiTjWi2yE5jOaTw0lEXmnKy7olo8bO6sZU++VrAd
RvGqLLVFR0TOlt0c29ba1ZlJzCESgvs56bxo4BAPC13cwcriVPS1L6OvXsjQPjN2tuPWU2kM/rUF
3YsXX/ShiVxGy/o7rR+fGDogaq1r3G3LFJdbV/CyQuQOzQWBklrzZJcv+BuP2DZ4n5eq+miThi3G
sxQh2MU5cMs0EqZHqlbgauhVVLMDdURLCrOTGfAQ6gvCqTottm4ngq27GDQQ9JSyXULY7ic97a8H
RXqhkTffZrN/Em23xRDmdSmQoJiJTy+EyIVURW/fMmuJieKjlJRFA3EU9xTohbcqnV+A596wIOV7
DN59HvhLNHo1oQTzWseTGPtQA49krMV0MmmWMYLmtl0qji5cOQ49rmbRigmJ3+lpKPVGbCqL5a2y
/kExSEEPjNPhgmgt1HpkYqbeIPk0GPsmVmZELXHdIYrET9qkv+Q29LpkTq1HZdVP9GRBXA+uhxkp
VOZKe8Dn96Xvy69eOcfCCBrUGyj1jIWI5JxxS1R7JipFy3vHuXsKL/oQKGLZtp2KW/hRKp6Fm8YM
pNMoNco7jR9kaGsmcU12bcJqxiuaAagLRW7k4xCgZ0s42bPY6MuCaJFURQrxXI/gsQlWvJ+GnZaw
bhrtHTMML0QbgijDn6FsWiVfq8q6aCwZlkiz/5ybNie8RdtN50N+2oetQS/sJR4ZXdEQmJ1Qvwtd
2w8MSmkW2e4CM7bhx4VoM4yohli9Jcmtj7psycIFhjHzW+0DJvpBa/Jvfj1zTBjnZM4PrTe8Ch8C
m7lasHPNKrItebsgrGo1uR/m/qQ6XrkVKUykI4uNKo7527yqkj0+WvxdiWSxGHmHPXwtt1L34ZUx
oIoQFjqY2WGh4835PSOJcEDH39r1IYOt8CSH9kSL9UbvPGFOcDXO404G7TkV9qc5X+wTBhuX6XBy
nCmcO/VtMdKvRp0dpTM+D4gNjOY1NQMc44eX0U7cpwIVc+x5q3c0dM6YyibNvZFZZLP5RHIZ8l0O
ozFsMBqMO6/cG/66m3v3yTHtt743nmB4yz3wUczd8verxjFfffOpn2qpgC9UHpvt8tK3HRZBmflM
o1iAU5hOrDUr4vSM/roXZRux9uPJtY6dW3+tOfLiwMznow9oBVnUdA52g+yJFsLZu8Z0OzHHe80u
M92maO+WQWP8rh79ybrza+0ZN2JsJHKt2ph6Dw5RU+Y4zvougb+vk1HjOQwvfoXS2x8HPdT9pIo8
meQbmTqSB7i423n1GxSqdntien6aVXCyrQBFG64Jqbd+QZ07EUwnCW7zOAMLr8jZ5rTmG8oN1GRJ
K7et69xC2sjCLsnv5qEHekE+YgzisUrsczHY5zkTZwq8eTN2euT4F2J94dz2FaTn0kmbsENjxSHj
4vI69cUebRls6Axr/wCXFBo4424cUjgRiH2sSWYxOvkYMRAx8RB4OFkIbZedh6DPnRSqxy64l0wj
GGNPZAfozX87wf9/XPiC8upQGH6NDN92vCTjvw5Uj0P9r//616av2qof/nXo1Gv5/hNgfPlV/9fS
0/8DqqZnOHAJKXkuuVL/bXdo2O4fGGf/27UTVgPA8L8ZaQDDeNl5EN11yzY8RnB/Ysb2H1ASkUzh
G0eaB8yB/wlmjMgDSPgHyJgZI3gxn6VDm4NaZP5MKVoKtImacj9ByX0vkc6Ert52UZvJ/LpaAxM7
quxDNmVyyJGjIahZt5y6V73O8DE1xuuBbv19shtKi3QNVDT35t3EHPmOzqK5KRZ/Pnhz298nmUnJ
YinnVkdGApYpABzXAhVkznmvZgqoYREbEQTLaViTr0q37rwaDX1RNs+FNPKt6UHjxunknd1OIA8G
Xgr8+qFYxKHL/C/GaN3VtZ3uTdDkDb59+F977D64ztwJlb0NlXqhW5xDDpws0if/sa08PA4opahl
8YtI1KqHRPqoMFiylwDeudmIT5QqL5UIiHOu/YNJXpY0vIM9qI8BXQtCXPsmXcXW1Kz2wJCM0FWz
+7yQ/IDnaG08F03+hszlsWMAUWuBRqPEh8+YsCTUy/pAYwyplezkUp7k0FWxRoh6nDToigjWcThg
13Kn92O9HSRXlxn0K7gsPKEiUyFSoMfBVYiSNZTJpcXNakr1kZikaPeB/qQX7YL2v+tQcRkMDwV/
gLi9exotrtL53nqT1reJKdyIRsOPmbWcOzhcSFlxyNGRCrwLUl4w4SqHvU2X/TLVTvIsMk9uB30c
zrg7yPOI8DFmhBPXCKxpqxTbOjm7GA4I+xj0a3sIGvySuiZHpYu9bJSlfD6CyfrNdSrjeahZASmS
v8heVb1t1raLXT1915R9F3h0FRNf2pMpJWMlP2D9f6SW+EgRc0SjVV5VGGHEec0tEsgZAaCH5IAj
g7ZPR+0S25NQnQRC34upvvdy5mEdvO/9sqLjHlpijtOVonaZ+frYa6EoGMfrHvcFBnwQFypzbEJh
Lk+jjyp0rDQiXoyxPWT9kh995mTMUVPrMyX4RffOAhNJt0Nq8JRoaom8bpSxY3jg7ZiyiMSxdkJ3
b7RudMAI7OZrqZUMin3gflHbd3IoawZCxl1e4fyczU9Zw3XndbUic9XmT8VAQdj3rCIxLMxk1/LR
dUdzM0A233suv6VOMe1qrbs8bUC0satSoW31pODYyGhLkTwmTfamrfVDiTghrDLuQV6j9Pl+z8u6
G0M2MCo6kOjG77Mwa+Rpyusz2onr0VX4+xsVmDPzvCTjTfIqz4nyksWOBFYPHbw5bM7LMKtYuo7B
etQ0cLWg8A+oS1jcVXlGiZjerZl7Y/I0gYzqZ5wwVaiN7hyi7tpXffWAk5O2RyH30nTrE8AmbmC6
+ZT0rJOFDHBogn4fp315pdrS3qLjSHd1WrLskI8zls95I/D0euz03NugNU8e6579JUPOEtq+s1GM
blKb797qw7Xw1dVac73eEjx2Zn2uRtaTHnio/vhO+sSnS4gWUTfp694Q/RR7JuB45SBmrYfrRlVd
bJkCseJsMjPQEy3sWy0FD2+Sl+/7X9VBPrBL5W0WkbpRq7OKVLI+aSjkqBuTauPwkCK3kTVdIs+4
UXMQQTaiTlbpW8esWtdo6UzfrW5LXCsRYHhzzLSKPde3tI1+MWuxkDdHhcYTqVpjZkWNF+DWJ8sK
yyr+HU8pvBh6RBZFwObhNe1zabTPWkGkiTew5V9qu3heStznLn33jINUfnmQheNuHX02sXUq/Jg9
9Sl3WT1l5z8mI6eAzsWEoE3Pg+SkqJNX25UfKAXbQ6W6jH1zJBjy8rsvIm3cWJzDOHiPBDKLTTvo
eZyv+Rv4uB53VUHwkahgKqmmRvxK2nI/WTvikJ8wyPjAGsyL1kQ3jsE4XTcGIwnsqLF/opCKKqmu
IPhcNQU/z+l5E3TAYQlAFUCQinw7eynt9hlUxTz2jIVCXVuf6g7nrRpX6NB06NesaWgknQts120Z
aJCcMk8rFzqFtb0Ohpy1pjOZn0ZEJPPo31i1dTdOvHfYUjyg8XxptOxT1iQDewFrIW8CBjcDj9ZO
mJEZcAMiZ83tOFfomYVQuFdivWDlNd7UPWMME4RLNzkO5qF7Vs2UHycje68NoPlm6M1owhAomlzT
OmJOm+6Fac8bWMLGowHvNBonywFEt+8mKw92DiLYA0bKG4FmO5q6mmebED+tMMibMeULJ4310vXA
TmP5wJjmPDv5y8xlRYvgP2dO+iaIYKO1Lq+yZgGUwDmsappdZo4eswE1hpbNA+1F+1ysKmDuyZ3o
fe1bIPhrJbwDtKYX1sFzObOoIW4+BkXwNdHkO4RS4ByT0X+VTiTqLGtyn8zlGcbTk1D1c9LRH9dM
Ya8tFP+hgxFJSHP/jZMG48Mq/dB0DYUy7pMcgsWLoSXHpSZOeZLiXROXW1+57EA1ZkkpOdiIrrrn
earR5Qiu0eA2j0sSHDRveboAtsfcH6tNNRfZHX4wHKWGOGGDqT1Oy5KDniOPdpz8Xc3iY5nFtu/F
O4ZAbDU49O61WjEYrhNSwpFTf7enQmFE00AfgaGbvpqbxvE03k8eLAeWZLVMdlxUEzeJcVuQ8ra1
jHsjY+IMTF3eGWNI33ANPDLnvzCXtccBmTtMLIDJ1bncEJfNGTo1Dkx1mkeiQOc6sRuUC2QA3cVO
YWovd1COVTz2wmV9g3m3EbS55bodDfvJkNwNGN2XFqOWS2xX6ZtjcfL2mjrXpYWAUmesYPHVgwz7
KUubn/IUj0f4bJjUlPjzmHkCvVu/67FyYCrV1hv0F2m0Np5FdMRa39Bzd6SVSXmrgnI+XnbKaOjm
p7T0k9d2xGdsVd3zpb7r0qKL0nwqd9lq5Bud2iryS4qa2mTLMdMGP0945Qzd2GcTtL4IxXSxMZW6
Atl/rUCF42ysXooKjhZ1866fcFEeS/Ge5h3Lj+0qz9n9dQ2IrRFUjlZSglssbnutVx5BPU2L67Id
dDuNhAf8v/gDdiI7oz2rMLPZu7WxHW+mpu7D0dHvGMVuLWEaV6nHW9NzM90ywdJ3qs/jxPUtqHcZ
b1aYT6Qjh0HHHplilAoMm761BduOKjh4wVu1sFr4SRy3UBEabseECLdczWTc2bJQc/jbkXk5XwiI
f6/q/EVMAaOlS4ktVeFe91aKuNu99IFlkMJSRpMlE2jDEut9gYltOK/GQbQ1BKxxt74lF3JVZi3a
m2BmEduY4jB/4UVXiT0fvm+GqS39jUjMIwGjH305TpsMRS/jeuqgOun302x2O3wkcvS5OceuQwDm
CEAdYWO6nETJ+XbZWMTE829miFmYTD6uHfXyvEoMj4mSRKQ9g/S2nEQ4mHMbc8YCOt6xu+892v9C
w/pLq/7LZ/0nbuL/EQP+C4n4163q+bV9/fpN/bs17f7Sm15+8t+dqWH+gY8+cicG8eQ4X3Kv/t2Z
GsYfZOM5iKF0smEg+f+nMzW8PwwaZQv/Mpj/9o9SKcP5g+odYq8H3xm0lhCm/wmb+aIf+LMx1UzD
9mBEc1l/5TBrCWEbeTLCvmizm4xEO0xxjzmmQ3mFinf2Lnaqz7lXYis90GThcx8w6KUl2BsJ09HJ
qr+WcxJptbX/4R7+jV7K4X787RX9pN+Ynd6sJm/pjlmtH/FZE7GsahH2nPj41xJNV5F/kWB9qFlL
f+U7Gb6mTNagIw7vDe5ZlNKYJdnr0RiNV9trBCfQxaKm49BOmSptjVI9ekGPSXCPlBite86ANLs3
PVHdGzZ7S1LoRzWkX8CujuDYj2uR3XAvn5a1E0zt22mP2l2giNWcDVZs/SZruMDBXr85fgL9sYqz
VZw5Ah6lrh4hJd0wy/JCiecPtIfs2ZpS2Aua8XVq9SdjmF2ccxASO3Axq/Higda7t+vaxb+/od+T
DP7uEf+k4jB6nIP7ZsZ2CWO2cAQcGQy+M7SOdBNMBtQZC/qKZNZlhGmCm3GdfalK71CJ3A4ZJMNg
YaLvTOZOJRU8TPdbC1G6GF8GD9csbT73maNhvqfE1i+n4oBLEnWKuTBFp3jZtGA/MI3GAWhlhp/Q
UOIr2330jNIA0x7vmsY7/P6rmn/Vr/5nNf88XnHnXiekKxiPSzKdlZKntszu3Na65ibv+xH8CRhF
RdJJvM+JxfpdvOmLnWKqMK4AJU7f7CdoxGktHrIJc4rA/DrgELfDllZgk6OeLVpUcFmrJChKnAfR
/JNW7ycj+T8v/fI6/CAmyKsAZ21NB/FJBP3ytCucY6qbMbx5GNvmTrchCLTbXED48QL1BcPlJzfv
qVdkDCk9rr1ORSpn+QJ3qhgriwtyaVwFFu6mXnUv5unh93f5pxTqPy/1spf8cKmSFtSBJNAehwEb
07SMSxFs8jGJl3Fw434WX1uH5eNXICLZAwOGiyc1vTVsjaitaphCSByxpDv+/np+9dB/0g252Kkb
jlO0Rx/K4pDmoTPwZv2TrMz8q27oz297+dgfvm0poT0KvW2P9lJfNaq56no8RBr0crGDaxewUwlz
Wkff1trGjsgfUtdlip2FWTyIoiuYWsnbRPSnoQOQwpR2Zzlo1kHpvugwgg2z21eZ9+339+IX2/n3
1MkfLtbDDmoGtGuPc6mAYb4FuAFBmaaghrjm/WOs2WXr+Jst5fsi/uFjHPY/rDFg0hnEg5ouqFFT
cH/EbsRlGrQ+pqm9Gew+DJwl+v03M/86Qv3zOfx0UiWl6KBNl81xCtYHe/FPGX1EGNhgIt3kfuQp
hkig7tqnXAz49uHw6Dpb3Daw3mgxFAPyJkh0dHpsBfTnrBlAEdrxLaiwUih8BjwwKot/utZfPYaf
zjDXWTQ3wXXq2E/jlzqF1GqmAYiPDR3GxwoqTLG+cUXwCRXlVjqEOPp28bk1aZR94dQoLeAJ6/1z
MWhxIsQNSTBxEWD4ZDMBku5pIhKoSc37aYHnSs0BC9IgvLfQ/yH18Je70U9nxup3zSRtqzniYJzh
iYtDU4k/j+U+0mF9dqYe//ABa1FwaRhpdIPbAfPowdFu66C7XjALRRh+pzEWW83hfqr0EzX5Vzba
PUayqD8FRsS/XxffI/v+Zi1eAo7+8n6WzP6KJGiOWafZEZ4s/tXao2pa8xSj2QluoQC9vBjRQMud
Zrw6jPy+cmv91jHoPgsYLaEHGSnCaisMiKoKnQSXa6Io4ILlXYdPVQLQmz1B9f+0VNZLgF4pnHK1
G7r0Vceig0oEIhYe1xXqzOXkwzGNXcd+tBie/f5LGpSCf/fCfY/n/uGFS5q89yvbqHGFIuu6TE+u
mxwLN/g2Osa+Kocb6PA8rhM0j63d9icISttSlf+UUuf+4uX7Od6k9Pt2QJtVH3NGGtAEliIaC4oe
GCXyfOFb4Dk3xUZZGJGmT2+5ZX/FbBpi1gCHgvlQu3NtB1RwEeh8sK8Jhve5mOlQ0BKEfZeJyC7A
8aK6ZXYh56aISQ8CYMBseBaRV7ixVbfkpYwnG19ExntyikvJdDHAyA8OvXnl1xP5H5rYqwQ/SyQQ
lGZjFTVFnlAAUk3p+vpp9dXB6qw55FCCz9Do91VrEskg2xcnyZj7OMmZcABY/ZV2Q1DQp1x5n6WV
f8GaTmLJVl0VwtrXuJ7Mk9tuIT19+f0DNn+xo34/a394wJ6OTxvT5eGozxS02G48dqPdxPVoI3iw
9DqcgeO3VmtVcL56BjETVmAum2LMSZxvfUqRqCdsIMB5PmbaXWxlIiSecXDTp5m48plC+PfXav+i
Qjd+OhHHqhcN8oDxmNjyph2vvZHZXHkGbjqBQhCTPjhHZ/LMeEby2FIX+IbEWb4do4CCoRMIbpgO
VHL9yMr2Np+/rEJde5q/a0ivqP1mX88QLplHdPgitqu1UxchVZIckwCGEOy9thk2efWSwBstYGfj
i9Pe5653qqxx54JEYS210cw75V6x94aadlWM77PpbYULE0qqze/vwy+f2U/6T5whVSqnsT06WmDv
+iFVWGTDMIToiSjRb70o8VNUWfq8RhVkXlamHmsrYS6Gs76mWiv2drY2qLxKten0BiJQ4xcbw0Td
YdkS26VlXv/pYi/H5N9tk5ed5YcFpi1YZQpR9MesyB1oigFAXupmy3VSyoRa2YcQ10xw+XkBdQu7
abvK+kgE1RX+OOIey9yiC6UjU+Kos+FhwuwMrrHNpHYscSkrqz4qV12LeGezjdv9Qz3zXZX9d5d9
+To/XDYDwColCqA6do7exyvchTDvkavkuKVtx6BeN5as+w3JiFO8QBnDjbGEqDc4BHeI5ipb03uv
SW7rYYE3W8uodqiZcb6SMLtdOxp1oKLUtoPIKrJ+o5Snti4aYuwNLuCGV1zE9fiHdEb6ZQjEmdg3
eDCMgvc4DOd7y2zMENaVGRGpIaL/Q92ZLMltpNn6Ve4DXMjgDse0uYuYx4wcmcMGRmYmMTjmGXj6
/kIqdZFqqWR1zXpRO5nIYEZGAHD385/zHfq8WNrx3SzKK0+EhM49yVnaJNg1Bk1arCLd7PopfQWe
fxsPgqBhmp25i/Zghm48I19DTgIz4XZRuWYWmC9BiTT7gC437qPrrt7MaQnpnedWMxQJ6BJZA8hr
l0hzw5qZ4t+2lP/V1fKHDQw8X6fj8FoeAqPl8yo5TDQNcbjFwEx3Sbg0BPJbaShv3eeoMDC1Rjkv
BabltZ93A24qoOPA+59FYx80nM0+sU7WVY6iBsO+MLs5qTxfTrkl/uaY+1enkl9r4H64UoqhpMAi
KdOD1t4zJNy3duQ7gNAbMleMbhn7P0vpPpNgu4wQcuEP1zwpr7OVOacaCkbu7VXdBPl1/6+fD3/1
jvAO/HTtWjxyo9HNUTIqEV/ERAkwUS7ZPgTUGkeGM+D4wQ8ly8leR0KJVZzkwy6F/E+qO3K3PGBs
woBoRucwmOMts9bwb+6rXxfuP7mv/ljhLfvJbZvWLA+YvAdu+GsjnNWEWyvF3Msmatxr5H7XcC5Y
iczF7LfmgkJUc+1mFFDQo6cuUVeY5HQ7eF3CxK/Khbj4m0/uL1bDq7/jx7ueMXzslZ3oD7nS1HeI
7VCEKwZ5Z9cr9g63utfNG9v2lpmI7v7mZ16Pi3/2ifzhGJkB9hJYVbHGA/Jv8UFSvMOkPIYpH2AS
UOaWIM+K4cJKj/2CiexT05B6iOl1Kv3QWc3WfEuE/2+6uH/d2f3Z27F//gj40u2hEoJcQt8/WUnq
LK22h9Wmx9sgGTnVNegots4/GUIec54SVlQ8YPFIlomaac9uDVjtInwvYsUIt06+OmRp/vVH9etp
8s/e2/9c+MyyI1VyLR+ifIRQ0VvAnvk7xgf/UPdFs5NhJRYVm9E47o/MHm/Tpnkz7eJUx6gBvbBM
ouGYCFAM4gO7y+GOuQmsPZHe28QjZyd5dV0OdLk5rSmeuvzNG/+r6+oPiyC1VzbKn9dhCe+f7JbU
bEPyZWyR0Ms6exW6fRtCFgg1qYNS7VfQpRlmgSBCU4huCNafmzgs2OAwxAA0jcl05PKPqvgzxIb5
d1f/9fnwZx/v9aH8w5PMKY05MgYa1KQYYFWayRnLIzUmZv5hVWTLrCK8gFFjnj9XJ08VJ1Gw3MGN
4Z1RwbfgCfs4E+OiAujZZYxidcMKiOv/j9j/56SzHyX8//cfpfS73GZ/rfSTVPis468/KfzXV/zu
PfvFcXGeQSXxIQf/anD7TeGX/AFlViCJXLYS0LH4Rv9ZKO15tkM3KcMBhP7rWOB3XskvhFNhQHm+
65N25Onz7yj8zh+EE9eCRC5xxcE9sUEjAQT7+bJyU6wNCUzttE9oq9xOnDRglktCovs5JW1+U7oh
Af0RtEd07lq3pXKcrHmzT8LR08sa7K5DssypH90uxxdZ6iEcLn5hR0T7MVfKGKdMZXqHsgUVid9M
SpkisEttWivRwAcgoGsa8UZLtwa4PqnEXpZmUjhnleP3YBJe4KsOY7CnC89h87v2ReTVmM8EGQqg
92rEfltoxJxGW2dFtuttxowFXKK7mm/w3VHL2PghiZ3YStjSyavx28loRSgy+qwWatBxSpdf6JY7
ZbT0i3FsxVSeBDJBshgAudBUMmJPixJ3aCkljCp6TnqncNaYpErK4dkZTTuVq/TFd7W8YZteiHUb
puGlnlsfv5oHMDpsvY8yIBW2bCabLWuEBko2ruuE8xJIfuRzKKrWZtQ5jNmZuJSfHYYePigtFFTD
rhhAK2+vUsLSDxb2HXa+5TzAfgYA2izxuXvz2qRpAvOP3XlfiqKxxIPNfHw+20ndnXwnQDZmDUhL
TCtNNx/SipTGhRWLsnCZIGoTRZP6KB2Lw2HRDOMLhiVCH5VPR2BDfjkPvpCT7tVmgBqX7ZqAbNwi
hJ5nQWgHWkyRWYHJu/Lc94hhbLQ05aS+kJVrX7H4MxkBodtuO68qq2VEXdQ7ZFDqPJMhHpptPVOd
sjRFBqMi92x22QSU62Ni23iAIfRSRVUnjjsttYo5qJuTAzUAadVyceHztrZ2QyHYgnNgs2tJy3xE
vXFtGGawchRwXO8N2u2/C6We2phpBKMXWoKXKXUnJR5/L37ohiJnuWlJjpNgH62lMdc1ZsxZWs8S
PIBA8zKziRyTbd93qk8kca3ODK/Hx7lc9KmDLyyQQ0N0FiHjZcwdmFVj1eXvsgVGuvSslnKX2bHn
u4otFe9NkKDeSAvwCBaafgY44Zv1ZySz4D0YYAe4eFO/UVmSpBtcOeOw6NyK5J/TB7QGOX08vME1
IqxjdoTscP4HXbmIJx9BoBvz+asy7PLSk0inpqqq6dQFWodvy6x/pcNEFcGgCDdkcZBtbWHcM6lr
WlJASBzEDAZ8NjKexfxC5ip4zwbGhdsyK2R+tJEWSi7drGwecg4+0coNfPpc+lbqW5HY8j6YSn1C
YmkD8pPa/KiqXs4bvFcjDSR94r0kdugQQWv9l4KSl3zRl8KNsStRor2nkDK74FUAy5shtCluOTbx
Sxbp8FM2k0lyBBo20z0iuRJXozexp7eKIWT0PqZPWFDwfliSbPdTUqTha5dcvx+fgInCVyk8cwXq
g4feGFNEskidscBgZiEaIVOH1ZneqOzJlPy0dXDFgZEIInPQZ02Nq81xOn1fj6oOVpZpOHoFCoMj
u4yqYQs0lYR4WDsAH+wE/weFe4UKSauAkV4UFPoA/4hVirM8oDMS/jKASjIpnUVLWU4KCmkniWCk
5GGEganQ19/OJ5iMJ7XABYnUFZ8bYOvwAbBxAs+bvRIlpaYRcjO5Rv9qmG7xmil02MUw0Dy8oMGH
7pKWJMq8SDuPuEXaheD1HLdxLinNy98aZLxjOV7drNCKCJHrqQSN0zjKuueCHcX6WuniL0J6wweq
XyonXcUMwZCXueGwpVggM5eB6og3TY6XcOZ0y5LpRmRG+xqTDsk+xqj3cZURwCHe1G1y0m5nhfBN
8GZKaSDjVN5w5p2xShzbDAT1opoSwrv0VcH/0bOdZBsvyFofxQePV+zRY4h4H475sq18974JjGAm
weRQjJQC6oZzL8f4NY5NoCZ1k5veih7w+FEpp0V9DixqezJJ8E2HzIpJZWGpoCRixmjLmtHVNPri
RuP8mtHLSBcoMfAUzaHBrymzL/S00P/rtrDAFgS2xbQ0R7P8Au/fN5Z1p7n4CD3l8JHIGbxGLRFJ
AAEkvGrActG6QnIoF8J11cdIHRE+XFMkr55Nq2e+V0NjD3hXnYwbGgRCLT7IJOQ38E0YYkkxU+DV
gIrYBlTIfk/wbd7Yo2M/SSOeX9NO1u+EHomVMO9xPqB3GcTTC9PEYwUbHw5RXXxXoR1tR3Jsx1TM
81ssZHf2A1EB4QqKa2sdMFR8IVWKrSnmuH5PbFM8O3ZCKixzC+3j5ZrdF/x0BG+gZM73Ojbm75ok
2QEjPWPsOlYQwdNkBsgFNO+iIHISlMDORMK3luAOzCrCI0hwW+ztzuWa6Qbt8GjkpokpwgQPwY3S
O486NEyiszXN6Pg1VVttVBKW9JkwcM9wAWnzHKVV9N6M4EUXI/4utbTTdPLuQmsWtBvGNI/fNG1b
hksj9AbytCNMEp9Iue5j66v2zTbihXMruuOAxWe8BR1kMxCQznAtiPVFr08OfTsEvniABvh907gl
QuMlzD+gLo1XJIlRm8PCDzks7ifDTs27eqpIsLgK1NnKdB0/X2GuKc9gQbz0mEOHAIgyJ+LdpVlo
+BCk1atTkXIUuRbmgRQgCNPFq2nQNEjwymleUgFqfaPGKRmWljllZNYEbZyMXLoY6BVQFjPYN1Qv
RM8MIQ26sowmTx7bqc+haAUJ0ecAfJETLxye8sTv7IkPxmciz9c+N33w1inVWATGczK8sIo8NPre
p5AcrbJKfYpaa+gA5meleYwtDM+SJqz/hF7bVQ9XsSVA6GXKO/lxG9By7o+mvml4QNSb1sq8+hzr
sKjPgakTf09DAbiadcbeYhxWs5mbKVbTsnOPoU4sZP8Z2thJ9ioNvwETrck6tyMdTWNiZ4wPVMAb
lVEXDLsx6BTKfTaGlvogDdalh1D3k751bd+kVZ2NtLElTt6ah6CcKFMxUU+p4KhI/m+oV9GMx5O5
sHByO7H40jDIirchAA3MjjREjk9eT+sOMSF7ICiUSGwJr9gjxAutpqPcZl4XfDc7z8KtoRNn4imh
metlgWkmREW5mFdtn3Wk/qlRaXGI1Hra85lTrjFdCx6WOMY5yCY8eFLAbLL7NNhAn70xcN/cfDJh
4XmTjjeibhq5tbweYglVtGirsysCBGSbumDc4G7s8aH1xU3pNQYgIbQXAEqOHYYng18sXbqGBYDG
Y5M9LurSrb7xTLiy1HoCyDxVzFjRujb03qUFjoGl0UstetXYdlTs1uitYn2X6OuO45nfK8vU7N39
GCO/o+m1WTtQPiRcHwqUVw75CELGE61TWzYICqHTHrnfSJTx1CtZN58UNa/8p6Wqx0Kxm9506E72
sh4G1RAeFKOzLt04uS/ribAB4Rd9TWddGxpGNR1bGgywy7Glpvw2dxX+mLph+AayefAhSUDIOEDI
5yOuXTN6NkTplsvOCUk7tladEGu0O81WpdJmdGt1ddjtc7uIR7a3U1ccFcZnMolRgA1oHowk3/lD
AYVME6FTQG07TV3WWCNxFKlXyaP2iynlwyOOuMZUjdEwKcRgUO3At0BmwtE2BXWzR0M1/xgwBPzN
wbJVNcHWpJwoxQiHhrjvkETDtDAbf3iHN5ayi6aj5TMs45Qu9iAnNFBivZ0I4oUGhwu4+uVM4JkK
unlZFW7vdUsLM2mtsQu1HVO02XZL0W84dmAOXLl2KMH556NlBGRYLexQWdX0/pPDIhrQN2TF1O5Q
F2Lf2TVDG/TdvuQjXSqAvc0TW88EAzAWxoxq+V+Py/8L/sD/NNApvGEw6Cg4f60e/CPS9kDfWNF+
zQm1/fd//s9U23//e79rC84v7LMEYFwkBDjeP+XabM+2QXu7Qnk/5dqsX4BWK5OgLaRS6I286Hdt
wfoFbYG2S0+xuePV7r+jLUjvKkn9U6pigGsreLomnGzbsh1g8D9rCw4twwXiwfxkVOJZgdGpo/wu
qcV7mrEsJrZ1FF644d854mOG1pMWn7AaHwKv+NJZ9lmQxl8mjTz1xplqg/tg7jdhWy4HGlntNP6i
ixn4AxZ1OseSnQ05Y90Xnb9sinDf+dPDVGs6cnO8f87erSaCqPYR2/PjhKK+QLbDEztbK+VfrdNF
8dlr8nMJswIcX/4jie4HcqbUYhm7PvTY+VU1vJTC+S4G78Kw9cTscO8J97FwjUdSxZcg6zi2Qnro
0l3nGbt6zF6zLPmWF36+BBQTsCclfZDp4rMmeLMoO6xm7YAQq3Ic8UTbOcZh+KUjhUrKYnrjMMpr
Rv0KMQuSZUKVcTiRCBDjg3L5y7WA1sNZbTX0PUZyq/jiDQyky867sJKvIEUQpZLtvdEYu0TAv8nc
L41gch4RBlsbkdxQ3rTzWQ0WTd2AjlbDQ0gbyMKY5cGfgu9yKO5Twadi9CktxT6f7dhP2TqTXQXr
ydx4PlA2s8ZDo3/tjW2Nftsn2R0xQeQXYHLjVH3htaShr6Vajss/W1ib1MM+Yrf8b7BHN2wEs3VA
v8/SS6pqmXnVZ5Ly1n2DKHkfZeRkFBaYMZTXlnG+ibmpIKLNzwPkwMk0Lk5qHtMkKBb5XN0Tvn+3
Cwxv3qiYK0l2nHlT34sOk4rf3Rj2oxqmT6IYJLnj11xosaRk8jNku0uUcUMHDaliKgXp5ma4gI7K
SSnGHpRSTyjBOS5LAKe7MZmefYZXU0KTehfeFjE1gS78VtsyvndRwxxpfgihrwBRbaDeN0a8tuF9
4FOgOL1KPfLDkNSS6p4IzU705jMIF+q27b3tFl9Ss73jmIQElN+LwqMtpci+MPd5kH4akueaH+IU
e1UIH2OOW3YwU0JRi0UpOLHjftVL+6X36hRuQrAzNT8nUief0zCk1bxcsbv/JOl98Gt5NCJ919Oy
501q6VrRLuCb76r6s/f0TntizUH4jELBVxB4dyB7IFn19dptgiuIGKWqbre9W20dSkgjXE3Lrgsu
VoIaxT32Cl1iy9vDzjF956yFDczYmUm6M0smXk3yGpTm20DRsTfIUzekd2LCCToMJG2Mzn+sBto6
S/HO6rUvSWVf39pge4+5aXzXkTq4qbsvDT4cNYiT8qNvlIU9Ckscpz4DaTCoQ2rqnW+V940eH8zK
2HGI3E0eV4Whom+RUd6bcnwrBu97nxuXobIOppTHZJrfEB/32p7ehjz7HEt5HAAr/Z2M/6fPRtCO
5H1ZIdw/emcsRXQs5Bz1lHvaJG1aviSCMJAHCRgLzfswkvgBtcqB4xS2zUuS9aticDY/LDW3vz2K
f6yf+INz6LcnNAnmazeDawsiSj8/oTOAP+hCtcm7yMq1FRKcK7W9q3pjHcr05KfFQ1JmbxlhnHIK
DkVt3ckwJo+Qrf+39gD/SZMDaf/LycHzZ9P+n8XXXP84O/j1Nb+t7xYRdCiNnuuQXmcJ8Rip/TY7
sBSLuGlSNYBu70I0Z4/xj9mBJcmt81gz6amwBLVf/NE/1ndL/EIcjEYWdul831Sg/DvrO/BSro4f
1nd5TcZf8++k6F2TPQa/7E8jKd1bZRRTXC18fegD9aXFPX1bxqNaESgOd07FFLkfMITbRTpTwzqC
b6qLTZ6ZSLYE7GseJ+g7numcOrNWW4a54cLXzEwLR427MSb8itlcqq2trsq1OR17lM5NnDkton8F
bwRlay2bSjB40MW6y4HdkVJzF2A0jjV9puRCq8LeWFFr3AwzXD8CXOSIYmPT9qTq2eWLi2Q08axh
/MGItYw7OTv1bTfE5sF1hoyOjRaURpFPvbX0+zp6FlnUvLnlKupvpnmd1NvG687BWKxdByON339W
Fi+IINDAQDFW5Mc/LNmhI2dXC8+AVqnqNxm/yC5+cCL3BLl7L9Nsa0/NHteH/hoIeYY/dguv8Wvg
VG+sa99geh8K2cHv848DfvzCpfWTpJMbOrcs0bfAibCqW/NuCMTjiKPOcMqtE6wHF3Bi8hDVBI5d
2tyosb9B5liH+PorUDB4s446HQFBviQxXqM4WNZ1uvVG/+Q046mnRJG4bwkBxniraB9ZNDK7a5vw
gXYmNAxI4O1Y3dtt9ux48ynSLs/f4JWt2fPQpPtAtFv4Ok94otchHZ84wu6msN4AFyLkGYYu+eXX
JlsD0uMiAZves/GB7wF73Xy10lMIDWiaV0WVnHRV3MsiYd+UhUcYxJsxa+mcD+WRoTjvJPbOkcg4
nDr44IiC0T9a1vWuaryLrPiJFHLOEBt3oZfs6fIliEUeIbn4MQZEcelCnCl18BW8yEfu4g4GjCST
CwSG9QQreCAZIXa2vO1ymHb1Zp5f+3zvReOXCCED2GO96ifjAc3ua1nInbYupLDI4al66/vptqEu
grhc+2Kkxgay7VXLf7KDx8LaKgUQSyD4dOO2k8nWMJYJdqrYCPdX/1gNAx4a143V2jctcVeZe5uq
+DI3z0He7VVdU1YO9Sezd/RirYvQOU/9fHAz9RbX4S2ole1oppfJEBLyLT8J7WZVkYYFGLM39FvT
C3SRfmeXuHbMif0aV6e4ju/x3Ul59pWHBWkUh6yM3mz5lSvoiEtyw47lVcvXxLsXEd9TtcuDAHm6
H77HRnpn6uGKCkYji7b0eS7M0dq7+UuOFr3IHfuoPGPtle3JGvxD4pZPcWev6E5cju65IcHm6W5T
i3u/658FET+FHkJWw2YshWpACGjrT+MJ7tyxdr54tLyaIcV5ulljNScDbeG+aNdNE775aYomnAd3
Uzo8uNebL/L8R9GzQ79X1Wc2qZUFUimj/9SmCxPvFDUDi8HbE97ceGZzsqjIdEr/TPXOuNA7mG1L
kACLIo4ImgMgKtx1m2pmkNnFNuoXaOkUxwZPbo7ruoR0rRkiCsO/60v7CHmeKkg+Brkt/HAvh3A9
zFvgpOsp73cIZezS3iZl3zZt01DnkG6HK2OiYlDvm8+eqd4FeLFlGQ/rGVoIk5b1WFHoUGAMy8Mt
NPhhcZ1fhgeMn6o3vjQtCjmhxUVIpxMpBP/J9M1b62qWNDrC/k2co9OihjsipQj02+RN25H+qdB3
N3O9rbh8a9NZu7r/IvEI8lQIvkdITshqyBeFPvqJ3ndWArg7DI5lDknVhG1O4UW29Dp7Z0p1qDmx
OdHwQLXfsEo90a9NAYZClylgJFgHPPnLN58h4klFSXmu2xRooGse2bBQ5jcTJr8SShBhjpOBNtUx
Y1pw4I62Kk4+oq6/BCI9QeNPF17TJccgi+5sh5rDQgguDneX8VJGmnQ9tkK+6nx+aO30a1f0N801
B1RFtbGGwkV3pxb9qS0JgzmTym4UK8+9nTXydpgscSNNup3XdhOkKwsD6wAVLoyfoqs3pcS4yrVb
ia0Xu5vGPw9+/DWFdwXUIZuvXg29oNkrcKe7NoOLm0zFkwGqUqclRRx0i+ZbhGsbTrbet6MmAXKl
oDbM51YyGI4+/Q87pNQNXeiUfofxM898AFscBdB8OyeGP18cJeO0KuqfYEoZTJXdpzqGOTfwZWlX
w3qsulOW38aZzZEgDtTSsnFrNdl46GXxweHxfe6sx6gGP5oA0ApCvQOrcVFGgxAozJfSAShQ1u61
XQOwbczdMdIpveI2x5Mc5aDi5byMOjzGqc9JtM25QYaufq47C8E1I3UzCGeNJPpsMkbfU/hBv7oY
z8n81ZXUbU78Lboz6mSbZd7CozN4lSfGh6nlOqPclOHC1s+xoerQmjYMIwjv2elNDpIbchp285Tg
fT+/mJ313SBFvJiF34A2ReSz2dIunJEyi25UJ2FaJ50Gj2IO3vQQ3PllhJ/bf+Hg+3Xw5S1WgY2l
2o9o3FfyPiwGcxX5xqllUXoEt08y2jSBt6OCH4YIdxAuiRgTGjOwqHSyk5EYYgHtnmndOFg8vtMH
Kw1Bagz0F/Rpgyt6rraqsatNcP3EUtP1lxzpgg1N6N2ZOQT39NR+ySsQYGjfwSlLIux2yg1PcaTP
scP63Xth+WIH13OgqvpP/AouATuuhrGrmX2VTK00EvzBbaOP3Bk4tuv55Lh2sHSuA6SEUoU9dfGa
JhFHY16azG2sBAI1cyvUx9ZbTAlpCMjTMqtxmQs+Zc9ltzT7/QIC9FL5ig5SJ9+mlmEtze6lHF+r
WJ3IARhL4ii3ljtkSJHmge0F457WezRa/9Kk9X7kMWKZw66mLqoYr6AeZd6EmriNj607Yt4n7enG
G6qHavI0dATGspxf7zT8+bVVZo+mzg8U1668KKiXfdVHG0J3D9UYneYcAl9qtAglSV0eHAwQjFmS
mp5tw3Kvsvh4br0xvfXq69MTv4ZFltpXG0CY+V2G6EGR/KE07TsvpGJhiMoXWOfhxoqBQ0KxnOEw
PvlAUuky86/tWuYI4RqaIzDolG98qNpsW2Vps8Ub8pyXrrvuG+P7/80KyqeN3hqXseU+0E+6n8xs
BHh2FUiMbk8jCZc1VM6xnM6ylt/iJlvJXn50bDSZSi5lnG//t45a/2lyq0Sw/BdS69P87VPHDSrr
T+et64t+O2+51i/XyLPj0q1q2ldP1O/nLdv+hV5K8tTUkJksuA4H5R84YVeXli8g05q/naF/P28R
1PawfnkOQ0YgTe6/lca+qqX/PG051GIqfjI/6ooL49z1B5ti20QOPIE02mXBdRRFencLuXbYhi6A
DFDy8nEIre72h0/oTxSCn92G1x+KfVchT5BEJ1BuXT2TP7gOcZf6bqLceMf4hc1B1fuiWs2tM2M6
FZohfEo3zVkD33EWRsozZdFH6fh39u2fMyW/vQtiZMLGzcWX7P7xXQy0nRAxSnZVlO1jeDdkJnhI
zVT6tKCYMzk/+qRy//WvjmHi5wPu9ee6khWd0y0HZlwDfzjgxvVkMM5tiq1ht8NTZzcndknWdN/b
qpr5Hqzxzmm7ID1SzmF/xEUJ4rli8r50BaUEZCzH6b1ux0G99XUpn4F2lcMuTmbLeRoj+OhQy+2u
XAnHpigishOZPth47OVJjH26bas5J+HE8L/3a/hK9P7i4zQ659a1bNrcaYqhIQIqEFZ2uxiOQYxJ
lTpinj+K8Z8NnJ1i6RT3Gt9dlewZe1vpMgGzhY0onFW5yosExHNhtqEAcyT1k+NH+acGIkq5C7m5
sHHgOgOZxL1PbNQxWUwzK90ZwxX2UYb+Vs76tvS7W3+InvV0hcOlrXE3jVZQohm2D/U4VvtJyPLC
rNXCLJ6b3zF8NAvm0g9ePTiopKmxCzCiLpl0dKseD9MicRPJGSvXW3R7nE/jfLlqCfYqMrpXUdXf
qiDgLEV5wpA5cuuXFhEaN6wXTFbdK8bjezpolMfQYwi+6GXmLhrHyw82RvZv7eQdwgwacxXxKzqz
yD9Lz7HfcR7jwmmparzvQ/WcuUm99g3rONpll2wGw/EBPmO5hSoTO/GuS608O3ddXlxYoKvllPXV
VlTG9DkDKGno1kLCQAXohQbZWYbpbTcajV6aupWXpOvt7wU1NXQQpJVOjvxlYJuc8gSp6KnlS5kc
9TJGkweh2esSlHO3G9xLRKTZJ9Olxw70TW6o13oUGuh/QMvFPW6toX6w+aLGXUrd5bfOB3R2Zmjd
TJyEfHlwtGJjr/yc80PLjeYtx3zKwN6OjN93di7ds4FVJFzacTd2x7Dz28fAL7r7SCdkmDF02TRE
BF20p/mkDdcR4x9ouzKGgxN5V74glLgCXjls2ntJKtWiL4j+t/3YJ6Gx0XUl3v3R7Z7ALlEGFWaG
j+gJvAEqLIXj5lL0XcrZqCAdkZ+DSjgXNeBaInynYp8qoyya7RV141P/ratS/PkLq8vSdacrGjDz
qrOpQNVsLZLBHlJqdYryXreqZDvtJPmby/MV9h9DHgN0dZkIThLRdN9RZ2nsU3pdy8celSnFD4W7
cJmlunYXRceOdlHBe/Wgp6K4LVnaEcwTD48j58aEwA3zhQYXHb/xI9ZISkxb+rcZsWY8WVaADUK5
V0kshgUGG1090KQXTqghtbUpEqcqKERK1QBIiQ70Q0siy9yb2CZwCaWhcSHR08Pz7hsKsebM8tDr
zUS2a3LVLRZcz1HTa4LrvjkNfeE/jY620odxRnkgPCK9R8iRwxdGV9YD7JCxukkoOuYo41Sg2wtQ
rBxp8jrWr9zVUFxDLe3wubeqvt7Ek0Eqvak5OO8ybeVnJtjsAcNEkjPoo6RxHiw6s+KP1gKHtMYc
OcK35aFar1Uqu+zom4QQelwHahG6cCBW3TTLdOXgwOkfweBM7zg/S5AMtTI419DMTO6WEtwAcaql
VU9E/rxJ0mE4Wk0e3dtjNtgbw/Hg1irqW6KNDRb8fU61mIgFBBZofKqrOaXUU/dEvUZNBRa2ige/
pRGdJSuZ8z0w4l+9RkDTj9y5VnAa4hoorZ2M870aWyCuRmWj2LT56Bc3csxIc5CnHg6ViOZkpeRU
f/rmtTWvqiMqQSqMMVtDpfa8oj+kfjd7Bc63j53ycaqVyD44WDo3tu4reoVSEL3UEVmDu2Zn33+V
ILa8Q53k7XV/HaJAkPEqj9rNkmmHKTifV5hmGcSPk5u9u1bq3xXCbTi3m340Lsu8wuwGSfx66gSM
NDUp0WMd41bukYg5LnvGoy1meWvk5ojXR0XRUXtZFi0LC9/JwrInBoBVHDsrhvzNzuwbZBaVyMg5
2Ok01tsaBaG7S2seDGdR6mE+10FQ1BDZw4jtMfxK6MxOE19cyIDplkJtMFfgA7GPNY5Fp8HUJkoR
Ri6pJbCTfLrVdlpeDGJz1aIoS6QoBtk+qwO8BGi/IxfOCr8xHzUtNDRsdHE3jMvWHqthzfIbXKLE
rE9ESpC42ikO5nWhFEko3sgbD8/wQq+WwuJczdEOG3GkFjUjFEwY+wpb7rwoQhaxha7b/KX09Ei2
m8vj6PS14yALxsVjElK1wJIBOrroGvmau371lbkurS9tKiqxnt0GjSTshHffdmgATCfT29QyT1KK
+iYz67JnPiixJ4IgNaINOW2aIGjMuC1Hjqk0k7QOEnOApVhEkWduB5VF+apyGlNtjWFK6B4zJnwl
1tRxpIntqaNn2WL3Q3G57E5m1PLeqmrC6DWEYIi3So+Qw0BDYagPpvTDTlkuVihgWb61ecLAAEfL
i/e1KUx4617eRIextCf+EOFrwBm00mZqeDcVY7h7H1dZffS8WlPcCVaq3Sit0vmAXafYFrSRREtm
tHV9piVuxmaV115wJOmQNvuGmhk2B0oVHx1tvScvMaZx19WDTx23qOwzy/aApaXp3K+lbqNyNTVz
Y3CRi9m86ds4+Oy83syOXVxAgUTat5uNA6WQ6rTED1G5fDF80ohE2WKK9Bfu+t4zupUEPOPi2xFg
aMoqpGgJ8124pIPyM+/pYeybrn9vXfsSQUU4Fp1Hd4hVem8+ZStyEs+tog3MNtr/Yu/MlWNXtiT7
K2UlV5QBCIxCKYkEck6Oh5MCI3lIzDMC09fXyldPeNVCm7Xe0lXuPZcniUTs8O2+/Kg17CVSQ6Hr
eN1A0wWCi0sL24S8tNeHXgcOSVEbe+GCqu1e2pyLgFwtDIoA3c7w1NxPV+HPmzypfo3Eg203JdWh
mWqTfNM6HCtYZWjaU0MKedCvssqHH9spSRmMLVQBr8jfoZBRsMEhKE9NGxkO6iw+RLAW+l8CCu1R
SHs+Nl7LcQ12KTS8LP1wGkv7k1nN49S5BtD7fBYhwUycwPr4SETgylRahW1TnCMpP2qzo160vH3j
RNMdKEPst0p5xj4jcUFcrB/8Nh3iXWEsR4xC2l4h15OD0Jj5x2HZJ9qQnpxBzwJBD7XvwGoMUlcU
18Itqbxr6QXrsy7EiPLYDTljQE+01Y6R7A3vgmd3xjidH6mt2eVJTOZraS0KIqu9Kp39aCISK/r4
lDm9udKMrjAKB2IQUeObRKpJNPVZICm2uZTTopCjHTTsuf1VXp3vLKf76GMPKmLG/tvxXrS29KhS
yYKZxpy7PGLhoM/JkX8HZiEN1t/AEoln8HausdZRdZCcXMvYd0mPolc+MCXXfiW0h4iwuukJaw/B
hYYA2+SYSvTsSDEtGKyBMAGxAkQnLBIDPwTB9tQ+RrXqQExl9/jbmZEIJqD0lLeWQT17TFYJzxyv
MY1RYoooJl+jfSWnzuerNFP+Z5ph1em3TU9za/SDKTqMyCu6MSgGQGF9DnoynYy2sp+lMdmg2is0
rbz9sNbRupdJMZyVq0UBLXLFUZji3pBqxhqCCGYJ3hQjXk6ueNginTcn0S5d55Z7rkLDZ6Ob1cEq
7R0OjG5DF6R1lMJJtunkrl9jvu5aGCutl7wbytbRRHH+dcZODCLAx4p6UrEeomHdu6hmpQ+syyUI
veGyztlBT+b0tRqTRxcpEOP/fIhyrdlJ08svnvbXJTPUA/FmD5TsG109NxjqKQ1wvGOfCBYVKLRA
d7VN7+qvTC6LAHzA01eVs/02dNTlTVgX5gIabhOxBKvimcXgzfmfUcioeMyX4SRrO/ETA7OBLEr5
aJaUxrCsf6Be8lEmFhiT1bCv9lS5X0CumJBsioldtz3xjKpnbHZnBzWxqdjPJ6nwlym7QGwsAy8H
8pdroAxiLASHnlj6wUITCuQYPxZiDBWBTWpNqGT1SLpsEliOtV/E09GkyRE/1aMwlh2Ukmrfmyo+
abJ1vtnKJG/uNMbP+Axt5kaveFsqGjUTvJaAthfHvCb4Yf206WiELm39oRBOHoho1n0VSZCW2S1+
ovfIzesi/0YyTV/KlFlKi1P3rCp4DMIDpRyt0wsdx2vQeE1ztNbiWGu4pRiS1EPTKQfhc8VII9y9
VmOFnXWJB7RDB2gAEQc0pA9hVC5Hs81pxYCJfKxyQ+5JecWBo8GigvQZY9hckvJzbbSnBZfHM0sE
Pl+KgTcRb/9tltjPnQNdYMyQL8tb/on8QLGNtGH2K5nWWzpoXjKjO7VamoZLmTko/tVELtc20Qao
LLHfY8OOLisv8JN0S25gTUWqLfXSS6m6NBRK7iZ+NSDIa/Y5iSTBbKstWmC7zRPRcShDulxlpd/p
Jrsfu8biZNQi2qXIqVzBCSD5kS4VjR1rddSXiPUlG9jx0/Hi4QGHuryzU2BCnJfRxpQiPpkLKNth
zlg60DFjgSR6jqjTyrm+VNaX48wPqLbep2nxWXHDVKwpr6iQLnWuDL7jTcQ/6LZ2rPnyMJAXw2H2
NM3XutZ6pVNav1AElvm1M1QXrC0Kl6uDVWqWMWg7OrR3mOByn0bS4bnKivNU6dKf84IVkA4Mdx2Z
BtY1Itii7OpoQ1axcaq/dg3aBZ7X0r6T5N32pUYF93IDVZUiqk4QrV5hyA2/PcVFWyNXGnWKZNJ5
y00sz6SxyUmFXcrU/laYATdjrR2cAUqCJnfUToZzwc2Q3tfOCyJvpTHMqo1jUfG49jNNmFutaks4
Z0SCEoC/Ze49JdYITQCx1JUzaBHNlf2Bzuck4w6qyd5+TIfx1qnVALk0lx33s27pKSbvbKi+Hbw2
wkeGk7d0brZWj/0OV3JLc2C50F1KLiRlfA6mwrghl8AotV8U8yjq5BZRWOR4ZqpP7cDEUt24oXbz
PHKY9/WUyDAbqCJevvVJj717s2//DBOFg0FqYCJPNxnkzcm90FCoDDfQrLFTbB90ZtGi8Ppk4Z6U
1qPzFtN5U3afucoqq9rP4Nvs4eARSHEZkFKaksuwsbE2zDvqbvUx2o0sH91b1FGy94UDN6Uru9YZ
F/k6bst11Fbs3e4wSwH6xevcS2ZMON9rvag/4r6JwN2YBu4IDQO1i7suXOtM37YTKN3ejHu/ibod
+KNvDl2ockXWPYECGanGQtYOzFQsoWOSSpu9kgSWV//WNwh8WfCZ9k77Rwemvrq44Ca7vuvovKbS
SgQZWR3fbE0usGtmbvFerrxgCNNF/A7fZ1fvghamF+NHQQmu1ap9hwESZBpINyxmrFO4jWlvpdWX
R76K1EZhO3hIZSku09pzZ6RJiOpAjdLzGMDtgNUd1qBFhscb7FO3mumwX1uN79NCq/VccJIM9vCQ
qp71ktPPzau7Zriqo6GL5aafaRiPmpa706wLDAPVkr9DO878IbLzsDWdmpZ0dHwJuCiFe6cZOs9r
3CdZQfcKxpcNchKKxNIm3H9xZd9apCQRbF/3GoNVg5fsrNSIR+D3jnxNUj3KtrGVJ0eDX+02G2hE
pH+TAJYzFX80sHBQbLv53AI42wJdus49PAQqM35aGOd05VLT1o2hWVJ+qRXUj2HCPEiytAEg8sSP
1np9MNcp2td4P+6qqBv+iETzRVcwaxRrcs11bh0bxtVfXSxxvuknoz93w6ifhRCPaSrlTgAs3fa8
hsKpSC4TvVls7GnP0akeKpKi2Hkjoy3G/MLZst1HzxLgOx81a4L31LI3irV+eWrlbH+yZWk3i13I
Qz/aoCWnGF6eLdSxT43XhmXLQScbRKfA8scu18tCpIT+35W0o5a1D3IC8mmpVZ61dcSXpgiEDXF9
GByzDfLexVFjLvus0ucH4oG3Bu9yuUvS1j7QvG7sWG0uQyDISs17R0pxUb2K1HZCyLiPJnZofsVT
8YpEEwVSp9lRlFXpQ1x2tiJzXF+aTvTMrJgdbDvlocfXe0/Q8dE2tTGgcqZ8qOklYeCJ5mMRCZ1u
rDq1thbp462I7TJMJT0aDpGhjZsVdGAKMcawTUXiXOykaVJm7TU6Go3pwjvypiUwPdvZTZFKz3He
i6CMM+upMQqSVlqf8fcbMQoxKMNiY6H7rpEBeFmhIO2szAMi6uBWwWkw0SsCpf6eEnW+l97YPpk6
Mt60CM/3WDWGyBr0UvI+0Lel1mQ7M6HLOiP3EpZGGzR2G9LYOXwpzaRWCsV2n6maywGb7a01R5Ov
c0X8C7CY9K6Kq63SSJwNGlcQUydip4aIKkhv5eWfL+qVG7tFeAtWjmUTXEPbTYCGVT29C7lud2/p
zBbUQFEmjdn0VwoZu7PHz/+MtjEHQB61j8FGmfSteH6xqtyLN7kauCO1wEfjeeYsTJI2INk973Xk
6HHSu2Nk3Qi1Hsmul0WrVj5dqpR7gn4+5Xbmrp9bOIZRWfuDaao/Q8/lV+ap/tdYu9+4Z0hGMqbH
t47K8amJrUdCqR3kd9bty+JgB6t5D0+EfjeZzShRATgf4iUOU6IVQZaZb2wdaoKN1GF3C0O+jizA
HMcJ7KaRQ/n2aJxLGh320exC364GYzusVX3oCm0OS8dSdySe7I10C32HUOe9UGuQXp3O+lEUON5L
QqY7x9YZQ5i1v8H/jyH72u46FvO8zbR+DZyKli1r0OK9wRaKvpjhDSVqZxBBUx5TneXGRxjURFIU
beVR1R14tqpHqy+qg4Lppwfwqm41XNPShVx7Ii4+DV9vuB3t4yBmjSC2UwVzSqs3gUVipevwXhrd
fKCLIjmjkbqsqxN5WKxbu4WKcn9tPYtAcuvkocBMD7Ea35WVMAVOuUNg21Wd/LINS+zKTielVNcS
uDc0qv4vUtT6neeWfaQqksO75Fig4hC6ftKrILJtcZfVgnoxmlevGvIV3vNpSJ6RAarQYN3gr0lj
HTpi8iU53BM6Y70ZSnOfDpV7Beh16Wwdh/qU7J1EkOFq+/k+i9JkXy1R/Ooyb2RBV7t0rjerTu52
tm3ngRpYeDlLweu0XsZ0N7f9oeQ9Sk3F0zQ59BNm3R8gbU6YVHw6kzFfF0XLca7aXVdVLCJM62HW
Jp5oeJCt9JGgemxuUfPVGhWG7tzWE6D39CDnoe14Wch/rn2gIPTjxzI5a7FjCGn2CP3OoaUWo/OF
R4/GwrSunzQU4SOQ4yrGdR7rxlvuEcZzrBvPoIn/Mlgsn8ryOLPIe+HLtAx8+oMdFGp+xeXPTXzG
WVDQMkPKJKZiDFeitAoQ9Ga/KXuLQXihj2eDrbvQ7pKaMTh0PApyMCNzxTFarPciKpjutS9cxVUY
wV/+WWTZcxZTFIyoWV1bLTaeI0WXtaOojVeZpJB0aoX1EPUuBpfq5mNEaYNQMdaMcMwCflFSDwMH
9KmhfoDOLpktT1VjNDw2q/5QWzP+MEdwAFPfJnflSNqJVu4hezTFTF1tnE7cWods2OfjOukbb2Kv
NeuopIV262gQRf2qc75Bp+fbuClbqk5Tlcig7Mc4GHRT+dUgk2f0FxUWzHD+JGR0okYd8kOZ1K+R
xuudrZJ3XArDeFwqzXq8KUYP6DsWMMeeMhyrwOJaVJSQO6n0dgWRnoeRU41Ss55NR0mhN4HOpdmS
3wBfgC/t0fCMDwLZ+bvtGs3sTz0NkAQvbh8LLUT6x2oTIdokacWxwk/EZWXA5D6M3fqq5y7RdiL4
PUNjV34vdsoCbnRdng+up+5K8RsFdJLitNlFoYYfdFQyFme9KWBs6uZ4JrgZvUaYIXzuTdpWo16c
i1OWj88DuMedl/UZ6XwyBjyLnk9dAoCQXOQR8rCzLksflMRc408rrS91Tce1WLo5qKgd4J5B2YmN
s4njib96Lc1mQO+s1bpLhcqnV22AWsKyRosxr3JV/iUIyuXGZ5q+9Upo7nAiPWqOYSmbfIFAZAj9
VEYCBj9oktPidR7LB5ZqdnXiQSzpkNfxyy6qX/fkcGk3TiwzjDtJEbKNkHJdprb6kI1hs2JEcCNT
LFvjjkDhF/s3BzyDS8rFmzvjiljL+K85DIe81jr5Ts4keZlEx2KA3YsB9j/Tuy1WoPEYM9PQRCO0
YGjm4cetvER7zFEct+iX63OXY+abspu2jhNyO8GewhX2BKSUB8XWgn5JrhkJjWb0HhvF7jLKyM1S
UJR2zofXfa5kIS4DJdK4Z5RFyJqy5mE2gYYKrEhFfhySaGPRdNBUKwowy96dix6KspcdJyeyoRRH
BF5YQZM55c6rTvyFqe2iYtA2k4fOaJcw05Y6tNdp8BVFE6592+bUAFSz6t4SN1BMdCu2Sq5xU4dq
XnlNqlnuR2U8zjP7r/YWqxQKM1kPasEmI1J6/4hOc1SkltxYN+sXWsXeRfOPy+QkxkaFk0eeBlYh
XwVkbvbJB5D0G1PoOypAuHuQPtuU8GMCmSfOE8j3OMiS+U4T4CJcsllwdgjN5OPWnJorZaXXEd4e
h03/61XV/cpNwjeY5h8E6+JuVAfDyi7FaLnbJW1RzjGDNjPuUNK69/HknvRCjdvIaN51rfiSrntn
LQYKJXVjBXWlUGZ+ZYZ7QRHbIzhPBW65aJemnL+LuJv8hjcpIgmYQensykatQetCGHPTKjkWHE3B
ikq2iSpuvINup6eUxjsKefKY2T25UchUcom9pJ25UrHCqCa6UqO2CEtkv3hVZ9TqFNdELL9XC+k9
FxeCrQ+UsTKIdEywEUtpGo1KPshYA/xfYwIry/6Vz2e/jMlJ7+SrhCea0MPeOqeOV8iOiS/iTGH7
lM1zenGnbnrli+BtPL2CrNOPPKGrObPfGOxp3nh0XPpzotPfSBIq5qu8yDvur3qH7Lyw9UGmBYvR
EJyhuyfXtStJAQvNV4dNUNYZlooK3Kuuok/RlHSMoE/gZwU9D4Pi9/b+8pVW5t8RG5jumDeCemi4
XHZ9n2RJN1BMyasJYXGyp0NnTlzsptawzTunWGrGty5Nnsxc8+gXjpRd4jj1eHkd+6pO4zM7IkrQ
YiyAv4r36eY/hlKbU1epdJ80DFLvhlGNYWS1Q/P2f7ejGDfU3P/y/5CmQ1PEzU4MlOXezR/0L1ac
LG+9rtaSeC8HL3kozGJ4nPSWy5PGdWLezng2HfyaI594qhQadIsNYPCBZkTvlaqNOwwLpvBpRSuc
3WySaH+s2IzTMzihY9x647Ui6KihhXtf/iO04VXQMyLAu2cJzOe9Wkx0JSVHLCJx1OlBw2/f+J9g
1P8PA/87KZl/+Y1vP4fPf/uphnRYrp/lz3/9+/mnr6nI/Vdr2j/+i/+xphnef/IbsRG0GON0zEwY
0P6JEXP+E9fZzQ9mkQfiH5in/mlNE4ZLgEg3TJRAkqiuo0Ps/Kc3TUjtxh/TaOKxMKbphvX/kgXi
X//fj6dL3F4alskPKSV2N+P/9Gj1zuK22uxEOB/IILYZDcMKVwGlSFQDSqVdm5IYpokxgKIxNnf4
F4YasrFsPwDDHCIbXz6u/Y2lJWrHrjw0OsKstQG3vXVmWCo4dpTnPaRg23PvNWo/b9ugGJxQG2dU
T9EfoezXceD625jDlWPxeSG5eSf6NnQGwF+e89dt5fdYGlxNpgKderjv0uIwDtlHbHrrNo9oECzY
O71UAw4OjB4U/MnuBfLYNnE6sI8RWjBVPHeSqsh2oKAJzte5KtKdLfp7O3cmAphIVFW7HiqWPVzi
zG1jUuAe4TzAC9T/kND5WMY5yDGPbPp0Clsx/rYUx0KcojouXr+yvLizc/5alFoVCOkUCjjZrcgb
fLjsQiepfgXylF/X6q3rynu+6RxhWr+JLO/bSs+mBcI3ecEaOH5kqGe+Q5c9EPYVJ/wUw7viVuWz
wMuYj+JG3ORg/k7Mz0M7sSl0Ht38VsjWZy03GVoGrXZ9s8lRDdA9d5pTbQspy62cExwZdAtJ1d9V
6fRAEfmdNF1/xcjV6/Ulxze4Kevqfe10krXNfPTy2PEHrbpYdVT5LI/TYBY18c/cuBFDo2y3OuUD
OYCgAKNOgHXG4fdgRsVFduVVYM/Fh6KgjzZPncoe46VLQLoI5g2E/MkUzreYo3vh2McZ6XuL3Eay
rJC4jIel3dFkWQIqkWgOa9mLE98VzM0uEFO73vcla8ts9nXZqFt54xO5UvGUd9y7sB7TTz951c5Q
64swUfLz+onSpDZnDfyV3nbAFumlX4GHbaMWe9qPDgs1tMToJXX1mMq9JA5rZLODAUdUZdkaFDMI
CFTS1F+6njJOVpc3F/DOtvv7W86Cte/FVs1rlVfdtquZjCiGu0vT1jiDgA6N0XFCb+mXUETW7Get
d0Ee2y8pdzVrcI5JyXE53CwDzu3F3ozYGGJdPFTr+Ij4uYYtWeWNjs0rrNvkLcfLQTMRHVF5imVN
JNY5V91bVxAZETC4i1tvdqsRHKEw6mpW5aFYLbVdVPY+KXYrUdcS7JDNC6wnvo1GfZ2ayfGFGREz
ozxRZuqi1w4CkmOzI4by6TFAmfCsotScDmzlMI6rlsYForzklOb6RO9fSS7bXlCe6pIInXcrs2YT
lLjF90QiGQ8eNm68hhYhLsVUkuJdREIdpnKPi4gveAKTDIVt42Tzt1flZ6AYoKojSwubXmDLKI8O
kAwh5pa2EuOrGo2d0WNZweZRbUvUZP5f1t5L526bUxIAzC9IirvUKG76V4rN6KGKROh5HxkcTh6F
7DuezqOSHhm67j5hTQ1Zhl4Y0+yqsyI2Txwnc+InaXAhl7nenrnUINV6TRmwDuxDUja46pLi0EXj
+FHYzRQueqS/TR6WPrWcl3iJfHNWLbyA2Lo2BKP9Zbaq71oRGVGVsrdTKbMDl9gVhjKXEm8aA7dk
gK6c+k6u8wXm6rHV3XnPgoLEpl4RJxTNPY6109KMp77w/q7O+JxlLAFLgCxcVrflLH5Se/SCtGSP
zBXrLrbZwpPGNsfl1NeECmzsKb6NdldjV+R/VIs9yzUmfWuadn0ty4uxSFROECWE7v2ynvZoMff4
Gq9ZnfMuwMaxJ3CJah5PJ2W5xz4XxrbxKnu/etpZleKttQdjY7QAiDJXEhJBLvUbw82+8sooj1oF
TUpH2nJXlHGtqKodlStkRPGcbbN+JgCKyHLznFpO8Z53j/XCXXYSBvc3Nh8MUwGLo1s9RLE8R3R0
1h3vb6WPw8tiG/2FQsNjNa3Bqqpjstw0Z6id/UZYbHAmy5xClRogw6MSRL2+Nt9QjnCE5nZ+ye3k
TkBXIwBC1kpTSRI0xTCHmhPfTeWnkXNXtmqV+SR1rsVi2p+jav6mZL53nZ5IRBZr33n6PqlFOA3U
76Es0q86wc6yj7eyQkdPr4Jt7mqldpCM9HSJ/JBavHytrtmOWE43hC3hrA0/C3op+JjiBAgyOhg2
xbdg3zK/Ghs/H6ug0jhjWnVJB/dPZ3MaqOiEP+Svprf+Gns+9kC/i9zk0sTaD10Jf3TnH96rzgrh
lFVBbRUlea+ZxqikUtt0jHLiOlHo3RSHHholTXRsc5LESyktUKM/qOnRHLX3OV3D2gGY5tUsv+iV
9CudFwAlmnbYiwJXgMcJhBjznjpRg7O415E9YXtttIGgyOxGHU19qxVmQoEG7m1tb1RifZvX9dW1
SbvJCY6b1eA7lsJAVhisZj9b9NIn1ZwdC4BpX2kWszRZb0USlpNYW8BeQBOjHG8mq9wvLZHlYQXI
tReJqV5TTIAv1rLU74tXlSQe8XIvo7PtrDsrDhfLoqXRw7Qwak9SYCau8v4508YJbhPpEGs41Cze
wmQwRwYkdl11zUtW5M4Q0IN9666JMCY5LpG+BuekxuIIzxVulPo4axqki/Znwlt3jnSCdauwWuKn
1meWebuxcqxDqQvtqY2HV2OxOcucx8hRO/gM8tVEumE9JC4UJ1a0KrfVcdIHkPKtzv6p57SkLWo4
SFcLF/bgc87CCLDwUGXHxNMOagbzRJ1Hbeg0KlXtPsXr1Tn91gH0njs0YWTTJktZWBXWi5MCuOcm
Wxk3Z6e3iabeC2lh6EMwhtKHPLVfcv259IBsKPQghJl400TzdDdQbZUMt++jHRNudVgTEBFrbZRz
hzOzPmtKBHN864nly+BFd26inmJDfpDmRjaeOVu7AwFu5HbzT1/MvtRZkKyZ2FIrjigF88wbnY3y
iqBI9KueQ25ha0Ff6zazO780jR+DBGZtnG/kwBRw3qJo/CTSTkATos13YTSntbe3jc2NaJyZl2JM
iE65dUS8KyOFNNcc65ZyNJcd6hSHyraPYhjcHXsWfuX0BOCtxU8VmdDzKvsqkdk2eTm1uxgmRM2m
n59kuvWZKkVedXpxddvYmqypOdjtO4WwgtvrK3bsk65xnvXL+juO0wVeXxZaE6iPio4aPT7I1Ljj
oWbkS+FZraTQqUYhs4b1CzdaH11S1X11/SMFLU+NSRipJ04sn2qusmMTv4Jz3TWDG5JAOKyioOlE
wNLRrq1VbmeRdds6K6j0mGau5loazj0lu4iNv3XuvlkFRxXvhtxu32un+zG16GRNRPGi+tynBFwp
CxKpuUvwilhps4P++hdzU5Da03E0x/e13XtavKvbmGm+C2XpnWV+9dbpY1yMcx+fNfMxtteHevZO
igwg/LrQxZvQkSe1wSq2EXjdROdFVs/dqTOZbZZYXYB/fdrMuvlMsWHnucxMTfVltMbexobY5Jdh
JXelxfjRPBe3f1PdKL2a/VvlPNhM0+YZkg3rGGxsbX1Xy+5hFFbI++NiI944uXuPTZnK40fZs+ol
7nUjx9zRZw4ZvDUuWrpsh84gHi04TFog+SYvnIO3vBM9CCO7eE3T4oJFf2P1+skxnJfUTP7QY5Ci
bqdUQOmDX+gcWqm6p1X6PY3Be401ZpSBKlziH/hwv0eZbN0MPXzuMUa7Anahd1CV9zKwqPTbQR2X
TqMIS3a7G/JglPofECTObJ9n2/vmSUq35ZA/GjGM5dFGGOQyQmI5mb5YO3ikt/PQKEzzUi0N5dBN
uV9n45pl2v1kr+jghF+63sZdcFvdls4Podx006nlJWXDyI0iwfO/8jXgsRy9d7B9PkAfX6vEuajo
l57/SMfeNYKyccu7UfLM8REc5HbR+rsWS1NsqFPOGZig129MYDUbNVuHaL0xEe33cbzziuYKZ+Ai
hfuEgEsXnnwDlrjRee1xZnSdr4zmj1q/cixzlvhZ5SkV1j15Z7tF4OS197As1r4HwlPjrXjoaIOf
6/RSa9ZLSa+cb5kLtbADhTS9n0TiCh4wyN3haJhjsKTNr6fXD3M8BnXzZtDjlsh+f7Obo7HM15hY
JEutuwZFGHFMHjm0ua2tGwMW3jansj2fozDVMSik7PpX+2/V1jmaaH0QmGr8qXAMX0z9pWjELjVQ
QlmxdaAAcldg2bH9HCxRSDNKHrgdbcCCo6EopwM98Ffr1jy7Cl42VPWMmxRTJryB3PWjagqE1mGY
nUZ3A6rvF3wPGlxEOx2LqFy4bgBy0N6kzjjAPiXgqk8uFj+n9mVBDXmTvDdlzrA1qjPLpGvTgn5a
CwwWspqOTWlHfrRYL2a5QsVlsbJlLfM1NOZTLbB4V0P+mRjMkhJE5o7J9M9IGQUEo/YgyqXfKPL1
Y9S+w2coGH+QbvuExa4zZTcuseN36wzhsa7JrsMrRMC0v+KpftR6drS6cu+7LGv503KgxXV/Z2jq
ssb2FZzzDfml21Q/gT8teqCUERWQm6wnQZy38buweQ2I3iz3DgjsXWZa2OTJI+1orSrCdKz7zdRg
Y0+8eWKbnGF/IC/KR55Gr7oeP7PMZB2fonryp6m7nDcx5d4MyEaXhPxygIoKsHyaQV7KVTkYf1Od
iogJXnTxQ0GLyzwZj5Xb4PHHJZVifiqsKUD4/5GOfl90K1ni+lZ2FOEThz7ZhB3dxxcnNbhMwOXe
Om4rtmC7hpAqZAhRoKqe0tFMAj5SKq/mw2KQ/8lippW5nu+HCAdrDF/6nFIFT7qmEQZe3KoKm7Ih
dghQzU8BCx6MHDelxTqDxqW5PNgi7bmifceC77bGIhLwY5o7b7Vwz5PgotQTPrLKX+AOdI2XH0mk
uft6qcFDtNnkECEaPzAkvkRZdRAmnBE3lse152hbPRzHeC2Nkcd8rgyS/QT+WQ5S+VTeYAJ0YQvz
bEOZPDh6/UxkWfOC5aZjy0kkB44W2jC4eUDZ4LdpMArXbuhUevqpE1UM5pysncfdehcPaDBzoiao
tU0SHdKscMoAY0lByGYdNtrN0qYN0SmLo8vSS3z8LQg6oKwdc53xoqLkS1ECrc/6aaQd1+RJdPvk
M+ZRq6DEpW7vbElQBBEw64LFc1J1rHRWHfYDZVzRAgbktnPObgR0NmPUD0YqqCDEGQqajj6d4g6S
d+ctIR72eatqNoq1VZ10XVLTm/ilUVHslf6wIghSk27XlOUKaxKz/Srs6M/cu/cjlC7TsELlGkeH
XDxxK79XJrXsY/8BX8Hvi/Kry6cre6pTsbzHxP5h3zxIM76bl/xNVM25ydu9dSOj1RaJ7/RoudqD
W4PWB/Lbw8HcVmI60xR1L8scJUndx+NrO2ePWUMg0VzXwHKbN1QF84CrfWJgrG8gfEGMDpZGHBbx
oIdFtqRnkTCeRu1VRTBV12KBsjPeFYb3wNdyS97pmfw1+2PxA24fAJp6nZJW8TWuT2mVPuaz4V2R
s+2XVnVaoOp126+YYNJCbvFCvBcsy9iJ896tsTZlqOcR5xReNe/EsvLP2OMXWttpxnWcPkSgjgJL
AzeQVy0oFjzKulqfVng8sA5AFM/idcAvGoNuZWuC/16tZuVXXfsW5+B9gaw+Cq8nNdMVLwYpn2Gl
HdMpGsZ35YX5iFky1jELxMlvn3f1IWLtf6k8aoBAGUgVUmy5J6R1bxsIihvwCbMK+9p9MeP1j+Hx
5hzzcjlF8KFlnFwQhjxflInNwSAh1Dt6lu4M7b/ZO5PluJVtPb+L53AASGQC8LD6KrZFihSpCUJU
g75N9E9/P7Dseze5r6Xw3BPFPjoUCwUkMtf6199Q5NgVFgVbnGGPEZQHfAbcx7AYH5M4e+mJJlq/
Y9j/H87/H5YFmP5/9/U8Fj/L4hdZjx8A/eXfXAB9kpvA7X0BsPafDl4XQN+X/9M2sc30UHmbtvin
dyfp3gtiT/gHkmwHh04Eyf8Hz7dMksQXnRRYPpwym2nD/0P0N4fFx3GTsm1pCX6RB5Lhebb8NG7K
obsVsk6I4UjEpDWrCRGysamnpjVWpQojPLG0QRSVrhyOMTRaol1b9WDjJJg7Sm8nCNPqZANm5au4
LaeJssZjXFUsAwCGuwqeL35fHVCG45hkA0RO8IYVtab+sXX4lgRdidW4xhtnlZYj+NnQ53CKjp4Y
qgQGE2wrw/iG5MOs3txeIOjB4862VwBJuPN4E+JImMIokx+hxwXtevJsgZWh8uI+WS/ffz5QZHXZ
l+V7mCtDIYGx13zJwnsM4Uo+Bz0uoG9gmUU53+ACZuVXIVEB8zP5BNp4TPzUVHvKj+Lc+UmFRYzj
SpufkQi1GbCbNq/eqhgWMZPNzBfCl5FaGCAR7oXu5sbK+axHKTo2i3gco2ZjgrLyT9JYTfkV+GsB
rC+X+mQfgDrYrwNO6eWZy+RvVJ0lzlXq1BN62LSx0xsm8GbzMpBn4V3hTRQ6j0Eb+a8dJBv2J1X1
MQJp35XOCjiA42I5Yobul8g5hm/aGEo4OEDVZsHRxc8APm/bxObWZGcMt05qpeNZ5IqjJKrbEjxx
ctLqJhhgOSJ1nAPra9egG62dLDXuI1M77aGNBqF3VTKi4ApMaXa/GrsgmXrmf1xxEqvkSrnhNBxj
PE/n5zyfsuHOmOck+UUCr+nczAgW9H5oRDnuU82te61J9DAeh8BR9VvB6Du9k0mG/G0oeZJXMJ5I
VcBTkriAXGDx8tgnQf0chSXKuYwmp9mWzIPTXZSmdhrD/4ll8SKsLgUiMGUlb9nhp+5XFlc86yJE
j/hTwBsX11HnOMl37nM0nzFiaN8frEb7vM4qjBueO0+nYN7uYgHy2jghiuI1SkcWWkpaCZPuVJlV
eZcn1Wzf2QSFQByzGVCj1UPXsg9jyBdQ3YKZBWrxludXmYfI+0zKFFauRNVl0T2mUNw8/NyLaCMR
acAAGDHXn3TYF1cpYiYgUMtV1/i759lXs3cIBbf9IvPRqisYfZORtrxQCPLaI4UQvtcwavi2hAXy
eUzO4vah8mSkF8fU3sLBmjlbDgLW7Qun93dWJcD+zHIo7T0TuajCsmCAzTakUe7srXbmMdvvf8aU
XPNzQpiE8xNiZHU7No5Mby4XXeiZ5dsp4aQ3LmCh2mdjPZvPXmdH7mrI0uneIe2qOuNtwFMw1TxS
wAZYMq171Y7cOFjt3S+cW7k/dIJDcTUHLr1B2WC4cJ6YxwXbjl7COBTuMKkTeM9gfNNpFP8smbz4
VJOhkzwU8FkEIK+MDc5dVUyFvFp8/sczH2XL41T3VbxtTCOivK/EjIhKIPsTVpyOm7bFaoCrmgRe
eVYamtskBVWhekgwIjiWCpeH58s3TUcnH8+dk4r6rUKPwfpXFn705dSaC39Xm996L54xfTAWvBws
mFvliJzvjiyKJ5OU8Eg3U+FAVvNDhxuGXWtrvuBYpp+a0E+mtTSVvioCh/AeN84KwuBLYPErD1pk
d4zDTqQ3OcEqlDKZg7lxGTZFtHXt3myPdSj6s0ln4ax0rihOWym5sRZJE9wdPYULup36XrmLR8NW
+7ljQ2bwhJbzrYgrVlFnpFXAi9+n+yCg8YVVZcwdUZbdzxlORPSwgFLzqetNu4dAY9f64EtY7HXW
1QIUyCI53c54IW8sfzbqh8kJ4+g7nO7I2pP3FAZ8pm19D+Mqw+A9SptipDPiWx2LsWQtGyOJ2I/O
4E+8PHnOdZ8Kkp7Kk7KrqOB3DyXkZigjVoq3cz5ZbMQofQyGpEze1C6NQIFvezdIkCb1hltgQjmj
vQrvk6bv+mvpjQlGlvg2xHywEONilJVriOB1oCyQ2SQ1JHTsiRSAuMt4Pr2B59RWjbYct/QeI41C
PKmarSkV7AKx2/InbUPM/o6g2a73WjOg27Ik6fKcSOun3IkdY+W0VbG7/Hg94Y6/u7xlE3S+/Moa
6Pke43FG1XB571o2wOngBhak8gjapX8uABnApIRs56ektrXc4CLfLmJiQnnOjLoyTlsIQuK6ZBpN
MW1Z7cjsiOQ+4AtGMDFvaejVKKphcY+9d8YFOuxeC3R2+d1cZPzfJvz/8s7KVOy5a1z94+AQAcpA
BRjdmudzefl7GjWOvvL9N9ZzxcK8/LdmQGk8MjliY09SQbc3w8uEhFSqtLq2Jr+Nbi7bFROUZbcA
lZufL69JiF2IwraOzBScwfA5YMniouaFSAIRoLTwbkMgxe4vcaLO4ov7X1wcD7G/rWwXNx7PwZoV
T9WPXJxxtocmpAc4DU6YsUsjpkyvcjBssrKMOfTOkgHBGd+RTN56TtqNCxlHjS+YBrgE9ynX5+Ys
+3m7iSuDSSbwI3soSx7ccsZCbD5ffrNn1Sq/CYea9w91LnczlOSLUBbYZqu9dTOqPnueEcYk6zkt
a+wqndj2N8ZUTZuwl/ZrZc8DrVnGXdilvsWsPCtk4x5RKIgbs8tC68bGanvWaz8UtfFYx7iX8V3i
ZT4QGtxw7XsBIwHimCzIeaPc/6Mu/m8shqyPuYvLzXSog6G1eD5uGKZaPIj+QWzCk8OzSk7ZE4YG
RrM16ngRf5YwH+27SZVBs0VEYJmbtK3gmYk6nBeOx/tOSm6Fp05/vh7yXT88XdixDhIqJV2JdZNE
kPDpgoqZrjJJXRI5dBCLfWQOVfqUhQ4trOOazSKDlwqkrMp9vBazlPc+ioAoJK1o6jzHJj3XJuS5
x6DsGnkRUXVWsU4FmRjNGu8xHlbP/uECxeGO0mwrbMdLZtZWdDNPkM42YcP8+K2yHcd/AYfLl1lc
W65yv8riE1vD/OiUHFFJ7/6sUFnsavzwoAnn2wlkiAC59IGR2ovs2VNajtE1exvRS7OEmCxvrbL8
ms2CrQdSbSCtHa4luzKP79km8eAEjddexoi1bm/JSTl3FYVfOp2INatWbTvR84f+GcatdyM6sl9z
n7CpCogWGuKUnvDD2g1zBzDboYZqD4lp6RF6gPkQBG6x78vOOQWcXOt3AUZhYxlBLkkPudk5zos5
XaG+Mft+1iU+acR5TVsvtCAO9TeG9FzWPUCMwbAZewY3W5sONpdg/DBrLLcjEjZkDLoZ7CVcNCj6
9ofpljK5JZGUQcylHrVCz2sfAbNumwLW/KTkoRizm9F1793COYSogEiSvwtNsqxjYdT7qpreuia9
UiMRKrHv/UpG/7suVHOumS3tZeMQGpcglJSdv7h3LDyDCaUVH4eBS98+mYAIm4zArF6k91HfPBpz
fJ9F5U8xAexB/8cQJBNfmqhf1xbdlRqiK1+EJ5zw7o3A1yeVdVhJjnqNi86PSGD8VSM2yZJih5+n
Wtm6vqXquI2BUFY4IN2H4/QNdgEeMLG+qtwez4ZwRq3U2QKShv7lDelpVo63ncKi39rM6jxf/0af
q7dz1P0Mw+bJFqSyMxpAbDkOv+1gPit34oFk3lnMDJk7HzpEGTxWMdW+Mb0gPMUJtGJMVqczRu2z
vUnIfENc5dvMeuCAMuUku9ZAGaFvrcBDvuVeaWn+FIrcZwrMHglU4qyzdrgJCfLNneQmqoBrEh3M
AM5i3ORSenvtut8Tx/o1Z9W5TgWGWcHLNHCXVkUalOY2ttztYEPCHGEwmMaYJOsh7TjmBqeO39KA
REoWeVMyc9Ri1oyRy5myzVELQE20U3Bd1sbon8YSY5S7DKsTTsOphViFl1Jxa0ONGzdxYFkHITiH
t0aeJj+r1kbu1oSyJXDQksWAJEa07Tc3yZMbWF1humYPZSDy561KfDQoQ2IE6883LdvCf9v3aP8/
bp1Vofrcz9PoUFuh28MHVYuWvwQ7hWcDjR6qtplDPSPcDXauGRrYG0Q6pcAEixP9A2B7oE7Yu7jw
MkATXZpPylDnwOipC6C8R+QVOLKmdA0TnCoxfFZTiPmutKpN0IbA0RhlkFfVqJ6fd1q0XCuPuzvs
xCCyYNHks383RWYwN0x1mN52VkcJTDBqoqnSYXU8EiTay7+c0Bfz8X8e0YqNG39yUAwbj3JzIV/+
81SZUXg4gkCi/dRW0fyMVkMEe6vqjK8musfuSBAXHVQ9OJEDJsb07padj78htociWKWKygZOSh6w
K0Qqvy9qofSG3aq9KYiYj+sVNy9EBTNGbJYxu3axZhw1Z8f6/WiSgRjkoUPy8GuCcq7f+rnDYqSU
gXe+VKzlXFHROe+dXDxYfN4cIyDajM4kJ9JOWo3cb5Ihgr3KLF8xG6VmcgZmb9sUudR4tscFTC6R
9MzP7XtxkHKf9K5oKx4YlTblghNALX+ztTlgIZWEeNBw0MRp5+zQKdJcQIKinYwZwVGDDd1SRiRh
i8I1H3RNpTLyO6qBUCk6JYjT9Vttei4fEQ1UoG2B3viZFC+PisFEmHKbWS4t/0jjFm0m+I/kYk0D
ncjlY9rY4fJako4IpE5oPgeisjQ/FKGq0K/mOJf6tRUVY9UpzJXG9rZYhroi54ExXF2+WwWFBnDl
vQ/ySTJJt3UxL7ehncful/HeM3alrPVrYLf8s6GKaL+S97o8iyIqGfwOfbJEpsjN0Za8f/JcVYlt
QOecyI9kILEgFpfm6bJcO+iHeudSFuhT7qEGTtdY75AuiOawta09yhyKgIHJeH51KbjQxXJplugx
EUEdx/gF/iQX4md1Ua5rrxiiM/udC83I8wfNazbkZNQz6sSB7g4IvK7OvV0k9aZoiXXeVpg84CUA
FLIsZhsHCHhD+CVSFYQp9ejvHCnO9JSZeEHBVgWAOCpICOnWnSXdXy09Hic0Fe7qZnTLzP1ayQC7
4DJaoq8idKeATLgk9BuefqeuMXdV2JIKijO9JXgsY27ohjlNHyMb7k5aB2W6BfGhQPQ6nA9fL3eq
J8eS3xSlSKs73HvBHsDTXmNDiPYt8lz54nQ66U5Za4GhAPbwQGpC6LCwLDWXeyk2lRUvpfxcUIej
P7cKFvigI05Wj5n1/FArl/kyI/B82BZLztAKb1a/OJg54ZZHAA4NGILkTiP7HBPeaqiEvDAuM6zX
EKu7g0ASF91fVktQQBi9pT2Ft5XlcXPX1u0Q7PE4C/rHgsJZvzoGMy6ayywRYHnY57RXDLwDlAbw
Trn23jAt4yf2yXKd2k0aP4eNYcKFrIjTI8gmUMEBTQe2esEwuObREgZEMrdXGr/tAbbmFhBpiPfI
r3kB//cO2duCp6cQXBJOWkZEoFR26NpfxiDlnajeYYKxwKFJrnQdcZ/M993DDZrlBbmsYbA9vnw4
DHz5KIHKyiS1JgV1GWJD/O8D6z5sYo1Kx0ui6ctQsJbOeCpRVqylJya1adMwe8Lusw/P1jBgF7MR
KQv2zaWdmdasEun8ZsDKZdMxMsn0iulUDhh+r2lP/PaY02+yTt43WwDkTHJfpbsuPMzF95ebhwUf
Q9E4ItiIvaGm3y8dbUEGC/sFghhzN6IsIP38EPR1PN24qWSzamAeBLf2PI7ueRhBV64i5TS4WgSc
lthTCb8cv81kXJVkFpQw5r/m73sWUhI8b6yeWnNgQKjYcZQPWexW8HsF56Jdzc+X7iJ9hwERU1ge
rlWi/DHVyi5vTIpOyY973SYgrK5HQGstq3Wwmw7ZCoYhZM9hKM64UvE6SDxTDOHgiWilGmWkpTUW
jBDalmauySTBD1HTmdfIwwzsGPuuHvfsFEpDB46n4gohUF4efHyvyc2u3aiGMByXECxqu6fKwTW2
2Vz2nKzTyxYoBU/jAgkHBC2YNzKuG3jWjjuVe8lR8I3ZxlSRtdv588/YzXMLSxHgJWy6PLfFw509
lhzFZs7rQ4MHmMlY0smHfdpbib13sMmD9+OZpbO2ZnqGzUhpKA6t7835FX0vPii4nxd5f42ZqxXj
68O7cDXJgBOOGpKVatlJ0h1tp4brMMV1glmXhSYKyMQYMaQ2DX+MsALgqeRrPP1E8bXXnI2kPZXN
KxxXRgSW7A2ai4HFs4AiPYGoRguFu5tC0iDCpGcsHAEZwaJR4fLSJpOutjjwMe2gWll2AxUXHJOs
4/djkj88x7LKbTAVuY3xx7S8RsseP55pw0QJLcfAF2g2RM5rNLidtDE8x3vMPWdMUIPidixaAGwT
i8ryHiyqdh/8y7Mg2JazLLU8Dry6xI9o2i0+suBQQASp99s1h2HG7A3/++kxed9ZI8vKk3Xkdjmm
9JMFM4FziZUgduP7sWqHFvvOpUy5lBDyfbu/wKKDifBVIoNX5i3BUW1/DlM2r11ey9R56JcAsH3t
Nc3Nn+tR+yMu4pJJQzdNIIxcxCYuDf3HoouGiwqrhd6KgZHLINvCG5ntIGuGm8KpJupUE9l6gY3Y
0tb7pmHXb/OsgnBvDLFtHwYqEOzQCfx11oR5R+4DRn7di56CFk/CHhntQTkJ4bJGWHCq9TOm8U8W
ZzviBr9Sw21Yzth3/+VbfbQfXr4VuivmQdQFjIhABj5+K7OJm9YlqHV3qTRID4F1mTeEqm4sSoL6
lRecIxGB7xjhWpQlLmVBZQXfiZ1OQoIl08xgP7NRkOOhM8UL30SNvBOtO/BORO+4vutqKkWO9a5Y
ub3X19fohYHg2Jgp16MKk7+HfoA3fiC0dyZJ1eis8GulNXwWzq6eTDwHz42/fPdP4Azf3bJs08bd
nMUvHNyOPn73dvYIU+iNccc0m0IxRRjnnuZhwsbdkS1Me8jnQ7ALXI+uwXJToPRB47iLj3zpkh37
50fxryehyCYUJB76DtYVlPUfr8bttF+HFT5jHkL38lkIgb4eaQe9hymZ9+wwPEuI0MkTg4SDWAXl
ZZ79Y/xf4a/yvwOrPmJDHp9vYUVJv+VzLyzP+bQWQpFEjkyCETKdYcvvA+yd6tWwe9Y51VhECUJS
zjHvSlXiPjub3k63MeLmQQ/ySJodengNCXUfAXXme+yA0EoVpRiuSiEyh7l9AU3lzzdteUT/7IQY
MEuqH18okxuCvd6nm6ZyOyvKNAQPn0Ba/aKjIE8UHo9bD8839k+zyDeLMamN61ka3ccMC/Vfbhwj
7H9dBlxFKmuuwLLkv+5c6jq1EqNlHmUyMf+zVIiuFbvOVh/LiUb2oSGqXb1ofA8mbDGRvaLkcVya
ywqE2zlokWmck2eaBNDt9ya2int/eApaQkdQ2Jj8aeAGCnhIRQdEzgwY441dWRR1fCMLL/JBnpaf
TbDEaraj37H9QHrHzoRpu+sz6+TAPF3qr6apWNGND+PpqUhDBfkZg+BVx8Egltavre6Fbyj7kSXj
GvskstPyB5v7cM9N6Oz7YDKbYHu5zrAa+dTQa8PxiQBG/lsLIoux400ow4SozK8jnKeRFquuyqvc
jp3uCW2HoUnmW75CqJk9PFkmut/fZuq0MDsb5eTyJBzHG8BpzDTgMAi1vG8cDAq+Z4hkIFV2kYYL
orHp0O+vKUYr3Ghi0sOBSoP86HsAfBi+caOdaV3kxHvvTMh56Y0G2jJgRDsFGimUy5igt/C3OK/f
t267TBv7ruos7mPSBzMuUamMLKp9TJzuWVZ2w1Q46ew7BLN8a1JNZkYxQ1My5rlse9Zo+PKF/BA2
csOve9R+Duvm2ieXa9zjbd1D07ZiMfFloY/y76Tf8UgmPbAa4Okb2H+rPFUv+dAg8RYLmHCHxCbE
JBHYXr4QGsLGQEQiF+kFKWYsRu/zMwQac/q0poynHYMXM8PLDd7OrhgmXuPGAM3B5mn5t7ZXyv5B
9CXbNOgZ6882JY8vayUL5fIo8a13HIKoe57T6I4sFwqhoHkh1QJhW261QP9bEYRteSR8xKoO5ftd
yw3FB1heXCW/h7ELjX3qzZG9tTRWZL/bsDKJDjX59phgQmHF7DUM0dTPzCDJjjFBsx5MnJbiretQ
59xEYVbgCx3aaABmP3fcfQz+mV7p2Cu6k+epTj9aORlPX7xRFePrUM0oNJn/gGnmNdziwkwC8Rhg
O4kTNlyMI6nZ/nlMMOUZV5cHHY6MnHYG4nD3IALWHzT6wuoxh0ICUN+QBdSIZ5E2qetteWAo0SNf
i+6Ytr2P78dcTXXyW9VoBl4wZLKHYzr3Cr86U3U4Zrkg7vxQkfDex3XXu3fYCwf0hQUF18ZyK7/d
2gV+A8sKGJtDULvYpDDGNpJ4FRf+tDe8qKDXQIPeHPB5DPvHBvk6H+n2rAA0moOLkyVuEvWbzMA/
D+b7u5ix1EhAjjRC6lVkSp74zDVhWSP9uvJp0G0C3rdRNBRs3kzC26+0L7wK6B0TjAH/vFu/n6gf
t2vXdaQNn1/ZPkrazyeMLysvHhxxnLPEf/Pg5hGTl7jtAcN1F20Cp9pKqJ4/dS1rE6VpP74komgy
UPai73a0eVitwvCIl0E6wH8ZsryeCuwtkYljZOavlrl4fpoE780DwXHYDhnaSlH5VHrM9rVB63wn
8i5DltgUSCfc3vJ/OHXRunuBl3L0iqEjOX/QR3F1WOE2BXs5q3OZbFShnGljdr4VrA2C5TA6pUdT
YtWTp2TiUhkrFFBB7aUPWWEjvgtZzsWxAqWarrPRHtWJpMmxWlOPoc5qQjwW6IV6a80IWt1mTVKp
vwyg5MeqgjPdx66MGw1aaDLO+zzN8+w5Scko8I+Xm8sbWNuregp+gIuijCXsqnqr0yyOMSxxvacq
j8KHQEC2WSzpZujo2Pho2AHQsaFKwahGzMG5Xi5/AaW7dO7Lfna7LapiAqxUnin8HLAERqmQlck1
Wloy78spF/FJO4wM4zVue521zod+KG/CqI+Gh8SAA4/5iGipDmmVNqzQ9jHse48JjOzgALhyEjfM
97szRGn/e5viUXu00QXtxsYsaIwLmIMM8HjCmFyWYBeJievTlrc2/6KwyMKQTrpzs8I6PR82YyTr
myFg+zh5zPfX1IagaQ5p8g0eciMuacDdTnmC/9O/edikHN2mar79+WX4V7XlW9Lm8ZiKeabjOp/m
rHm4wKqql8dyNMbXmAwJWNahxcynCnAv31scAsGKs7HV3//8yeoztO7zwNHZw7dThMFgvfCxaurq
RuT5mIvTwGk8EOEwMA/yo5DTym9IQ1+HoJ7eoRNuF6Hi9FpxI3H9+F5Viq3hAqhiqwPKIVq7shae
mFM/OxQeWEeidFiFkkARurmA34ir/eSfwiqEgoXztlGTKByHmJj0FXui60/meOVHnTV9Taj9hzXq
agniUKWJ6h9tz4i/kNoFzeACcMKm4jcnbs9u2Ft1Fe8hdYX5dYokgNY1DmxILoNuQHDxCeOrkAy5
oGMjzJazTjHCe8D3ovkZaZgPENELIgTJnJ8f7W7yX2vVWe1G98FwmqAv3lq4pGAVCNAcrjTv+g9a
4jnc5vXMfYjemV0KLHo6kiwbNXvYOc21RFLLrjaBl+LUKH3CuZmSvPz5EVr/Kjmp0Zm64pphupK6
83Ox3oq6wqe9Yh5lGyCUIB00SMoYuLBLK5c2GDKBcTVz8YOyrQp3Vkc5jleYhtIQTg5gheswqj1K
JrW/DTI1JGNOH9kj53053cdJgNHUyqxQJY748OmvWZKjRSnY8pKdQ+i7f02kT+Fuk8pF0mPgWtmv
gAsYhV7IC6WRQOhPBr7Him7SCe4Qy4vwUXeIn66DEKol1gWpstcUqro89GNZYJbnYWW0vXALYR0C
CLKNN9UbJmHY74YynA+mCHjrUQekiJCzue1Ba/HbvDUzx1THkcCsBdGUEwvsMlSI+9qKmcFO8/Dl
gux3RSSGow/9gwyKcqLtgkGWgv1Q3q0uePwQIoxYE0mU/2R5df5KvjOXilmPTBqkgdQniBzsjwyb
jVCvmqZTW6AiYN80sebvrCZAIOJ00Fkwy28Q6dsoqt/ceYSaFoN3pzgZCZ5SqAf++8LQumDQxOTV
vxMxQLJQ/UjIe2CkQDKVjs5ug2Zhn70PF4A6KVy5sHAmjzuNEGNgprY8WWhJAaRBUw9rox9RNhBW
xzw8aayNZWfmS088RLCOmHBjQV826mjMBHLuvUhG5taxwim6DiY8as9/WbjiI46yUCKg5JjsP5gA
LWzfTy0buyGOql6GXQBxQtcYyXvOfTWjJcFjcZgwzbb7zON4jKYCPS3+Ot2LNeFWau98CGs2aZd2
ZR8uZEn4u4sLWp74r/jbD/2zY0eOehJm64w7ygjzjsSVgrDSEffUg/BBkCBn1sBec4hN7N1lKgPD
BG+80VU+Q7ChWAiuXVQvSNhlzOMMdSDWRKhmiPGA3F5ad4QVpw07nXaUT0tmIhbI/Y8SU7P6pDwD
9n2Jx9VDn5OuwFNHTpH7JGDsqLnD4ikoq7jjl2NvgZzYLKafbUXW0XbIg4nsPVy3WFrgp4Y4XsBk
Zgngj24tmdRcOgw9Cl6MGuc+SCx5wPtLN5d8J6lxgoAIL5FB2oCU9FHJqp55oLKJaTnjErEpBWq+
UTORsfsIWhbfk5i3wkZYP9flwXBkXGzTsLbsXc91mUe8xlAS+LaRnryxmgjMex/IDZxe/lXsujN2
/hd+nYFwyd2XRk4EblDIZUcWYdX2J6HpkJ8Zb6DTsiGoMFyykNWsyV9VFWkeCVm3AVQnJEsl4rut
LXzCHPFtwHTQKBV1Va+t2rmOJZmmMNziiQiHysgOPW7+DfhsRXJn7uIlCQcakOpYS2XCUmV8sktd
o46OHs7eJfLPhaSIUJXokRk64dnPk5wo91mJ8lQxmULEATJ9nuqmSPD2Jg0cJQ/5fddBYiTpKdWt
L/YIpIAZ7Jlg8VvPwunhkJlx8jShj882rhrAqAeMW6F5NgOSviHQQ3FTEpmRfYuxl4gJHpe4qBc5
Y+w7+qr+7s8vmf256uNsZzghAHzJNVveto8HPAVWRtHh96cALNFDBK7rszRD94vxTlU2KmeIDyMx
UsZr66HA2wTWgLSYyTe0UDVMAwmCxDoR8AyBtNspd4Ydy/ybxUkjrUnXcpo0vzfHqbynA/H64wWz
rWyzJ1OxQjmN2EmdHTCknfbsMt+XfNxT0BEvwcSkZGH++SuLTxAMFCvYNwSkmr5Ditq/kCCNLJ/O
CkHXhYmblJ1KTiFfqLtzSOJWyJclFhjs7CDmgAkxz5t01W/k6+Tp1mYQ561N5CPo1d+Zn7CFk+xW
xVpW52q0msdUNRwnUAmpadyUgFAfxZgekAUNY/UmOkAVfHCXiW/ew4+6ETrGklvOxTjCE5fm91ww
7L26UMbVEBbz3ZyPJXaz+Ivajy0qJnWVC27g31bDJ5CMWyPAyKgzJUXusiA+roZ6lG2L3tS9qoVh
5HsG33iUT1gt4kIzlMI6WHGfWneXkXtOyLZ7q92oDzcJxm/WTqeMmO5E4lTuxmE8i9eD8Axm2hgS
eOraxbnwZKKEzLE+TKrIATJcDFCmHkOEOzCW2do0GSOjVdGDHG7ywCrEFVBmH14Tz2OfTMts0eFh
m2hwMyVzmr/gc4sS5R8oIUCvolpC6GEqAF/uwidotXUrncIwlvuSDCP1gtci1BmGTCA8K8/kjGGy
Vlevs11iFckrlbc3FygoTiLTOM3hZJXDX3rhf18UkCElOA+EiQLWxp964STnnHExd9lfuO/ZFFHA
JbnHth4lJbi4hwkvrNgqb8MfAVQDZq4zyqrf6G70fI1TH163f7uoj50Bd4qYR9+14CXRn0MD/dQZ
tMYUJ5aVEjiU+lH7ozOyovmJuTftUZf7WbhnpIqAU9AOmPeB6N3kgMxfFITwYiC615VdUFQ5S/Xf
vC+bP7/l/4bsXVsqT7GImcDQzX5aylZvmdiBhunexFpBf2ldijHUD2VBLe+GssLayle2/kK/KGML
+kDruecaS/XpypVks6V/u2GfCZ6OD9IvUSTZVDKMhT7dsIBDsCNTAhchVYO6MDmxEY3roIkfOqYu
BLfG0ONvXBX1DHqpvvRVr7L4WLl0n/FfrubTi664GGE7rqeEpZA2LUme/+QFqUB2VUigN5kqBagO
5Ije1hvBBryzNWHPRp5BgwN1FdMhZmRTPECB7xjs/vkp2Z/2YiVhJ2F16rqWLXjnvE/X0VXejBdj
LXcDwRG/zQDT/m0tq/zOHkJ0lTWhDdNedTIq8NVqB7S6FNCFhkruj9l81b4zLwJTU0hDR126xPe+
xh0rWs6ErDnkA3oWt52qpu4mYJpIAPEku+Ixd21Ri43FYGm69Uk5qN7QExTVX7ZU619VLFgKmU+K
xn2BzxmafLzVjPJCA01tdErinnfVZOyomWB3MC9w+UUTSYnIdLMqECJsHeW29S09AkQHXl5MO/AQ
F3dVRjOzLiPCoRh7j3W7VbAE4ZpaeSAPtl9Ja0N/MJSHZpjvnAW5PCXARsle5g1ioKIezfIrUjCk
oBiPGauB6YK+lZyUZMwNvgnhpbGar7LHdB5JK7hMuscPKHuaNBjgyS78rrrGtOkpHNGDS8Z0CMkT
HsFXhpdgPSg13OG6VYQ4OD0q95U/R6BVwNm63eJ9RjJR4VNbr5BLJY/tgJvnGq/4BldvafJ1IpOj
FAoAF5i0jco39ARtt8N5ggtEcGEX0BkRYKxrB254UBFVTCZgNOxCEbj0VagClHxGRjcHtz3G6kCl
CYvnGGGUCl3RI+pr3XW5ae/CEuQHeffckhlGzXLV1GOHfWptUtzYOdjWsVwyFqe5LJNNZmSJxOYq
AubqjLpNHsl6XPhUQx+hk5gMGK5Z3U+ok0Yv+uHZeXKLF/aU3Td+Nttbx8z8mTlnBnMrDrKzhWko
T180CIetOffYhSCL/bxUDMWk/eFg8LekfpjM8c8X6OTSY8LI8GKmxQmqKeiebnPMxZiFNxciWVGr
GTMtIQmbeufShYpxF8zxTNZv7AZ4K6U2VrNm4Fe/hZ2GBg7WoNbHtkmMA/MP1d5pN9egIB0+fKUO
HPxrjKKcjnDrh3tcThKsonuFO02ae/2wC8gZGA7Bf3B2ZrttI13XviICnIs81WhJtjw7sU+IjJxn
Fsni1X8PxQD92gFi/P9JozudxBKHql17r/UsRefqphxjIsHpqeeITWv13BVaSF+QTon6bId+v4zO
+w4likDMaNnIOCng3r9OcWprEAxw2ZTzsnZmcYmgpw2MpW7rgWKbS444/ttiyiDvhSrLJBIe6T4D
5v+fbZBabI5YQWEi5t3m/cdpShyLKF+SfXzpRYDbiKpdNRT0wXwPuLaOO6ytEB1ngRDEXZkM29xF
jBYYfCoZWjxOSxNk8mwMkZ+ssPMK+l8jnUmj6ZJZjJYF7ReF3ceSzpmsijq4N4/e5bRRxX4oaDpE
7pqzVVdtawxeDmb7uZrgraYPFiFFuMjRYnTsnhM/OKpu1ZVdjwy9c6brzoEZvgh2FUepJ/LgRvqk
jtU1VwPKrfQ+MesqfQRFXL4VYRCHnzgTrPdPAI1ql7EAlgQMJ65DufahHdr4QuWMpd0/127SGft/
scnd2uUMOjDza6FT3MQRyKZTwvjAO8KfGIebXvclubhMXubtHnofZnjnqUK+D+3KB3Kl7UTIufbW
rjttesn8vkL/eCmtdDCUz1LUevGWzkGxZjRRpQ6oLTHZxwxPf5F30hDQgBdCWD/QIFrVr9DTtf6w
vI3/vqkfKkKKVEuAE8AyYs27C5qE90+drilaXFovjimRg82WTQxHam4NjAdnvsU8hR815+sYJTxQ
Ue+G5XPIgMj4LjKOsb8XPfL/02eaX0ybMwNdattHbfxXlcqxDimATvQlsRNFvWaxYegctYN+WyQx
DI2SRnF79CSaUPzTs42LGad5lzt+HzwYpU3b4t+f6IODZf5EiMEpmxkioZfg2X9/lQQBvYh5o3qv
GkEOmJ94SCSRDU73tYJBR+rPxFacdRCNM8yEFP2X85zFLcv2dqmXPtHSTp7tMkIAIOhzNkIQeWmW
5ikH365NYghcXmcIOokdWjKV6DogIAOmZeiNMB4re3TrlZF2oCZTnedz33YBzJMQ8MX2k6/7/r2Y
NQWCcDjDMSzHoqT6WEsxzJoMB13NcTkmpJo+99R1lJU3tjliX7bKqY6PavQ5l1WNlAjjg8zwDlUH
LmO1iJmhwufpGckYA+/CaJxL8KKzdqemIcgrC0NiUXGvaIQcaXSMt2Zqzx3Uf3+Vmdb7P4vWfAhz
WEtdl3tHd4cn/P2diyA7TTVxL0cdYf14X6Sz2HZCUcGR+XJwDjzcSNuhywtkbk5wkfqNvv1WdkWZ
f5eEiS1iy2WwrgKaqkTAze6QKFDX5HKKYI1+ILY2oyJSMo7b9DGROa0hKh9jJOiuRMosUdXeRtQ5
BgRJ6Xtrw69Q0bbYwuCNztLfVrRIS/OLmbc2HP1Ap7JS5yoQzpvhZD5PVh8a0ZFCwSCwEYeZv/n3
tfr7UtHK8B0apBzGdA6w7y9VzpcK4AJoR4ZRvPIaq167ZT9W400dDMm5cTvEI6pKJAfZ4SL2+PcH
+PCazTcLY4HO3kJfktPWx+Op2VTkYVZtdqpDM4ekQyPzaxt6EUgkxQz1NgkzXhaDBEsGgaTJzCA6
AUjdSnpaPFJE85W+9CEzEesRTUoxlld/pH2ZbQSnsq5MY9MZEG+BJcx3PswmQwLURA2w6hqQQWRZ
4VBEm+wML5htjGyfXTS3Sxvvk2/81zVn4mH5LOkM43hUPu5A1hDZ7ZgH9nH5Cq3Ng/hdCeVFx5jZ
MTKQJAki1EVJE98v55LFk2BdMAYLMqG6GB9Iojan68ouu7sEUHn4gEq2DU9lpyLrKeR0BJZ2LHO5
lYFLxifn17Z6tUejFs9lnkw93fnUKpmDDlp4jV1XkNwmBoovZrZjuf/3F58bDf/VEtxpGzICDxqT
JCgbAHzfP2tI8Wgb8TAc0W75/YPomKXeTGaO2oMVhsrm3z/ur9Oh74J4nwePs3ALW9OH5mRClqSy
4WmewmhkGcgikwPUYvJ1w8In9VtqBqR3dIGQ0oqgYhfElWLIX4tvtJyAxdOmBQ87EAtm7MfLuK/o
bV7alNTW6aVPjJl3sbTKdTNlybRRO3hb3nRIfTIuqYjyKGJ3Mq2WH//vr/jXk8SmSXOCIQdwco+q
6f0VjfTeZqXxekwkRqRtStPO7qOe/XIf6x0NqLCAKXolcmkhRbFt+gb//vmXSuHdLWUmSJ+KvgTJ
Na74eIlZh3mOlT3yjtnIWgQYNyKMxmAWnGk2/2yTXKLMlxHhIGSocQJvI8e/rSYtSu89QbV2RORJ
4SErg3//5ON97FMwwUXgSIOBdUWnI/dhCw+CBs+NZWhHwI3cCFiqtNO9tGHJ0PFglY+dVoUHlCvJ
sMHdwCE5d/TkvHgc8WchiA4mOz/mHAPHa7IKWcqViifjytOLZDo3yPD1o0pnz/Byr//9Bf4qVn0x
dxINz6DXhp3i4+I4qtEDsCvhhAMoJEzZ1CBpt+YMACGqxRh2TZUJ61wNCLkP1Lyqm2HJQ0S7scza
n4txIMzSHjq1kwXHHE61c/dnEbwc8TRkY9rjItdjBJZNlOQdZspY8zqyVLuE68YmTUMZbp5zaq14
stddPsXJLSAZTUDtnS/tBOPCPXbtKD55i+dH+N0TRj/ZAynOmQ33KV3D94+4mRMMYXtUEgnmbpTm
RZUVW8Oc2yCrRS8mey2375EHGu0nC9Zfjw/6BdtCPyRAAf1dAUq8svXUCA16BPzw313cZN0tu7LO
XmjxYJPalI68VACZ7WITZfyzxb48xc71v5+Di17pv6twqUVxRSMKN03Ppd01LwT/Y+9OTHr/JJ3D
+Ev7vD0us9/cTJDER2U5loek0PLxj9WLBASWu2W826POwmhQk12xGhjqgqQk0UNukUGO7ro0h+mq
HWu65ZVQ9Lz8vPTTQ5GT97vTkCUh/7y8LWHdCQSQdC/yCQ0Cr/bPkolP/9kL+76BjhdT0OC8tDg5
Bxjc9fffM8+zwCVDd9p7TWRDj3Ez3qy4NjLmaoJ56tufOb2rPOoDxEjiobNLbdoRUF8TdILv6tu/
L737V48RzQLoJlqo9rx1fRQ2NTW6hKhNxJ54Yl67peOpl50I7wKtctPnMsuTlAjmobL1bV9ZkUMJ
jYkmiLNkKzs7s67oEfUIbkumGfA8L/JZcqJY75y+9tCSXrS5tL1nUz6IQ2SqixJ7LGBLD3+0c+GI
A+Zqmhjerno/x+120dAkc1YnvyQuIlcf/9AcDzHr3ZcftNSwZI/yoDZB64PvufhJFzehGzIvPnY5
S/FxQIqOc9JUnb8GbaQHm0W62fSjQtU3YCQen53LH1h0hn0r3fTOCdrAugYCQqBAaZLJcIdxOwjW
RdXW1c2UxWwJOiPMaKMFBh+CeCS0ocu7G4FXG5+VDGf3oUPwbXhqZJkE1/C92U9cC1fyLvMjDLb/
vq2X2/bfG8WT5qHqvZRfFJ/zPvP+ScP7CB4AldC+UjDsnkrSbq1HO9VhKLm6Yh/XLqKEZQVdPFZu
TfqxgWIQXcWWpAd+05SBPbpvkUZGJzKj/Gw9XGqEvMHYthvJI+g3aT+iL2OomzZPhKxiWWgCmnef
HFeN950aqis8o1SVXEEiTDAcfPhCsjJdZFhBfVx0uLPFI7/uKmbdyPDc0duVWh10uzZPOqJnR6ui
A1GMXbRDRld0+9Ir/W4zNTaPwL8v9aVF/d+lZvHybN2eTR+UY+yHH49jdkyZ3U1NctUF1pg8DBpm
dJq9BjjbbBapnpB7+cEmqlure+MJJVspsFRFRBjWsuyJCDCVfKsbmXvbBEGqoKS9SNojeKMvWshC
BqgeneUnj4jxsV71qBt58Q0xdwFcsE/vHxHam6LShqI4+q6y9pVhpdkRwFXy1LLzZs/Chl5kDyQX
b0nhjOMrUEihQbYDSc7E2iVx8bA85BVgEfOB1W64RYXsfFaE/bVLMd7RqQN1RiA2c9EPZe6AkIau
oSoxm3FEP6fmOCUHAg9mqENt/PRDzYevObccrmTFNP8KoQSLzic3eS6l/rvJc3Fv44sA+jE7XNik
PnwKfOAUwtC4oBpY1H9rf2x7/y5DlXFfevTUgTqFg0CeV8KoRQy5zuZkB7wE5F1+H/qKUxeKPPhq
e6hrgOH+/fHMvz8ewLhZmIpe3OIN+VAJDp2RDann+UeLWIpt7pGhcvIGYqzJQmlbyPcXCWFniqld
Ibcezg3kMLHKXLfDg9JAgrwO7dA3r/O4rsYDXJUgOrSFMIhFjkmHJ9G6YUZ3A6YfN9pqmc9jR52m
68m0BpLvGCuIJ1LXZfBJ5+avQ4CD/ILimyGuzk34KLK03BxNiMD9kl2oA8t8cATzghEakK92S/+O
ZTdDIOBsSzVo8pPqxPq4a1Nhmy5PAFNBoIoQfd6/KFaoozzSgpYc7xlL5teCajQEq0fLOolaUqih
vwQbIAqtOmqVssm+cO3KPTk9B4MtooCR6EAiLXDbOTY1ijXmhsUoaBZuLktmKWNjHlv1XbxbtJeG
7GctbdzVe1mTWOAHDbqBIp+MkgBuAjz2jjS9bLcU/YutXPkj3uVLg3pRMP77KbPf99B46GkN4A/i
MIYMAsvXh2I1qYwCFA1HaW0iCPxcRKIIrwEIl+mOK6Cz9+eO1785NseJ+54APXpfehwn2s+6qLVi
lWk987PIbVLnXsOoBhXpIrzyL/410o3Qi9M9TmK1NsfRV6TAz0kG+DwepVuWzmvQ4UPWTUeLVgQ9
E0Be97YptnFm0z3JAfKaR8TWPkgnoYn0kPBGJLvWLtVXsh11aj6Mp+ZmaORdb7SCyYij6cVGGwtO
6pxrUdM4KsHCtuzn/756f+9gqIl0zv8Ag1ASUfS/f4wqDyu3CxL+BF6fvdWOM5lfYzVt0oMxujGs
Nuk/tDT3jY1J/+yp7qCCrguUYOV1n9vFlSKQiELlk4/1cRvgpnL08Bl201GcOUrvP1aqHKbdlghO
liYwQrSUE+W6KHESrBVWd4PblsjuOyy7LLwvKAlBwyWV9WTJkZrHDoWk9BMBuRQ33Jnc3jFm5MDr
1cQMNZ982L8V13xU3cAlN/M6jL/Mo3089mmj0vp6CEaZvABf7wVAsr6gn8b6m7rXbLZ8rEW8tLSV
pvmtYDnmjOdekIbLaXAhRsAKpz26tLYXLa+xuGYvyCbNMhK1D23Ez8j2ozQ7w8mEDN8PYxBcySge
ho3lhzVZ9RkQYpwX7Ev70EHjty5b47g07qK6lP3B4dNV1y0e8WinzxiweXPt1a9Br9NhNTewfxUc
kuRmMj3c5XrQBGTqtdAdaC4wpyP5thsOZRkSfUILN+4OKp1IP5pGXwf7j4YZraNuz6zkYoBQYWqC
nFtEt222czVMXWvLJ5MsoYkSr3syLNKVHUaafmMyuzTzlanXrbx2BpOopQUyAuWNaxMnDv2ETx46
HpoPGyozB7g07OlIEMnQ8ubH8n+OfG03qk5KLTxwdb1MrevcKHuyDEY9S8O1PZOvHlwaou4xp7Lg
SVrqviERlMz+xUrKY8itXjx/g2lRaVOIBMNzU6DFuNVChrK/q6nhAJAz6P+eIl5HZ+hX3qNtGXWN
HrO2XlOYPR4/b+5tpZPVpwfWegmn9VLKpIFuBI9j0jfdeaGNlZc+k9/b1VtMUeVuKU5SuVk+S+T6
6EVAiWIfWjaqydEwOdewYJ2vKErsc6tPoeBINH+sGJFN/5CaHVHvVY2zZOtFcB43k+PT4hgG3eru
l5Y1ixVLlI2vr38ILmcgfYo4ZgiimItfJK9a2m9k/8rZws5W8SO0DVCjy8chs1YFzy5ZKZw10pzB
U+C78xVdXG/LWUsRTsyRSrOw6aU22ZdTaNf+ANZId8oXvJ5j+iC0Ea6hXnTIv7aOC2H399LYXHy/
ojbFQE4VX3jX6p1mfNWlZxe/02iWZi+3bCnAGweeAFqexkWfnI6df/QTqrhj32vB8JTXY0DSRM2V
XKTnBQRJJg01ctMtISYjrs0iBijwwmnDm8hZ1ePsTSdlE6CNPefeEXT+qwoLUdwZtAltcg60r8gj
fP+wnDtru+Jh0S8oudmh3p2c3MzhEV16mIuVC4U7p05CDjD9tbGtazeILgOYMN3FsrisIYOGiw+5
cUcLK0IK/RPzRJ/vfYscnSu3AOW68hz0zcXKEjWcAQsWwMEv67b+3pnonB4A0LLN5VYkQCiir+Or
LW7OvIgUiRlpp/cviw2w58VQu6EcixZ85sXCmHB+dnYill78GDadh3qKwG5ILnZd0pAkOj1xv5rJ
wAl18XZaNKYVhGF0v4cs6GZ+69Dz2VzzS4Zm72AQ0L11J9N8zDy7Zi4/2atRVCb2JVvskjLaZF1n
o5UIzukAM67JfetXaMLzb2kMbIdKm4UOFfEcVOLbItWiUx6r6hrLx7TuSAoh8MqGCFxBu+0ypwOB
16XjHRWPx/zHacMDxJBwm/lNcHZi8WvCP7TLvabDozI+pP1gfy8TDRNY3XqPUzhKFD3+eKwdNzhF
4ajfaLGHFQIJHQk+DTO9KZ/O9EijXd0KeV+1aljrupqz1jXCEdcQFsQNB7VmQ+DMlTVUcjvylx2z
OUmk86UOh3OS5AWFWfTWJvl0FHED3sTIzC1Rp82NASDdpYde2V/NPta/A74Y1jkDAqKIEgvDhRbd
VENtX7V1Z52URT5iYvAqI9UeihdpK3Vw6voJCwiUf5pCxQZwUHKCyaBOJZQOyrs2ODfAr/eqCPIN
YCybSMTQ3DXYLs1VrMu3gebHutWVdx/UWvLVRlt0YERjEBRR1YSzKshL0pL6pjaYN7WNlhIp4kOv
IXrmmBrJuI2mLNqCuhg2OJp8fUcDWb/SGwNjrK9mEr5pmRv8YfYPFmHHmGMIuqNmJnLHOba91zqC
JHyLc6pO1OEG9sSXOicRyosqzAYW8jyW2+tSi+/ySVYn+hEj8QYKLJGI7elR9VOx0xUT8U1Uurg8
8dvKbcNBIsba+6xjkFoDYiIPzNDC79NAarc2GCgOyvGXHmQjYD16lIlXfMPPrKsNQdSd91iR/YgU
P3C+pKIPrxyC0mYrKqsN17klc3PMp1XTDncTVhJSrjDeQAM0N36YeCiuRmvaS1USZQ+hiAwjNeY1
yw5177rhKPRk5CYwPzOdfHITKwur/+TRTY/9deTQqZRdBkY5Zn0jAgrYoIXUrp+i5gpOgnhztBYy
k5H7V36p/WqA7x/bxHHXgajVTUHOC5u3rb2VqZ08I86BKtzX3XXJSPZLoklBQElmFic7MENwYvJb
3mHiCa3S2xfQojbQCUnz7DpSAAvBygs6QOaryiQIfT2VgU7cRyPuSw48wyZC3fWQSLLn0Llx5QlO
2OLWMULaW37xy5BD+HOI7fskNYKfeSLGO6fCWoI9efzKAaXQ0MkM/rY0nKH6IvXU/BJMPuMhRqnu
iucreRIENV8DL0CZ3GkPAViEbcCBnhAlyKsyEreaMAsGmtBRcvolmo6ZrGKohMHN2YUQtfdKc8uD
l2npGbNkvUcsMH0FgO/g9vT1bdOL6RlzI4l1mU8mk+42FMqjja6OLKpqzrVLtcq/Eu40BJvEmdva
yMhJHi2yjP8puq7+nYdE7XU+2VaGUTfHPHRf7Li27iwqkqyEz2TT9mCsiq2OBJZpnYlAbWpLPUK2
CF4Zgo7cbNwbKjXaxxJG4l2A7wp2tgrvIqXf2TVBHTKTzSEZiE7L284AF44tlpQaIBTF5PfrzEzb
fe+V8aZS/SPVdnRvde4vr1cj61HvH5zAUVcWAoWrgHwqotAQkq/TJBvfUlHsKIXb6yGObZIlRuOb
WxuTueokUR6QCTJS0PrwybLQuFlOSeQuIZjmS+1Mxjms9f658JPm2WenfiDmO8NUiFryjDSGGtEs
2h/NnJYIwp/hF68BsESR0jDyIba4SPw8p7TWTtyrLyP5XCseSZfgReV4T2bkhrsgCML1xHJClRUm
b37YTV+mig78rFnNtj7KAJ4obK9fC7ug42XnLIVdJFblpJUHG43Mziuq4VG63o2H1/9gYTu/g6DU
3ToD2rJuopXLw23dEu8iV2MfVXu4u4qiuBH9dRI7/ksaA3/0m5YAloRUHZ2a9ofMvOLQl2X5U7bS
wxXUlOD5zLHZNaIo1pUu4zNsInvtaop0M0ZQaw6w9cqKo56w8iHrCJLPv+WNnl8nNai6lRf42rWm
GpJZejrhGc3IvRkNMDz8EQzTWPVniVEQ6mlEbkcYhV/srvFB4XFFpEj01xSF1br2o2nP26De0oRI
dfIHU7FN6THoK95klDJ5Jn4MmXmmMVOQuK1bELQGo9m4DT1OUhiFTVaqBKBIInSGZ75PdkaSG98I
9KCuCzSC3QZzzjQJtQatsCdbfZUYmTWsHKHNfNSIFCIr677Wqi7viQL31RZEQRzSTE67XTqG3iNQ
Om9bVvKqCEp7H1DNfNFhmDih1W8zNWdceiNdUKPyyWkkYdgsWNjZJqt7dsf2CsK42mCfL69TatGV
tEIYkkaa79h0sl1pZTs/d8mPj+DkjM7EXKAz8OJzHNpznc4azL8nA7FstwoYHp21KkaQw2GQqY5e
ixXRsOM+l92r00q5l9gzD6YBvKPwI+vo5tBz06h6Jf/Y2euDmjaxMwcEu53THo18fEPh7t5QU5zV
wLqgwkHboU08VJEBjLAWlM6Un2u0vu1V15PQyUkGqapKzgHF2XwULAGn64pAIz3dDbTHN5QAYmO5
Yftal0F2hqirr2k6ZTdl32pnnsuGyqcbyWdzGbuO2JfZ48x4tnEN7W9s5MXeE2oi5CIM5i4Sdn5l
GT+cMNG/uLn24prpmywlLVBQdrAwhqZ6llkyzLb8PtpCnS++pZhyrsBtePfEE7tPiIfJp3HSZlfU
WbgKxciJICqHW+aQ9NRHL/6BXdfZ+4EBxCx2Zp+OouHkGUVwYGMszpzER5T6My3SytmfInmGkkum
K9EVJ0Tz7Tmj3XXysjB58Lve2LlCZmTYjI3/2JNzo66Svo9vdDu07+ZTPYKR1kL47OKIwWhZABin
mHCdo4a2fe6yFXKCtzDO6W+GcWjs3tgr6Juwn+34wYjd+gwts9qqun6NIZlt6hrDegfPcF3Vvn5n
ukq/b0u3WWl1k9828NeO4D9rXhGWEQvKyDOLzXSTgGFdtX34auCcX414nLCdlm8uUMcVobWEc3lV
xhOtoCBzjGzrIN/BWZPr0AGgycELK6WHsXLXVQl8RJqGPTlRFbVn4k2PDFvzH4bbaK9FrvMF8Puc
ELvGTxbErRwnKSyFxOCEUGCfvpJEGHwNKhXvJfLzN3+s05vBqfvrKQZGCU+kQJdqq32dFUSMqQLD
5hoOm76FV+fSffPCZj/kcHWrOLgBbUjtx0n5ucbQd5OPjPa4HdqsG8oRvKcOdoIgcdiHh2NvA97V
6pLnVMS3g6Oqt5FQYZTlbv61MCOHYpu6Ia2H9I5GCJRci3dFeGpN5y7FgtCbJ1dF1XGaOnawLrtx
OEu9kC3RHnXNIiQcU8D3GiDHio3YOfdRQhwIEWHfUFJlr5odmQTFc53Q3hHWBU1CrSaHD1yPlpau
qjwGJJzp4kEhcDxj3x3RuGjewR0877qRaOCJ4oLZkTfTyfTaZlXFmVjpwmpOZgZ6H3skZN7EcE/E
s/ob1RY/dKiND25h6yhbTSIB4aqqjT+UIUR5nHvPBn7bY6JrBnnWJMl6k+gxG1e4nenKb4Yp/drE
ImJM3VankEUMOnpVEItudtxDq/efc7MHMhKD79J4/bqjgb95iyoA5ts06tUd/ezkKTUFBCYA9Wuk
C5WHqTSyd2Mi1S3uhP5ajxp7D6qmkq9Tak+bwKzZREWSbfOOaq/CtHskEbuOHlKZO7sp7OtNmLcv
Kta9vRsL+p9d9LMi+vU5G/PkG74bf9OGNjzE3DPJGHbjgxhybYt2RMYrFVQMf4WkXSUq2N9T5qrt
RHv5GNmeQmuWZsWTk1Y+c84L9qe1dPY+M3YZxeQ9T+0DKbW4tWWPFvy2tDPbP6GqdjusCCkIsLCX
JnGKwzx9xlkYB/vGT/3iPFyGYDrOi/xuSKeaUG5IFjmqWU8fNghXiU6MAjzn22FKLP8qhT3mc+TJ
jHjT2bHVriVnpOxpQeMsHd2Jvp12imfj14okkMTbkcwzP/BtpAz9SaP192yYLXH3rtZoxTOWP9Wv
xhjT7bYYda96yQelXbe9zZG69rH1PzR+SUelYbQ7PtM8oR1gxQ75hLqc/MNEiEu4jy2CmG8xz5JP
H6SQhg4iSbKfJtdo27RMyjeoVmL9FFoj12yhCoU8KebexKxQnJfxdeylcFnTqiZYYtbM0jlCT8zk
o0uQyh9Lq3DL/RDFYfHYjSB9brVW8mmWifmiaRbh6HLAiJJRu5VtlzF7ByNQQAcpe4v1vIajswsv
4Ct27+7Vn7wmOMUqn2/lpQlDVm0PgNIz6oqLXGTj1wWfM17aR9OFrzZmHu2apUEyOhGFnNYwPr/u
2VXtKzdXPAYSy6t1hBrQu7cLOsmHTGXeZrWJV25NKMLMDe8SVzu5QyPyx2rSRXPtGdW4HQM4gM6O
WDZZPDugKyYa/aA+Nq2IkRYQ48iwv7vcouWudy6plARVwr3Nd6SS0GlaZkloRWjOxYmuvs16wOQ8
w4/HU0xdw5xsbCW/0yTadHzWYtXWv/KIvlFFBT221+M8zLiyQt+JZoQ4zjWmGPxtC2OsJO3IwW8v
B7Q0Czzokw7qx7EoKE76roz2dYvuPXDJ9/3TxqhKTdI0/IOSxpScGjdhljX9Hmk+sNQWdGsFRRgf
zTVRufpww5be/ohFXU9XaRLnAn2uY1XHPwZzSmadeY1P25GBc4Yc4raJw0C/AnblRfuBQKV29+8v
8fdACfsh+mXsISb6XM/9MHtozMGSIg2M46CRGHKYurQq94zXcAXVQCm+jB7me2els3F0h0Hl5CID
YZxummqQrE3l1Hi0ztOZw417Xl7nPZFkq8gqUoLvlBYewTF707ZyPA86DQXP28KJ4MvRUe/ppkQb
mpBoM1ubVUXtHPCb3n7CJP91IdYWFw+yj78PNYQOnPrWpR/wZDInLslNUFUJv78jFWbLo9FyIqCp
/aYRXBj8TNtOTF/VMHTtbZvmpbb+99X7oE6czSuzJx2XIAS3WXjwYYAfNjWDidyUx6X5DImode/9
MGRktjRLF7ra8kT6Rp5W2PkN54GYIOuV2x3PeRn0PNcxMVmfaTc/yCIwojhMu+aR7Ty2R5P1ocEv
ay3KY1f11Iol9HldNt7D6I5Ve2KZMUdGNDItVwG6/4MBfvuXNtoYEJoO/x7AAj0jB4aicJNK4RBV
nbMY0CeVg9wBXMhKIBeWVmqfzJdwJ30cS/ieNTsj0NVzaRk6v3+tWtT7/VjEVLgX1PRkGElxXZdZ
klxLwqDbVz/zckrhBS66JFQ1iCamFxqHc/aQRekNFsZignYzKlOXLzUABzK5QjNmvXUTj7FnIWDZ
kHwN4lOdZY5lJwNRabF10qeZZr3hJb3HEW3lHrIhNOzzIo5ePOTL2qrlLnE4fojDY28jKoN8HWOR
ju2V1Wdh/wsLuRE/kABnydeyt2V/zPu8TggrxXiy6i8AoIXAULaDBb0/CAcCz9wLAcdh+ENgjzVp
ii/rUK7/geJkVT5/WsmYwb4zyFOofzR2RFiujjAEVnhgZeChvIoHyoVCjYMT10XXEjwsNMxDZMvi
3ccPyhyjaWzvLR3L2ZU34aHeL4yZBei+wN2rYnDnTLxCsvjIGCPliUkedod6IdM7s7U7Eh6E5tCf
pe8eKXnwjb1Sq56Q5HfaZsEFmOyS2oFotchaT1kAkj6iBIs22L4Y9iw+JhVwUtmkbauSmcfM36z1
DLD2i/djiQSwF5/colBc7GnLp4a+xn0vUyzOJWfBGWGML9c2z2aFXGC7sJyXm2U5gCDJg7/MvgFk
tdWh5SnP1iC0zfEK9Q9mqtVCAkndpGpfybDKchLmjRynIfPwke+bxqRj7JOBBjjQxEt8xZiw093F
bG7ezrhI0rCqzA/lwqRCCJJPLxwIfYgFyDi1+JdVBdiziknhPFh7lkmLLBNTVpBJ7gwT0/iiSUhS
4v8bKQ+UHFryOGae++JNz4XgSqYi4Mr7VkIRuZI6LZXbzhaRf2tFg4+X+JJS5zZUs0edDMRyW7Gm
uXuCB1OQ8LEjeZ7wvXNMWZHfRwG7gtA8/5e6eFoWj5hqEkRli+Wzutz8GRrHb/qjWmdgaK+bbGi9
QxjmECaBzcE4oR/iRF2x60pMTOkKgp8Pyr7V0jaC/TxjeM0sZVw9gfvhB2vUCCmEDrfMXz0arub9
IiaOluuo4d7jd2VlzQ2QsyYNg0U1coVMQD/6cWT/cW4WcaedCQ/+li4Vsx1A8CwRlK7zn1CoQL0e
D65pT+sGn3VytGtJXy3SKlpluWtq9S4nbUDsDclw8GoMO+LZO03U2c3y+C/EX9eHi0O8IPlQ4U8z
l/b0wAvTZXu37ZRY2Yy1/W0ba6q9H7B40wtKoEUeSqPL2nalQfgsv5dh3iR7rWx6Tu6mKWcYPCJo
Pq1Kq4nrC93Pbh59RtYPqRXG+U2E8ZWyfc5eWHIY0lYaL6muxeJ7ENVoc4e8MswHWIiCpk+IVkXu
MX2O2orYc5gVdcr7uVaWNlnQ+4Tqt67pd+GaixtPVziJuNFdRwLzBtu3jA8LBW0IsJKe6ihV8l4S
zrfCXapz2Oy9OU5+RoDuBMYUc7e8C63vFPOpOGV9sFzaNVKgLViB86bLy2owL7KzMMC9WO4WBSQA
Bj49JCJZr/0GM/t5+XUbkCkVBiwqXltKJyN8bD3Zg1VKCDatVknlmPm6gPU63ZExSjYabu6RJDmY
sNVXtJqJ8bRoXJa/rxQzS42Yt8B7bSzVI67UCHe7ZwZnTHs6x4goF2PMYsbIsx458fyodONhMaBa
HlKzQ5IkXb5Og8ys+JG0nF6xfhJ86HdyCp79xgzJs+/D8KZGErZxkeIQ32n4qdosAZKVa9GxaDPa
5/Q/bFeDrTnHtc1fdHohTcYvrwr8J8ZRB64y0JtpzO6abFbWxjJrIGmReZiUPCOq/8IS4flEhc8+
tOV7Lv++8NyjtAWE5HXmmD9zb2rAqWYwxtuwGnztuCy0WZdOv0fcJtVGK4HWbqkgNHlqG7p4mz9K
jZTZ26nkpOqtlvot09GDrEAxNMBx6UFQ0nk4snjPEBbMzP1kmPlNWW+iffVC0bPSlRdDwUIYmkpz
DrgMqQg5X/RBf3Kq1ppf00tmXS9KLqhIBH86sSc2RfSKsxsBMSAqMH1KfMGyxUjjmFw8ha43wIVT
XPz8ZOlIcB+9gpDQm4UxRbYkf8XyEnfloHk3jSk690pVE/umn7EyHvuqtkaGVSY4sZrmCIX8F46m
bNFLLhjzkokvIfWc7ApG9gHk4tLx5F13iWUkFcbObtwcQk+3dS5i+fz/2Duz5ratNV3/lVSuD9zA
wlzV2VUHAEmN1mDZln2DkmUZ8wwsDL/+PCCdbInesbb7rk93ypWUI4oAwbW+9Q3v4CQWT8LMZ55E
XZN07dJamZraO4Q3h+4eW71xup5jK0wI54eHg+EIGyW1VW7u4H0zzlnS38kQtzIv3QNTXslqjwHp
iBvAuLFRice4iB7TUU3QV7RwtbTKkR4l+dgUSkiAMIqsiBlGaC3xHdE6MVzRQ5iGb6Qhq/DtVMYk
V0hj8O2TMcoKNo7TUaUhwYc08r6w/vl92sf3udL6SPNtKgoLhuExLlVtqwxIld6eHTwvJxqDOAbh
izHsiPg1lkma2d5UkQ7gD1uzAbHWmebTDkNg+DVDikHCISnAGQBadUYN0QaIRRfR1s7cJQ0UfEbj
jbL390SvNh53vaLm8zZaRC9OqrbtEDRWe73cAZkKt3pqqdkOr9AZH6sqUp2zCj14lx0NCX4Hkwuw
YWWpVTh6UTegl6R2ZYag82BxduRTSuMig0LxPi3qkCXd5EbqBoxI5K6rnaG8TSMyZ8A4BvoVCWYD
0yaXmcuqmhOUwzctllI1RkM2GNnBQvviw4Hzv0pP4GB0sK09pLUzIs04Ce2jSN2Ha1A9AD2mYiAv
ONg2lpqjGMGgAZfe4A+7dAHemU2zE2rHccvImDU62at3ZHOQCjgwJfdsnWafXzhkfkgI7M1mcgbe
QJkMdBN9QG3D/AoI/BikCjadWgKoiBBozrJyX5YNsD8LoedY0RtauWoiHWSotbR1k00i9KTw9Tgv
56u+bejb/Dv11pGvAvWWbRuYEACOdwSssGPaZZtqaqsgP37KhAsFWljwZY9g1jLTmNtjWRhHQUsE
6ii5wQO+JsFRzziJF47rr6uY6Idu3zzJoWg79wSQEShrOmrY1p4zakOjq3GTRd1lsAC6yy5nPfuH
Nt0h7jaAQGbjlTJ3BfY/R15TjYG51bEsN2hz/KDBVpKdWTojstMGRFl2CfANZr+Fnrd11rX0Id+H
e8Hun+/uHzQETOIPNTxWbdBj4G0efaFDTZtOTimdPbwoktu6YTNib65F3ftaqmazPUDNDgySQ5TJ
8o7ImHZ121y1vTVPn39+Tz98w6bGTVFWw/oErsqmfrnIpOLIgdQ0Bemagko6MBCRkVPGDQZv7Q2W
TSXWbqQeT1a2SlP5E5ydbFthmSvuIxu27ze3y/ri8tAXi/YC+bONnCu1FfogfqVnKIEOwNX+rHDR
mVgRTnRHQJ5KxBEJsz//WD/wEEx2I20s3gA2AoJ7RyV3TyDTFXC+u4PrgGUr9adDkdHsy8he1nV3
VtlZIr43ZVLa7cjidrSGzyFGOFcpqL75bI4hYO3miTzSo5FOaHjlTo97btwp+5t0B1wZ4MXjRdGC
ClHxaap2RbUUxaanhMQSz8FM9pOCBFAMVpLMO0AGt7J3tGBlvlEKqXY3Ib54kVdLQzvvgDPa3F6f
67suByBiZ7moMDXCtPsKE2+KJ/AY0MJEZr7KGXaPPwE8YZNAZdIwEiY6JEdEu6bt437R4+Z8nNvi
K4VcOr1LGCCkAY4hzf1B691xGqvZWXsELOXEYl3Qc4vk5bR3Jh5VxQClFuZNeqpiywe6ZU9PP0gP
IFVBq04nHcLb2qn4BMjpYHw71bVqMMqGa3DaJyRHp/i/Nfl7hd/dIY8n5rehlPA4UvV+qc0RnHit
DLxVOPZp79OILCff6YmxQdvgnPUOtV6j7jyhRVmf+DRLSbe6eijdc0efEMYW+hzpWw3pnYwSLZqQ
2JC6SYCmBj5NwqhxdmY259aAEcQYj8Eh6+nSiRYDKqRUQZC8yCbAu5nNlwTHH9dHu9LsLp1l1p+K
sEjcja4PJabXObooG7wPQY4fmgFqmOHDR5pFIj/uje5I5UiLqz04Wa+RAjhv8UcvP6WAElCgOkhr
qCknNYRx/k09Wi5w32hwDueNwHXbG1wZLyerxd9HWxqt66E2hIGDPqu0lzh05PyF/LytMeFurfjj
QEl9L4dwrLaHdLN1lFjxCQNqc25FvasAsxhTNdsY/TLEt4f7DLuaw3zRrTzdTYoCYb6WczedJFO6
Vr7dzNyqBIY2VcOV1c6iO7A9/uOFe0r3j//k749oPdBBjvujv/7jrir485/r7/z1mpe/8Y/L5LGt
uupb/9NX7Z6qtw/FU3f8ohfvzNW/313w0D+8+Mum7JN+vhme2vn2qRvyfn8XuMCsr/x3f/jb0/5d
7ub66Y/fH6sB22veLUqq8vfvPzr9+sfva/v0P56//fefrff/x+/eQ9w+JD/8wtND1//xu6m+WSX8
0DSBocGs0+VcGJ++/0Rf8wK0yXF2MVHa/v03XMz6+I/fhfUGP2VOVrDXEIcImL//1lV4KPAj8w1t
wpVrh4QDv0lX/s8buz4czIcv7G/ccF7yC9CjojuN6ApJkWuD2N8TUJ8BvU1QjBRPcxNYsTNs07T4
hjRD8pCqjn0BshWSXJrbO13KZVu6YfHVYAK+zVKQkmHsLp9F3EZbFZs9T4dn9EpE3zt8/jO5ONwc
bK6V0sV/hHEUD03aJYoyJU2g1AtmtkB7wSK3Q09ySyPYi6YkfFCMRgKN62UBrDVvSJ2S2i/VML1M
zSH+jESice0gkGclYFpCY8QhY14Y4mf1aHzQihlEGz2QTzomeonXIh5t+21m0G2Z3NqmcWQMfmdL
haqhT0A6JgpbO7Usxfb6KHQDmp72u3kxq00Hj9/vrIwOb0uuBNQgrS5Npcf6Dgkf+ZQ7NaQ4WvKI
0QhrnL+hG8DAvswKZN+lO1uf57Z3vUJRU/WVQ/xIKffwIHXBAM8gS0EvZqUOPfuWHZznUiXGcwDt
vg3gyI0YQV9O4I/GvqR1FV7K4quGxr3M5UbvPpeFs7Pj20ZmuIpE28p+B6HUtrdJPXtuOlFIgQ4c
MMTjfydd56NJFzhaB+jNOYER/YrQxMta7vvd6zSABJRZmBZHy2Bpsh5SS8fdZzIBk9xhW5cl5e7Z
nv2+NX4rhwLh/bLv/vj9ZZFwuIplYQ210v3xhTqisGr2ksRFm7cBXGZjo5h8pWV4Awkot4vPiz2u
/hjJa25UR0xgrspS0PFMRyrCJMfSjzLZSG+7lGk7qOWyKTa1UagXYzHTmAOvPD2YItWf2MKUBCS3
1Y1REEi8NlXjx7oqigv8b6qLHFeM68FQC9VD7EO54JxKP6aNlr2PV3hw047ZjsmyiZ+zExmvLa2X
OcvhAxDbEDDHFUpgKflyaRFWFnOOMuwscjkFrT72vpnJ2AdXgrVwalXbdtAtH/ywvbVwq8dkTWfP
qaAjK82ZTs0uHn0oY/lmsnA+70XdnSxASIJixCt6ztsz0+puiryXftGgaligenGpVcp4NdqIVFu1
etsvc7lW6GUw0E1+5QOu+e2LGGSqjJtcC6VR2IWEyZefD5NC5rzD2AQpp/qJaNtTqi9SIYFrpsAG
xF6WV674sqTiiXJFqhsHtih6NZBvXl4xz5QqlAVXrNv2DsOdwmNQLYJMOauKTj+c6C8O9Oer/qiU
OlyN+S6j3tVljDPl5dUq/OAAXLdNQNMfPTGTqlRNILYZqCKm1OjbZsYlqLpWTywnM7DF+PbzbbcP
4kcPmIOMQTPWLVTox7FpCJV2HowIGIzlRru8KowzqHfhKZMO/Lw7E9z5LJrNULYk5k3jUgahvtGY
du13AyqF2STtUxX6e1DZPYD2/g4hP3yX09j1FRgaAWL5ZWBlJSpoBYkjLmIj72bpgdshoYYyvHmH
AQBOQBLcraZcF0h2eRQrmFNJN7rtUsW5k+CBMSNYO29pW3j4M4mNOUECAcntgEpJctWfiB3xaI5+
q6TYM/R59SGJm+FMq3CyTGy+OkYR04F5/0sZ2b+Xbl3VT2BL2qen/vKh/m+Qczk/zbl2D19epmjr
yw8Zl2a8MWHAajQozVVfbBUjOGRczpu1cUmbQliIqMPJJhf7M+N6Q2edniHFu0qnQidP+p5wKfob
17TY++RjDIAo0H4p4zo+zFTDWlEhBBRK1bXce7nfOkPmaG3YHJ1u9c7MM+cSq6Hm7c831cusDrnt
lQasoUSHzqKGkMDRWdajpwJCGZc7rU58u0GtY5IoutYx3YKfX+nlx/l+JU5Mi09lcJgdhUeHFY5b
io60cYNiB8aeXjvNU/Dzi/yLj0OivDIRmRExIzlKXyLTaZvWxpkEeMxJ5EJe6ciVQAHG1WvmXYcD
65/xaJUqtyykbhwT1Qji77FIa4jXxoDLHoZvdEO8oeqb8NJtigSbcrBTdRCaqNh6tDwBakdSH85d
wwkJSMmi05wJraLksJt6wXgs6hrPiRA28cEdAOB1SWSWd+6QqDomtXoh/bSi//s2wmTwKht10e56
VY8eGy10o41pDsCZlMquPqIkPBdQaKcSeWu4INFGRI31LaEIBR2nxoXc6pU0vyWMjekx6Qzgbuai
4cIaMsFfmfEl0cbQ8fzzlHE08biuc/TsQ7BYtT8IvR3fqllpvR96It5Gx6WJiZVWSElG3NuP+N7Y
uS9FiEvrlLm562eZPX+aOlXex51hp76bYlrttbB1IfCUKHt4va0XZxILKtR2bbV7KjMYe5scZNkX
GYbTx2ksim9FnpiXTZUh4QgPbLidJmdJt1kkIskHNyiI3S4x752iotXJdEf5Qjfefh8ycMA00myB
ehuh5ngCJ9XeK9AHHe7xZM8FGspx0d8X1OdXGKDypEtkHxDwEeWtQMEy8kQ/plQ4mpOtTdIFzkXn
9vctO/JL2SXJF3bN8BDPGDx66VJZKOpUgjiugk58sGmwgwfQ+GZUBX8zULdFEQWOPmcjb9yMnzjt
NHNXOPOM4R+pxScgJ/pboXfuTYsnLGpgQu+5CTLsj5PARsnTs+lqqUeY0svQZ+/KoRUN5JCCIkVS
6qOzM9PocN3+4xTm4wemtKHjgeBJHlcsNxNPS+Rb1HPGyzYbIfBNk0URk0HDu3DcyYoCjcDTeTAm
1Sd1HNNHZmp56nMeY1ukyja6EZFohoCOfKd4LUoB2Q6zSu2MpBeLVrdPlItc5KHqk3rXGjDiPqyC
sTDLm151qc7QD9LDYKDrwMQNfSbpOdi5LDcTbijXZaHJzxnY6y8R+Hn71qH1cD+Ad4Uo08dl6beN
gwvRDLS895oB+zv+v6iWDTKLVuTJHuimN6Va/ciZraPnkdjDPaYBWINDa9UfM8QzRySK43xBGHRq
IILaFSwiNYWYpCxI1XmA4qFm5tNS3OIWgu9PBobZh6mEnLXudJjUAP6ZPyNgZ4BcbtB8BH5pMiau
cQheQdfA4zcaOg9ftRijwRU2mcZeOSijEcSMbIA2yuV9RsR3g1a14q8DVAMXNENsfyr0xroRra4Z
fgU7CUJNb2WLV7Zue6MOoSnOocIB++nBk9cbaHqsfxVdGohwiw6AxMUp9FPXKcmj01nF9Yx3PBgr
OjiN53aRMlEaqwh/wOguBJwvKFzeUk3yfinQ+fVG9t/jxAK61VNxX7kh3xb8rvFtp00zFKaElQR7
Fme2MC6rPHCz0MEapyqHwMG1mEF5lQ5K0IST8aElZH5uQXIzzxt0klQCTluculZYPiTFHCleZ+mQ
INQISMgWv0tYpXq4sgzjuCaVBSwPAafL9fmyKhoE41SDVJ7fK97rCu0HCuSUbiAxDfeeKIr1b4vG
UpncCWKbW1ldE1D1K9jKIMzUoS0x5zcCa+18I4xqvEVvCrkLmakL/iyWhHQDcSswaCja285CJdCL
nCqdtvgmmLQJZidzdrIzmR4wMYBiYyXSOtctbfyklQDifa1IuCcAiiOcqboXBDOQj6hOaYpxIlSa
cW5Sq05g5KtZlmq2xVmf50D8kkpra4xlYihPDWQoP9eJz3YYBlJvTufBaXVYszaOqoirqS5mP415
3cqiSjy8WJNHg9WaeLYY3CTIYycvAlxbdOlX0QhdMB7c+FNeR8l8NpVm9JRos2lsIjOV1wasARTx
0xxesKP2E8QsA3d2FKkaxrUp3Raw2C4wG4bYbuLD2Orj1eu+ewwlosM+YDG9CHTYyYrfKb0G4hn6
JZwVjGfQaWuNj/DAIngT9DSCGEbgE+TcxgD9RAUKFN060REctjzyHwpSY+n1E2URzWnGvB8JfM2K
L2SLs/mgh8b5PJj5nZrl7hfIPu1n6sG88wzQFlhUtX10aRZO97bX1VrfrfWv3FRO0sBmw4QSLbk2
T96jiqF+GatkujW0EUdETncFfXUsm8njQ+p1YxbtY52N2kdsGGe8IEclTP1QNuuYDeWAzB8sG2k/
YtsmHxyYD4MIqy/lmI83VQtxwCha7ZpjAbuYulXxGZvwmVBsSF68/+xpXSyFP1r90J5kyERfzaO1
rnOMrSIuYJY1+6/s7sKuiG/dwsQ5vkVt8StWLcLytTq3tMBu6eBvIKFbq4Nu3Z4pCUo7foQiCHQW
EL+6D7LDmfxei9vTnsX3peFp9D7dwSr3pG4vJzZ49cQrcC4JSrczryatTKpNDHvsxMSR2vRWz3js
Jm37IWngW2MBKcfL2rBaTAoM0ZsbvU+LU87ebldYjsBKLUmXj6xN7aGC+6LAgdA4QNIBltlOx+lm
3uA6ncOhh+j1aZmzKAuQpyQCJK3sZq90jenKNnqEwKrZXDhTUNIyVq5P8wmJb7apvVT5zYyC17dY
1eu3AwcF64jdB7dCRslngfEJehkgJGF+QjWwfdvSy48QYJPPVtrFBHZpKicGPKhtojPhCGDMjYY/
JTCAPIyhOB1wa7DeR2Nn9DiC2YPh5Thl2F7RTkO9tecBaY00nflcI9mk6/VL1F7MLaB3GnF6UhGJ
LBX7GgYNnMobiUBMjAL7qMqbMjer7Aa7rlyedwhWZPppA1zwRtgNKh+q6PjudGIUtDszQkKDCI/C
axahs7MojGicFuNeCBuyQqQtBsw3qkhTnZcS3bFTfEVFxsKpNH3TQ169hk4uqt3gMIw7n2YXtMU0
glxEEn7V6KP93N4BtcfrNOVXMFfL6v4aFmkZo/7stCdAtSYm8qDCsHvDUwfn0gGiNKstm76UkNms
YKYNDUimaZBajrOCqU0GbQBHJHYcB4kibkQnepqBMsX5Ea3NVFz3wiIn6pqZs0tFGeWirVVbbhPG
oFaQRmCP38Y2ivIQtDsSuwEftPxt0VjTQ5tWjcDRr7HwMlV0Ow7ge8ivrWBA5TlxPzme0eu98FBi
TDUO+fWeAR7CnS5dQP9+hB/imQHU8uuwSNikplWhp403hFb4Wmtw4ESMwSnGXVXWvgLPu/Onnhis
VrN6Oua50tJisnMHpJ1ZNzfMZbvuspeIMGxcNAXdbWaq8gSKRwwHCuyfzIIcw23V0zRL/2KPSBRt
xEKveINj3p6yYnapfpX0udjiHCeW0wJ5bjYGmMXAQM2jPNPpnaKbkQ3IYSAkFSYaIUdI4yRk4hPW
8HwYsvo2NodFAAp4sB60mPTfg2rXhJzLalRaX7raxjvDixkSSF9GmWtcNo6hcF9hXt9rYRohE6t2
qfqB4dJUPwArc5vrzEA58LoWcI/ILCLOYPI6K3vaF2r/24343aSw/fsJkD/X7dA9nxitrz+0I3Ta
EbTWqF4FmqAg+P9qR+jiDY0IoalAGEAoYTP/VztCN9+skmbgq1T6gWt5/Vc/Yn0/ZiHIfGl0JJBf
Nn5lAHTcgF5x9KtEIt1NTQi0nI9gC5ULT7MDce0XEp18L3dHlBSwiEN/Qzr58K41pbxRsla7cGsj
/DLSI4+9CqjXF/DMuPHYbSdO7MKo36faNDZ+j3TvQ2WCrOxCtJ9J5jW73zRpDz3NlvjXbUt0GYzt
s8f9evOeT0Fnhx40z8sEYLNXpno24Ghre6wA2Gi+qVEot0lreQqiDX66GA19wWgD2RvftuHTr1+W
TgvNYRWaBxO0l80cEKpmqeeAP2foj6NBB4SsXqjFFYoqZxDiLsHBvOZe9rIZQs+Ij/r8muLlNadp
VPS6X6+pTqdaWJteOFJRNI34NUTL4Uo8TVQdgbWwbo/aLip0yUQB6OwnTBBpv1eikAF6eXGDiJVU
7vrZNc6LeLZnJCeadACf3XOiYQy8od9gnStKZZ445ipiIzMBn7mOdbeidhvQVKuE9qCahWJSZTHc
8wii1XWtd4KCS5NZ/koLab/Nnjfy1+dGYAZeAdlFo9N91BPTBuD+JX6xPo5yVO9xreHjNAKwD1xd
06aNASFA88JysKeNXTAPDBQckO/dpbYT+FUouS+j1C7DsFxQvmbGTu83auRTbMzsmGy20nGj2Aph
PB8MMg8tR78TCvf6EcX6aQ2wUqdwqMLKWwY8wkmcqNG8cH1K4/q83Ghc2k3IQzRKHetUeEo82m59
ysn6vJtshpaS77+GURmbjaE6oRZYBoQcqJUr+kLGhfE0p1U20Z4AH4yZilNRNUyAVgJnqJQVSTJ9
M6Y6Gv2Yi2ibeDSYbS29q3/LSCHw1wKX7zCIUYAg0PNBaajWZYjxvDka6UUXtxNvXmAa4hddiyGV
3qTW7GHU2UU8EZwuNrZmkOHDIezDIAMDkr6b3eGsiRCzSbUS4c2xTENfsxY0IUs6tjW8/WL6CJa5
AsEtREEfPxpu83ZYbsFwm3dYBcbzZazZTXetQiXBUCHMi1umQtVpPMlZbs2lG5ev0Zh32kZAPXqM
IBBrN5CCGjguaCw1G4es9Bal2SVCemtG8TPBzyTaI2ko742UUmAmW7WRt0BpAcutVpOBgyHJ6WAW
pUFunWQdTihiQXIK8tC2w4h1Y8bMcr0EatLsw10yaScp5ngnwrk9E2pSFDt+iwWSA5Bf/Abx8hF/
LrN7xww5mvwujMS3OJwQ8yIS609VgiZs0FCMMgvL5PBgmM74ocaZ0cBXnO85j0CLe10K0sSbGCnC
DkfcNZikbNrzgi8Ni4qiyGd0XFDh3KFMgQut01qNXwErve/W8CyTZmqgEhG0rTV8j/tIXq5BveoE
8R1kV/gFLT3tolvDP1bH/bv/U8wmk9imFUDzFXdTR7W1wSE40Tx4tGg+GuqkOIHVodzl6Vbm3lE6
o1D184h7hEcjKFH0kOGvoskgF6xjPBpYNzHGdsRNCPuq1IuvTjrLAAC9SxBKLqYBSrotxLcahjgY
8C5YWuvCMFvwQZG8nZcZubfX7GvWJvc/W8aHe3JUBtOoOlscp0eB8p8PJulsPrHYf3gnQ7/G3D8T
c/988l6hdmjWxzavD3D/YP439VoH9X+fef3f8itY6ofnqRev/z4IesP0lHbbqupp48Cxzj4PgyDt
DYfa3p17HekiYMvU+vsgyBBvoHysarZMfECIr1iK75MgfoTCLTq+mgb2FMir+SuZl7se1M9XDeKK
8GvBhzBdBjtqrKOVZzkLmlZKj8FwSnpfqV8SmdrX1DOThxcSTWCVNk/X5tVp2IMXRkezR1ioUd5j
4XoB1ivaubmycXsoNrwmpdSg1h4pmuSUfJgQ3/ATBhwbFGucLYlm6aeTfCzU9vMS5TKQynwT1rnc
0aRn8E43ie1UZac5mr0+yPPKk0iUf24ptJEa+VTD4V+Fqs5ntP9obSKd1s/xLiTiaE6h+AD839eW
NryFHPkEmtJrQGB6VWQEKryxj80s5YYi0T6jhqV3IHoUawrN3qRKx0GjTf0j9cstt1Jcyqz0UbWG
GT9OIO+MCVBOPYurCAPBbaHNCEN1y4JYc9LQGaHDx/GJXszYn/dISm3naCg3C5yjbT+iMFdX+lfc
uRAgQtgCYZaCCjqWdzTHbtGG/opt2kdDhvQAmDJ8UyYN5+8kviPw0SSzR/S/RH4CEZETsKiXs0U6
5X9hfPs/EVC3xxn8/a5+91D+dvnQQk14vrH3v/R9a4s3YHRA9Bs6cRfR3b+KKo1NiiC5yj8II+Ld
Qf7859ZmkstaB+iAIh4OfGu99efW1t8AYaHBIlB/ZWjMZvwFVN0xpoEbJeqA4MUIzABaccz97mn7
AfEyTM9eZYFKa0p2LqxTzyw7J8Bp3UV4ihGglsorRZo7AP2nBhXSFhOfO5TJgSeM7/Cnl7jZxM1F
W5kfUA43wS/Mw0ZxunxDLy8KWqkjTJRDGckhZwddI6ttDNzZJwt9ysXISUQ7w2dn1t6k2t/sOvES
BEVPHJcuWpTXAeYAk2cN2juJpCDWwrXXKKL1ZMFrzO4TohKnZYN0UUQi2+NsqhjhXSHFwWf2l46u
/4mbYG+Z9Peb4AYYa/t8/e9ff1j/JqtcQ/UckTBKM5VV9ufRBt50BRBB+xNsA4dX/LX+QZWyZ4Aw
cfSZLrNOfun7+hfGG9SLbZatii32igX6pfX/8mRbQW3rlTlz2Zpc56hEtY0CCciafmzX1salZhfp
WaKKm2fn/L8o+dfj8dnxucKkTCw06bjRDtF07egiQzVDVDX1NhhzxTwzsfc6aZo5PP35Vdaq8Pgq
8DnofaI6LEgMXh7SqdMpFYd3G9CBU88RAr+LTSCviVQQQkNr6OTnlyMC/Xg5ML88OpoydDJeXq4z
knCY+rlFaDRrghA8tz+pEknNGFxRqs3JmZnhfRgO8Mp+fuWjHHb/OPmyDEDAwGb2vajn2UjVh+pc
6ypXxkESxbzIpVZt543odRkskoY4UOETqAvzKQz/16xxj5oa+6uv+GPwzIjvi2OHBDlrWYinFKS7
RrfRVpZFIGu182Onf82D9cdLafgyIrG6rvN1Db18xHAVhlxCEA4i/A79CobDtkHuzDf7+TXemWb9
+H2C69yjSXRB32b/82c5XlGVYQfVBDmtejIYUFdDcZYIO3qXaLFVbpSwbD87KvMJjy67lqBdNg6n
uTkUn/Mm1HfSjEfwB8yfL0miwg/45cZVgBhb8s3J1wF1Wdr30FGqwGCuvwWx4qeCkJ6gWpp6MJgL
Eru66+7nJUfOEPrsZ0WLk7uQjhZjtAz1XJ/m8gqSyzsjpBqNhbmJjQlaAtpkNAWZ6l3EGOmG2DmE
/UUxhhZ6m0NjtJ6W4jQLslx7ZGI5GBvpJkzv4M1PE8Mm4X6bMKNWfKtBsQGxtw6ERlwiBQxT2/Zr
6TqXbqpHD+HQuh/6ToTf7CpiqQ95XX4dh7rRTse0oxju+7x4nzDZz8EYlwy5aAu8TxYELGdzNt7H
LVpeXhlaE9ZgtlgsL9IAdKeONj+KWaI3VZhjqp1UOv7WCaIcs4dUqpZ5DD6pBCPK8CEA7kDHogxN
kCv61KOssHRwhUzEifA0s5ZuACOhJg/Ud0j1hlasNnQV0D+CD1+0QVn382ONb9WTaisNSWzaDDu1
beJ7CvTkTh0pDD29Na075qEjIAsw91+dZISfiVO0ejkyd3kr0nnZ9Iz8Ci9KyNiXJY6hqrnqWUHf
fmAuqihIsLTOhFS1aUo6Ddai0OjU+3ErIdrm/lxp5uJLhFkGU1dOmiK33mp6101gY1L3Kyzi7iZR
8SvfqRg55Jiits2lgkoy0xIsOga6Ykv6IRxqK93wmUJ3M6Yl/YAuLZOHus4Mi07NZJ5nOoCMrTbL
Fkh8WU9XopN2x0DbKDZqEonlJLaMKojCxoYrPg/ZST9Oy9e5oG9IX2jpkf/S8hl26mhN36TTVh/y
MZ0fMCSVHxW1XSqvLBdToJDndI0/abV175iNmD3ZVkj5pbYUH/FDAFhVazmzFPAUp7JunV0UJ/IL
/C39tlXrLkiqRX7rMbsNIgY2RtDEpXoDWqgrX7EhOfJ4WXG0Kzxt7ZPSoAG0u8bXZzsdTSo8GYwZ
Iix+AykMvWZ2dqP7num55w40vnp0nU0ex2B5Q/mubh5H/Ry5EgRF3+LvMhVXI2YCs37phDRWN7lQ
oNDlhyD/S5nW/59oUW1lz/x9LvVuJc/8dl61Ty9aBfvf+l5R6OobEiPb0pjH6KRNvN/3ZgHJESgo
DLuYueAyqZIjfK8odOcNwV2HYQ6RZh3u8KPvGZWuvxEMBdajHE8iGzvQX8mo9h57z/IQxF2QJefu
KCdgEZHgvVxeZqZZ0UJH9pqaeb6OTTxrJLYJgHBG5W3I4kOGBN3blpXvJRHi/55S9/lJocz9hdXR
GQ6R9iNxyFqG/rFoAiNbRbDhksc7RaiofT97vP8iO9PWGzq6YVpiiCurTJhs2Eovbxi/C8t2+za6
TsSi3ODS0/uTQPgrR/bCt4bivpkM/c4AihLDwEEcryESv2JLtmZLL++BlBlsO40cQJiGOHpofVPF
SN3k+TWAbOMqXGzxUEitwbcnYw6B/GsX4Jcef3zlox9lGHxXfEECdS3+zZ/jxg6z/A474a66xn0o
sa568B+fkDkVb2dRJTvAhvbFUtfRXcKUHQkaWWmEiHpxHIa6MGm29NadG4EFHfScLCo3wm61VwDC
R3nJeotk+uSXjOBBuO17U8+iVRHq3TzUZX6N0m95MRoIJ8cuCkSeJeTcnKiNzenbT+ZbXWJf+9ra
WL/7l9/LHlkrYHaxo35Qx+vUNqVo7kqUSdu3qVrHd0aWpW8HPGUulRSfbwt3UNNbsJrwkclqT7uG
FrebJ+lZNsda8Mr3dVRJOIClIefDPsbjVOhUTS+X6pLabm32VXJt1DiJebLWx8fFGLS3CEN3xTZW
IvNhcZTuPTgYfMIqDCQ8YdbzRYTScXSZlQIm6iDn/j0qiK99Uz9uJFCBODbTnCApJzFf7/7ZV2Uq
qZlMQ+9cNbVaoUOMyxreYd0nTcOurHSgozmDK070xejPEUKDJaJV2SuP6KgK4glxeeDOGPvgRMT0
8eU9YL9B1MFq8Soao/rTTOuRKd16OwkyS59AjJqv7Ny1NftyieA5uw6mbZ1iwPjB27e3NUz1GKRc
EczYJFnstuis1xmzSCyPK9xBkSNlap2AN/EGwwEWqM1bBVcr/5dXB7fCJmZqiCz0DzbHIQ1QVGSd
6SpW4+iidzp3Ww+Nip8v6ESAsmpymadduBmzIrsAhZqQfieuFcjK3sC6k5j/pPLeSaJD1+RvmTs/
bGGdcwXpCsLa6vq15/w9WxdInUY1EU69sq0x2WmTbM8MxINhplfWJzgnrme4M1ilaklOXnkkPwQ4
Lr0SIQhuDg2F4yWpmQMoSpBdVw5glPfMuckkMa8HVJS646MUDUaEJITXYJ7RXAxzA19axEcZyWN7
g7dnHczlOJ7An6lO0Pzpp1cCzFEtuy5XFo6l08rAefkH78RG7dx4bIRxpUJHA9Suw2dqUH5c4XMX
MRoVV/aSxRK5Kc0MKI2sL688oB8C3Cr9uIolaAa3Qd7wcr+osPOtGXH6q7BylY8dUHw/QfAm0EQ0
baEAJzu70ZJLmPJk3ojTRx9kFKaAWlHtf+8CO3xl//4Y4V7ez7rbnq2VwWkKmeH8flUU+HLHyZnm
pt9e+cz/YlEwG1mfvArc7IdFgThT2jqRg+tRi5ix7yz9gLkA7sBlGyYXA5j7izSzlW2pVoi7Z7V5
Ei2yObVlmZ1CW8wHXzO0/mtVIlSPSZz764uWXjFMRVJ01CGs42Sg6VOnwjJEu2rsPr/jbPp/5J3X
dtzIlm2/CD3gAuYV6ZiGaUimJOoFQ6QkeBPwwNf3RPLcviVKRxynH+99K6MqgjARO/Zea67vzhQV
u7oHCNZpsAeqAgRzn1XZAxECn7sO86umK46x4DDm/3hb9iXf+ya1ev/897v3+8eMtRXvCeyHW174
uy2oHTjTpmUyndRJJfKap5RE6A89E416tuiKhNSZNieARi2l735wdrnVYr/sxwhn2PfmmDkoQcKY
X+d/vB5+KnIip6R5QnWJpv1GXtPCUezNaVRXWpTIezVUP/V5Gjt86aVxho4W/iCvtrjHHRut/34z
/vQmsaqo7HvsyL81TVDRkbhhxcaJ9ay5Vn0lN+OMGZxVm/aHBsg/LBb0KXGJYdekInq/+yuiGfTc
6czTKGjqeVFZd59ayEl7J6uH10wQ2mDVTpR4hhIkd2zz8K7sujuwHV+xPzmtJwKIM4FTk8KNvpK3
Bu3vFipSvYFDkt6pY9jlH6xw88Hi/f7ISQXrPh3QP1QFE4HlvdBr3ua27ANUuUq1qKyAIB88NFAz
XGugAVQZDe2WqH2yTfO7C0cI17Zm/Gx6q9/pBZ0MyDS5Z9VK+oQKrLn+/Tm+R+DO6zBnFXrUSKRQ
lr2HHk0OFhkfstypliqel96ItWNuJ/na1NJ2wwACIJ3r+k90HLXjRJzNU46RPCM8fiG66IeAQ/qR
euqPN46pDDUMGAVu4Xxj//Gu8zMnU5GafqonIfZ1rTXXQbOxdUW43GM2S6wYxbBNdZRCNsSmr12D
as1TOmfjqLHxqDStcYiLprmK3ulfzTD8X92224ET47bNlc6LxT8uUQyqocs81Tg59NpRwp47i9j/
DEF12Lc0cxYkl6V3dp0Ve+gRDyW85dduspytRpY3yXrhB/77345RPEa2U44zOCM5OLxbHgKY/X6C
6ObkEpe7R1pbPgOvplJOQ5U2mq1Xj0bAzfzg7Zk3yV9XJX4sskRBbY4Y8v0xyoWjm4J5Z/abu8GL
3iYWp10ahOz49Qp9bX+Jp1zsKzgNF0OfUALdzlP/i6twDGGB6OAjca13K7OLmQqDTaydEkdHVV5j
FVq0ihWu4jnDK22LF1VO/jcjp/0Yz/88b5v6rW3zb0u9P5wBaCEgOmDWwYjmTdv2jzfCbqsW0a8+
nZA+hvuimAogkI75CmxCO9rofA/lkDJ9T6Ml7j5OKwCzP7iGWz356+PgGpBNWAxCmI++z1hG8Fyi
xzfV00D1h5fZUsvnbP5wsXqxbkLcodRKiTNc5+MUHs1Qao9DLosfyHLCCZWaKJ99cEByUePtuCZG
W2+VztQvZO+JPZNRsQ+irthWmlVfs7wvtgjHTWxGY5BGayRBqs7eE7mO59icPG4nY3vqWdM+eOKU
A7+9eYwHOJbiNcVb8VupQJ6TBBfY/2uNSIuRepbh6SachH0ZbVvbV7kCATuQ3+LWTh/y+cA+a1D2
rdJyOsEGsGHgNR6qXH8MImsOhVMkKUoZ5BIhpmVQm/0P1OnGsWjEF+wGYh/ik9u2dWafI6WuP7Ex
dgsrKezF26F0GAzjJKfeGZcdsDwW7Uh2myk0QVXow/gwsmQsmxD1JOxCa/K0+fxK4BM9BKUwxN4d
o+TY6d1K0jPed00sd22NmB5Lqlglap9/kcRsnWHJ56tRK4otmXfJRZhDwIuv8W4lVva9wXL8wL5X
bHE9dlvLjrQdaC/5NLolsMdGYjGeCjAUnR7cExTcIlKZ1XKDUgA2VpSXMmtUxPTzEc7g7zk26BXr
SFmIbmlHubEB0i/vocIPGwpnXhVKY+fS9TkRY3RyLgxqyCwssdBMib8j3ZZYI+VClpy5CdRgdreW
bfRagPE+TLmbrbqp0Y64Bp2dATtiV9l1tKGNvCBZI1yTiWvvRj0cSMXUQRf63YDEU0+3OXXJJW67
PvRcOf7ISWo9RjGnbRxFw5KAp34vYRBsSZ5QPjt5D6E5cY/9qMfYdUeiuSufqA5yNb9lCcQaCmNl
jXsEQ2SshScHvOIhAwOaYx6MRngp4qyleLascjpEiUIUVt9qxRaTU3PNpNE9ZHHDDkT/75OtpXJP
yoM2LCoy99CXzX/IVNP8UIaVeKy0hMCANltVdjzPaZCV7iswL297lVUOOk6IhjWzIVpMyfmCw1iK
bQam45wEkbrB8MgnB1xhuIRMGjPPnSv4KNSLLQBjsQeEzG24PTQDxfHCpyf6EieJec+R2N7kNc7T
tnNznTSiQN6NvbaYoFKD+Cq+Gn5HGqhm73mmQEJE7i/Y4Ky1WQv8UnFakzmDHlOYY/NUYsdYhFKI
QyRqZ1clKeansoJlq8ua4BYMwPvbbhRIKyI+T0LhyJXceCJrurzXxoS4AtNRdmVapCvSWc1jpGMG
G82hwy0mi3Pukl4WCAVBM0D5ZZdr03qMQNsSR9hsdMyjAH7cTlkZWe3ey9x9IN5kOuSuHEi1NBN8
j/PAjTcZq08A0bQ0Q+3ZZZQReeoo62WLYogUjraNF0D4wysTBA548IPCpWa1/kIvK/NzLeFp2L2y
BZfmb9XEdfahVfprU1rg2PrsEyYTMMeh/y0L0uShGXBv9W34xYdHvHJyM9sEeWqfU5kSolTl/d1t
VQz5zK5sQ2saV1xYhI+TyOGM5E3928TifJQqa2ldd18NUhgtpohF91o5dbJl7UdM1qh8k0rYVcay
6YxvIC3qK2UvL1ql8mGQPgPXW6a8hOQLzDaXIvyWVKx+SgyylN+T9lhnO8haiDiefJmvx7EKDr4v
zY3V+dNVplm+IrVhXA8E3oLxUOtz3IfjGm9WcFKyJth2dl4eO5FnewXUoo6pXBkht5sTm67NsWSl
Mc5bB5UjPzux6h/90go5OdssL0QiDyu7GR983ZW7XrXK5xI6Qeo1kLqRcvFeryakY5IpGrtMXcXy
OZQGv/PtuHq7e+loWeeprXYhXPNXH69M5WUiBO6YTiVTqTC5VzBUv5rMsr8You6/Z8FApAAJp0RQ
FADwWjlytiQJpRpqY0uqWr/VABR7xF/WqynKynXR2swqRwh4mR+XCzzOaHLjtLmS0tTjb50omYn8
Kp9vSxnM+uZaEvvIoTBK9bswq2kSx7nNCWAQO7Yc/ZOVsaq7RvFEWMj9NLDLTrlf5bD6GjTokOfB
GSQHQ9GmXUZ4HOLgMTnUAOCXUTDy08ZRKz+ZSkszjfknJjYQgcu6baqDNbhfssYsfzAUpPtpl2jm
8rxTnwsresh7fdwofbb247DbO4ER3FlJaq4rYpnuGxT5W7wnOAGSrl8Q2OKpqdPPod7N46j38dKt
HLHStcy5z8LsbFl9vO/aRlycudp0W0JCvFubscbZVAJXye2NznLbZ92jrhpkGkzuiqJ0+hHBIrrv
xrR46/tg5GbxjxRzo8xBdRGPapN2Bl0WI1BQv4OsnKNjsaoqoXqgD5EuiSGuN51KGIgu44C9TQm/
OE55IKE7XvdB0O/VPmg9XNUqOqhw2DiNHF9z6r6lOaSBvYQbHLje5DT1VYnnZn/rSiIjfRgM6lB/
NosSUT38pnFv+Bruc0XSH6njcUcOC9NXsnQ23Vjp5DqRJFZFyiqbPX2VayZHbWgN7AmJ3BII2m9k
pyrY7/sfhTUM98BQnB0kVlycUmjH1DajRx2W8Y7hKwubTggSlDr/IVWGZg/SGsh1PtJnMX0p+Kr4
6lG3q1crMtPTUE3YDIhc6r5i16ufbv2qW7knyYe4SCPJfkw+ea11nleLvMbSWCvEqBbC9D1wm9pR
67kc4E8gLzBH2Cebjj9azlRbNG4/fkpHRdmRMVmvcqFXx4KlecOxptjaam4uDBU720JyI7etpNRc
Qk0oti4f+Ge/9RMPQ6d73912SBlP23ow5bY0DMx/LSYrMuDamK98al12s2JC5W+U/Snu5m9Zp2gL
ZGE8tOBhLrmr0jIF81XExG8uk5Q71Tpk2rB3+QUpmwSAP464MfdtWSobyiDtqirWFpIFmSeFLxx6
vJHNvK2LnUseFHNVPM9r+sCyvhK2q/DrJ6FzGZAvIe9PVf25pKzgEFFV7N0SznmMZIGhN0Mg6GNe
30tOlHMdmU9d+exW8yFr8Ccm9ZHlEAVb808nX6VStsf6S1AHvIGuQ8iNa03mjkFPuItizXp19aE5
Vm7ScrtqZ9oiPa/3UV3oeHSmWr6YpuTHEbAK30+d+qeGoeZTUDrKiYRTay2NaegW0O7zbeGPrL74
nVvUgobO9WidNZpnOMWWQpbfoLTHGAroIoqS4QGT+CnxDSbgRAdCWyDxpHuky19/B/LefWkwAR0Q
hWTYBCTVhKMOk00aMl2eFFrO97z2lS/Q2As8itKoLwYqkB9FpRPxWodhuo3NkvM4wIfWCzss3guL
2JYtLow1zObpUHE5z6w8VeN1lqCriPflXpKSRaZwqX7Fwh4YizwL+/0w6dcak8MDTbfzGIurnVru
dTQGZ8s62jGw77l4TVWounK+soK2lx+SwEChscLpoyx512ss0n4QoHDJtGpRFiT+ZWiLCOwuH4Sv
ElXvOONK1hXuEsUSz6Fd9gco/CaRBx1x5uTC7wl72ZmoRSkiouiLY4ffmJhRuYU+A4fRJrlV16Wz
DCAsg2wY5cbExA6LYuxQT5tG9To4JXEgZmBN47LJleqlrGMiesK08Y+56LGzN4Nhfufd893twPXF
90WYONXCKoiHxOcUfCHUQ4CgCcufuVta/VoZYZjKzDXjz+mozjuAM5ihpw1G9QWZTK0ckn7qghUk
30we7CFTviK6sJelVruBNwzjJq1TZ4Ewe86tDE6ZY+zGPmt3utMPx97S4rUep5IgR/WHjGqOQ3Ec
pZc0d9i82QeSb6yIxugl0eBmhBqwmK2sVuiH0ck0cptL1/5Wd9Tyi9Sqw3pHtJz5KQ0aI1pGKC1O
XV277dnvglDCVYBAnGzg7aqftJEUxoXlDM2VMT8VkDAmnF12ka9SyeGiGxN/ITsf/AcjAfsyqUYu
FsLttONb/ZAiZXKwFVv+qYyM9oRYhdP3vHhKxc9WRE7wVxbnWH1E7MWuDiN+gWeOT0fP5uSO2x+L
VS0al4XEuqQGMPo9I9QY/d5qj3IeDcQZp5TbH6196i1SAfjeu95ylmBAurVZ6XOj0WjOxO45y0rN
tCObJiMgi6ZUlkXEa8ZV/8p6jtNoPsqxDfMTofBQ8ZLUdAWI435WZ8XfsgcO0ZKNkZbPLbxdEEVD
ZP1so16wGs1rGREd/Cp50MZgMQqxt6wWH7QcEBjkWVR8auYDb4CR2lhlaBRffbjyPas+vWbPBe9C
5MyAQgrcA/tCk5gsOwO8w5KPqnSbFTVKYi9tZ7igYK5Pimk3V0P45tpyAz7D0NffLqMoa/6HSlDe
VkmTu9aHMUp/cowLLyDqbwdqRlurONiOEt4v2ZSwAwJPw3JDB43fnDgV0wsdKdc18R93Yxb+bDsk
dK0cxi3bwbmXOBk6rcq3Wej6d6wONuAAMqXDqGWT4lf0KHcD/AB+ulM6Nz6kIbWVQoDqY11k+j3f
rN0DlOmGBRws7aEAGXDlsXP/qDZh8A9hsCJDgzDdQM8umeljZDAmQ93B2lj3rZD3WVOnR5kr/EWQ
frt1QrRecBiHtISvNPGXRA/MWK8k+O4qznQ/OsTGU8Wo4UsewR72sPJCcyGtM1/ZzvyK5XV3phds
7AeF3N50jCImlfOD7UV91QaN1qGdWHcZOzqnE7wh9KDEQ1JmpH3yaKdYZSBhJkS5r3KTs31fN9mL
TeH92OWErEX4OwhU47hKkEm2QGiXrUwttp4yNdG2nP90r5pUmh/kEq/I3g6PcagG3kSF8KhEDZst
6yDvR+BH+npIODVkpCRy3OYNJtuINzahnW2PUcwqN28Ubzuq4RMYIBl/buXcsQgHe9jSKQeH0hfX
UAHfZJjiFMsJkqZDAusSwCyUjk5vDz2+ZA+6j3HBqFq9uqbvPNQh+AaWBm6YKV3lR23TYV2k/WSY
UGY1+9KbSXkMRr9ZKdYUEnUaR8ariHT1ziFXzlNcNWIijjbuRbNxtyqdSpk4S/LW0omj2Xo23Zlh
qm6dGdpM+nJymqq4Cjxyeb7eGjRBqvCxEFlnydUk7fETmzPP07asDFpJalxpY302CW+OvESK5KtS
J86ybkD6g7piVJMGTv49HXz/fHvd0e/6l4LaIqDc5etOUqTEdEOMSzOkT+CSECsQCBosdU2COfcV
GgJACPhYSD1xyBiiCScthYxjheCc+7flCG25J+wJsgzfY4NOt4lQ6qVTc8VHpbsbyKNkkOJmWjdw
jOiA5NUlMgnu8oTSV5oHGocxxcSxG8JM01iIGYNC8F9Iih0wMGTyhsr8pmPJ+Tr4dbegrg1Pt9XN
ZKR9B1DvMaoi59jVlHzrW5fwdkSi0yExN9ipdgbgJq7VXE7ejnfsRzQLG0yuno544eIUcNI9dkn/
UKiJc+kZB1+n20JcqfzSuR/u4wZ35SIchgCpnubu4Kd1e9VsyuOgm82S8CD+0SR3spDdi6gsn1RR
qZ5VlfDyIlWSZ7is1TaaY+7BSB5pjikPeVtzeJk7faUx9a+NlsfEeLhKRmBwWT2nZjXTYKpgget1
eLh1tl1fNHsr6znUDNm6l8LcEuxcn/J532nn1tatIYkypficmuGws6AtcRAblUVFVNUKdNy8InRF
/ZCg4DymiBsuHWiVjTq0hJ0zst849rywlrb4Bj843avzxhcSMX4M3Vh6DCP7n4xuVNoineap1WCu
haFSNnY+i1HaU0EPmZqdVQIh7zJMYcwgDPfVnkZ6Nqh5OpgrL2OmtlsxFkhRJ2A3LaFIzC1IYIe+
tlZqxb7YMXp4T0iq8s4ZAccDMg6PIpoQlww1r0hDANCiNhMWfuTAEcE5QoxLml9G4AGka79rJvlm
u3aM+W3aIe5fWzGhU731Km77vA36xljZ09wIsKXKu2bZKc9hHgABQvIXhSvsmSoeXEqW8A3dI5Ks
EcU/3N4l9FoaUQ0mTYOig+TRutUGLTKHsbx07hwpSG/0s3jryn5V5r560NQufOqS8tsYteGBgoai
TMTJgTT5u8TsdDgeJmXvPAx3Stvcqr6rr90qC+81Tge4x4eRrGF3ePIJiTjCfYs2Vm6AxY8bk6jA
Tl+TwXS0OVQf3ELRv/M+Rc8dQqb97Y3/e0/892kj4kOHZgZWJqgT7wNUosrtYdUrzqm02eS9rKQZ
rs7nENWm1ZSYrAh//4F/GEnPyR4YuEBluiqWrF9nYNRwXVxmgXIaFRbElEYVxJtIdb9r+qieCPY0
HxTc8xuWPfc+jDQi8XQuzutlU+0IKXc//f2CbvKAX8cfXBCjqHlmiORTfyfD0iOTjaaZlNNk0nix
oZ+/VhNNQ7Xy+3VT1z/TrnM3AfCrrQ39gf01uIyNU/50TfyM6MXUdjFapVzmAL5XpGP4ezUPKaOi
yLmavEV3bd9GHwxttN+H26RpaZAPsJ7z8G4Rr/8YHKmdq6cNdrhTk7cEB9Rlc0fSMc2IJFeXsve/
ojptzgF2/BEletat/DxXDnaMlhzXV3ifu5Mx59q3EC8jTTtXalPd9YENp2hehJwsdT6w9Wi/a1W4
ZNRWeJQceKLvhdSFCak3pJY82YmdHkDXGesuNJNNhDJxTZdS7NGSj1snGMXzMFQ1uMj+Gd8TR625
eqZR4ayTcQw/EknMb9yvLwDXxTKkYTwiE+X9FJQwGgT+SmWe+rCOPxWF7W9iM2qvNREhyygN9Es2
xMu4wv1Q+Ja7s5kdQGuIG+VeaydrBwhUOxpowZa+YdWvLRLMZed/6EXXflfOOSrHGYtrnAG47wfc
s2yuD5RIh4g9jw1ujZWItMDniNrR48o6ulucCowq/ZZHcbLs9Yn23Twk+vsn8/ui4XCj5m+FV9Cw
34ug2MhZyVSmaLcpoRp203dXSMp1UuCO/jyG+PvP+9O7Tq4tOnx7tm6D6f1lbN7rRE4qXaqfjMIH
oU9iPD3+nFSP2DxXvSP2fepW274q4TzP/Z+///T3YAIKxln1P78ds7PcfE9LiTDoEM3Jpzb4WnPs
G4s26Wg5x9bFoOADq6JtnRyczIwWw9CUi0RIeRGhi1E6z5TXoSifyKYLLkhcProzf3gSGnoHHsKs
2yO+9dc7UxVhAYWltk5Rih7upqAkMQT1g9kT5mP49QfCjz88CdYcG6XAvF+gGfj1541UU2bG8PHk
UkDcCYNjAz6c4jFLC2YDmaEwrMAwlMID3wnCkz+a4OLef/+pskijRptXkfm5/PrzlQr0iVU64pQo
ot1axRDc5U6av0p/nA1KYqmNsziQuSFRZU5+r4/OU+1KfCVJb90FVdd9ILf+08vBBdG5wxMM8cl6
9wQAzMAwLC3rRCPIghRazK4QIlnXJSoVTseW/dM0aVKHFR+IPyp3LaiNjRaGeeYNQNZWWhNGLz1O
sddhmmfof395//DAuEvcauSSLBrvN7eS5F4lIJDkBA9ubqRWJnORNuMINk/+gJIOr7cK7LZeDQOu
o+XfL+APCgc2V3S+oHn4hH7L62uGwnSBZYqTA17uoQ5GzMtxsijGMdkXomn2WUDwiGYM/h0ZwumG
VPHyI8/CH/Z4h+E9K4gJJHwGBf363qBlLqyJRf3sinaHWDRnyDM0m27ymbEp0/TFGUAsyIpeAhMu
c1jr0SWxknZvFCHZxERuylUNH7gNtHw5tHn0PUbEcrIUzujSn3ovSsBYffC2/2FfoiKbBQtzCsNv
MpkUKo8ykL99ruc1jjaIfWkxKOzN0ppL3XmWBGXzo236pr55tx3SaSfQhsJidlO+W23DmCPVVOvh
eeDQsrFEW141yUy1J5boUucaWw/SOecSJCGvK/t5Quh9Rw+VgqM4j2GoZZ5CtgxEnSD9NJrmo8+H
6pVgcKV3mzXfJtV5UdNU6jmC0+cvFyYL73pMhic5tHSFjYJYYZwY7Z0fk5qlIoBatloGGqcP8uxT
fmtej7N0X1U5pcppnPYcdRuPQWD7EE5u8fx2zH4bapbxqC0JPNTvqiIaT26Q969/f8//8KG5lFQW
RjELxeX7lTjrLNgSAw/LjHrrIHI1ucNtCUUbXMEiS5PuGBahtp7GMvPMus4/EMH+6cdTE6ASQsfD
hz5vFP8oBwM3paPR99G5Jmxqp5IR8tY8wLcAI7IvOsULwlSu0eXDTDX0D1Su5u8/352lgDim4KeA
Znn3gWFhBcrZB+mZtZe34tamkgT/shgKDsWaY5bPt/bFMKrasbLD/CcZWyGzfQmvHOwcp9MSleOG
bF7RLxsotahH2lo7dtZEF2nUR06Iph9ycjfrQm6VaKDtCANpE7QR/0ojN4hQLkQNk8c6UD36yjB+
njibt9goUkdbOsB6xmUkBi5KyeCtg57iRyPr56PPpwZK1K3v21a+ik2UQKnrrUWsIN1+TeZebSiD
7EuodvLauJO/sziQ79+kadY8Py/0GuFUNIsx//N3y9G5R9jh/3BI60Rt5H0lkrOC6QsuNmroc6kZ
wZapi3an+dP4kqsOjFhjJLh0DMwPXq754f26InBGnD1Fc1TTLGN+93L1BRYzWMPnYPD1g5nQL/HC
KNNweWKSSJk0wcDwkJA5O4oD44Pq7/cah/4eaDfAbvMbJt7VHFaTyinFPESpZ9FIS0OLNn/qqEe7
po1p37Lp/n6/31s+HRZbgTQS1ycGKtbCd29zCKkszciKvYgorRZtGJjGDOYy1k7BTOFWZmEvKxd+
qzXopBuywKVozhXM8JUNUeZtsK9XtrpOgM97jJC5Y1Bx72/1KQvnsO/hyfkBcc83ExgHMfXp77+F
817sNiNKAD9QGOJfZVl4t5Dbum+Xoh3bU1BH5cGtdLkXpqyQ5ZiPIx07j85HcgCh30zekE3Ja5vI
a6XRmkHhAzEE3bDYMjiOl2SZI1kv/AEOXW+d+9HN7os4/xInUMOpAJPpK42nYjPMmi9OyvLJCY3+
R+Jq4/n2+TCIZdJrRdMDqGH1O7GMJK2rlkR0NYjhazbp+uc5P3ibMH3d51E03KlOxRU60rjTR6nc
aUlC3nBP7GHW9/k662z35Gt9sRBFby2bUTgr5palxovpZpuiR5viII37xgQCRzsw8cZcIO6INrf6
OI/V/uzYcYKHp/yk4CM5cJyrVp1o28fMZNWaxImY+HiNqsUlqjBXvmWCDbhGoLSyMjpQTtNo7Sap
SK5f2jS2S71Jfoaukl9vg6OgKckuD4auuOp5qe5jP8NjhITv1Ql17TnKfHuLvlqu3ZnpnkuhRx9U
Xu+/G460pq0xGjbAIWi/dQiE2+djrFXqSeYIBwiDZ6cFGH2MTZGtXKJM33bA/8iC/PT/YYTgrKf9
9/5k70f+a4Dg/MffjMmQiUxB6AkhgRRcfKicHd6MyZBeaP+jrKc5xwOckSv/40wGg4RRmGUJZ6Or
AvRgPfyXM9n6L2p8jAN88ngsbA4Y/4kzmRjlX9f9+Ufg+aH1TuL8bJ3m+v5ZVOiMTTtHgRpdYkuO
YFZUjpl7miG1nEJGt9B/kp/FZj9JC3NETx276tAs/+iVCUlS0mOzMDMNimLY16O9NND5tQsx4Bzw
aielNcu6jjinzyVeYaZ7ICoqdBoaE0htUJa4N7QnvKrWMTQwVK2SPoDvWaaO1PekrsBU79s2ye8T
ClYTWGpB9Jja87+8m0IfBIjoCUv1bJGSo1wIUPLwLSrIR4hFKW9jSYysR32d4MOxgkTFFRA6ZE8h
Nfush0FCPqALMH1X9/3gYrkgCoLBSCUCxKjdGnRBleJN5OI98hPG/RDUOFmIs+d0o8VR9FPaUfzQ
xmK0VvwvTNTlUm/FItAGNKrSMCUmaQ1di4TXffVDFmlMh4MLSTAVrFl6XdWPqIdKBQhtM1L9lLXi
e6IsekDvFVoiErgJGxhUNc89dJJEwkVmrf2kxVm1q85pA2MpkJjITahkZsFYHwcBt4C57SnLO5Dt
mvAdKPYE37RrDH/yxU10eyC5sAbIUCUjGAZ0t+WnBhEdq3vLWXeRmhDkVmLqiiPcVZhUgStCAUCq
UyaCbJycPTkdffgyVV3rGyJQMD4bChL0tTv49lcAGv19FOvtj07N9XQvUOk1pwgVLxhvvWJobSsi
ZXIrO7vBlZMhd2SuMtPvfSaWc97BiAi1DW3mY2D9Layyrf9zpN7TNwN39MuokyBziSCmfi2EYH7k
sdrlzEIwPw9X6HNEf9SxbUSbRm/iYDFFdpOsk4icR1jJUUVah9llZzHYPgPIwo1BfYPBIDGYNCmv
Dbse/BcDuq/FWNrfYp2T72aYDHkGwdMhJWksZuyMKzgWAtwA+iGdpMiWWdRZB6cTZbpUa7SoHiB4
5vI+0kem86BebGIZ5gAbA0uAfwoyf+zQXCK6H6C2WqhFXlU/z64i7tvHtjMKd03KRWB7BWLkjPyT
wfked7X5OaYtPS2oPnwiJ8oxfFG1VjnKoCPixW2DAcNT1yEYRv+QfyE9yviSyHiurKTiqPdKORh3
jRb5Pynnwz2pVsH3XI76QwNR+BuyUZRafZ77Lw2q3J9RyohLbzu5q6PKvPpAZJ5VY6zlnRF3gcZX
EyIGLZBmx6vKzYcdkzgq1AWRz5kELBqMDlJUO+W95HvsF4RtRM92YY3KWvcHTtdRpYclsFZ1zqrr
unYg5yhzE89WYxKO/DrmP3UYmI9eYMmWuaIWEWUp3bjc2EEqF7AdDNR7QkvPUZVDPOoNA1N3qVnh
SxE63RfDYUzYs7Q8kr0RZYBEKJR4KmP7w7o96kaT9REhhH7m6ZKZwlwJIUFZvVSxaLKlTn3xQnnK
L1VFMfE25MF1rldxXHYXTm2LHwG4XIQdnDwpAssBGThpl9rXxihgG+q1TJYhEHcVJFLg21xwYIOo
1wQZ173dtk8RTHkgPQrtvEM+VKHj1XLq3KUWx1YFP8oZuHlK04wnB0UQvRTalFW6ahmchcGiq+0o
OudUCRt0i8mpVi0AxHZaj3JNv7t6IVUUtaoiSiAqSkFFt56Y99+jZTetAzo0wp9MFM0gaXItfoik
W2hrgYSw3FhFqLRbNGGsjlnBgWQVjxJ5JaAfMMUrs8ZtsWzwvayrjpbPyg8065ppZeFyWYjZ5NWZ
ZKYu8QqFnOeicLiXdeeGmzIiMmjD+19pn0tF18bX0XX0Z0NCflnpDFTbO1xFxdktyjkZADsfkZNk
nUKPDNP2FJZM8r2k7pSSTUEBYZwrujToWnTNtyBQdeQlQhr5jNfWmaJHeaiugj4prxFHq6/4deEx
pZZ/5lXnY/FRLv3s7TE8suVGpEMRS6gd9LATb73E/6iA+n+T4TKPFf99ibQhujBnJPH9n0i8+T95
K5MUDagrOFXIEhRDtgqt7f/USYqt/9dMaCfeWJu5eLRY/6dOcgzilBlO0JCBIwdMjn/1rzpJuPBj
NbRXt6rLsP8z2usvRZLQNSivJAsipTVVkpvfN4ALC1g6LKj+nsaVbPVliwSEvbppI7yHeh0YinNA
21GQK5zSyPO3fWZY8pPvdFn5UTN6Lsj+70F9vhabpjpTTE3FPPrbKNMWIq7BA2r3Ug8sVtyUiX6z
Y3jWK9cms0vr3kgIbsJL1sSEXm2CUXbx5ygdnCf4lVFDGFiW4AFyXGXcuF1kOJdaQYC9/cfjPb9d
0D+jSX9tFnGZHLDn1iIfKQY8Jm+/1pUdyEp/EEZ6D5+G/Q5PuDLcD25u9J8LM0fRlpEMFW96gDJA
O1ipqyUEE6f4/J9fxjz0xog5v0Pvn5yBUH4cnDS9zwKSz14qdsVwreM+YIPMrMJet4BSrGpZ5UHp
7mNofc0uoJ/tvPz9Ot61yGnKQwBhAYO7wBySa3l3P/y4iYnI7t1dljh+qO2sokkaz2razFX3ZQR5
/amJqKY9S46Kjjw/TMptrFs+AptcHT+ah/5qz7xdDuwWoeGc1uFPvJ+HDq4IEGEZ9q78b87ObLlO
ZUvXr3Li3LODvomo2hezVWtbsi03N4S8LANJl0ACCU9fX0o6cazpVVKt2hdeW7bmBJLMkSPH+Jva
jZob0khwUS12KUu+adm+Gv+QrUDN9Cax6NbpXTDh7DRtsG5uy5vWQDzP/tkI0d5CsMF/FEiiCxed
tjEA6Sd1X8zpIYWN3HWbqK4m0D/wM8ps2deD01gEZkT7zb9BOia4j4DIqujgA3Fo6Itid6jSzeu3
9fJ8FKBYTk0OFiFHI8/BJuKkG4XVWTHr1IvOR4SYWqCfWUfFXKgsAJw1ZCKSgBeqaoEUl6A0L34F
qrcQH/hHd4EmZ0xUpPLKwnYdIuXL1SQDr1jG1p0OtUKK7GC5qpMXMEGyaqvyLHync+Y0QOLcio9d
PDbZW/PlZZ2J9IkjLE1gIwhISxjx9pc3EMypgdq2/cGBfq2ucXqs3E29LMFP353t6jr3xEBxrHD5
66jU6o6zlTRtXNQPz1XtjPNVNlA3PdJ/rVAUxEpy/bYOGPptXx+plxURlhf7g+/QAmJaw3W1TVz6
rUgexdXQDumiDpm0wvjgDKULLrnLsQdqalV9bCI56X86dWM0spAUJxqjVUVp3tzUbxdVlaetaM7H
w9iuNvg2ey3Cz6mggfnez7E2QPsaQMZHjmt+dxb1TVpdo0Xhcwhx65RK1OtDcIIbMWNAkHl0oEFi
JvKjk9tJXUGu61XDYcUxHVLAODmkigj6n+P84LAl6Hy6gbBI26DOO2cbJmK8qUU/hOSn0fptrss0
fEjQ3bp2Bxulcj+snBK3yRJEZT5LD8M98qRm62WFst6I2CeFWVZcRCHaSBXFEVzl5DQOKM9ae9d2
1vMUp6wm/R71HueOq8AeACBs89QqZAactvPL4l1Esa01MlOJzHEfCyMYTpuSgoX4Zfs6sDEJbHEI
w9XBasGgTRyOiSWutpblMlORFd6DE4wHKhIc8NAnVFFX3tfCm8xyBoBQ3qeTz5+KM56Kd6+/p5Mt
0rwmx0Um1qX8A9biVGfaWTp/TtqhP5TpGE83cNVFBKuy0N4xWLVy71bE5EHES5ROfs1oJ1JkLuPg
4fW7OAFrPc4Woi1rG9Q8PXfHtCh/m7woAYHwJa4eCu0WF9T2nZtxpgO0FdlEM8QI0kVYXdlOIK+q
gsM0FeY+Q+xVp1ofa8Cl/q+qp9PXvjE+J333xzsDBkD9y6W7zfZwEvVyWFWC0r08oGs6jReSCgu+
etR7xp0TwfTbIf+xeMcKXUg8MdMc6psKgiI7VMKvok8cH1KdbetskR9hkoJo0LQgyves4Xq4eH0U
H+/lt7TMvExCM/QeinzU6043VJxTqyVS8XiQQ1R/VtEY5Xsg+VNvCNOyvKgdZ9ylZKvOuFnTOdh6
aAxlZy5qVM6XCDthBf/Eq7dDTu37sAxBfoC0j/RkluKJ5vvdigU61Z0BB8E1usexptCgN+V0O0d2
l+y7IoYvlAVTeFEUjcIWdZLaEtegPLKh3+Db2n2MPEBqm1DSRDxETcunHNRa1P3rQ/Gypf341owI
Mf/jD8LPSaaDMK/VA98YqJ6tS3FjD4iDbir4kcEHj5fXnaP+WgANwzT0f3HhmBZSQFuHbIvTxe8T
GSv3DGilNx5UU5fzLgmG7oiWUJYf7BoFqQu/AAdPgu4o9Yaa19+sZLAHTFX0gg0Ow+yevy2hqHFV
6q7E/xpMr/5YiyD6ktAoeVjrRiXfogXLE6g8snR2NanPip1gX70l8/Y3406wdHh4lKvoxp1kKujo
Zj7OrupQFXY3HCCWOuPWChwBizhwshlkLCyU0iuz7I099++ubBB/Zs+1GfuT5MCBUDJDtFQHhL5H
CGhTWqe/cNn1MemZQ6xVVewM7V7GSf/Wzmv6WyfLjgMewksBe73NxV+OfFuWY4Oj4nCIgpEyQxYO
2px/gH33cqyPiW0JQAGu67aHDDmb6kjFIGy2pAXpcNlSa2z/F2MBUCjhYIYVOVqyL29IDK3Et3Ee
iANtE1yVcSIfqrhOrjrcfeTD1OvwYqWcM74RLE/yVOIPJ1Swtq5DHzciBL28LoRMW+J/PRwCjItj
LBub+FMv3eHTLDur25ZzByeiz3Bl3mRjaIn962vvBPhpVr0RnycDYgEAhz0VtCsw+sUiSQLopO2Y
jJus6ab9VEZFtPPFSrXcLm28RYQrg2XbxYH1vqVIe9nOap0vPOLQ+0lJfJTSsqM46yzDFB5ev8U/
Z6kZHjRQaFEgJ3p6h2Mfj9KiBE8VuMDkHq2TePmKLap1joqRM3y15hISWhxP/Ruv5u/GhqO6AdUR
H6hgnMwJv86jMVnW/iC9ufs0ZgqMgmAxUfFzaiw08eTVX8pEecMmEhWM1SRsrhCocW/sOlzHzBDB
gvwKx9L8njpsGr+xeZ0eTs3LM8mrab77wFpO2+8SdOeKvXJ3gBJS/jV5uUCbdoEqu1/wAQ5xo3HF
t4IXf+stjjg3bBXK1k69dm8M1Z+BFNdE8OJYQ2FoSAfs5SymvTpJCW/2kCUhtKrAr+OCzi7szPPG
bVEDX+bA1uCxxDDLi8xNUfKhwOzdvj5VTrSvHmczXTtwfaAEmC2nYSUBSxRA7+gOY4gZzq4rR2/d
i6nCqm9O6ineRUM6/Wi7uY7wzZvSbzC7rfSwVBWdKh2t4sicbz5jxhaNb4U8MwYvQx49uxD8Db0/
ev6n95a39djRp+4OZCOht8+nuLqygOQYYYjsktSiRjRRNJ+tFjLGLrAUXaQMluoRG7L6oQfqWrwR
806aiAwXR8MEChPtQ0pP9mnw0ajgSj0xXPE8eD0ss7b/nCaDX+1oZWYh5sOxfxyrsPiBFbe+Ttew
rraoP3JObupWxKRwlHYPE8EZpzMdIQriN2KBb9fmUI7q2j6Mo5ukb933H7sHGyVoLvOmAVxzcDyZ
bss6CPaD6uDPofTELqrnuvgM6o/uAbF0iRDt0FL/hKjSlPf9LOL8Q+NJ3X9D0llZGxc0LAi9Nybf
n3dFHh5ygLJNfe8PnJUvG2l5IcJ8gw1Q3dqgJD5yrKG+HRfvXfR1wotxHCyL3X0hL7yr2jWabtd5
TMMA88N2Feqgfb9pP75+YycIS14zBVV2WrrFvG1Q0idxrAnzdaJjne4Dq+mlt8EEHInFKy9DnhKC
RzQF/lnrLjlNsQlmMVRg252p1iwZ1sWHUQb8FYLBnKdECS2Gz+ngTDoqUFeyoHt6sQB3gXBNm0/o
Mz/BBvcnwJ2OS8Hd1Vb9xqb1x46AmCTVFDZMbLzoQJxkqsuaFBRv7WS/wrNH2rMY7fbSUqhu7DED
7wvj3QvabDuC6nn2jvpvVcEQ0Hu5junsI0lLvAXszNRj9345+VK31x7BRBwX2WmRvNflsDJYyWxp
/iM4Y6FkoS3IO/p74U2+Qc6wHQAxXlbRvA+7OVTf5scTq/AGTry5P83ME2fMTTVqLKpWx1vLxuVP
nNlSZRpXA4gsFky8kth9pxvdil8Q3hEQzOx2Db4JVA34Bqqk4ccBWjqdX23Z3RJvEfQVbvoRQQsc
J7Z4EDfrnYdYh253CWohvBosohMsB2qBACqLu1R87bb0e4HPdRElC78CFd/u8EmqRgCBR3sUJR9H
XabkaE28NJdOA7yW413cdClmS3WUmMmEo+U4Jvsioed0L/K64Qwv6aTxi1r4GVU5L81w6jgCXZdM
Fir4TahvwQ+Fs95J6LfL97EeFvXFabPFaS78kDIaQXxq+JnmemjsOlI0rYTeQkly63BDJPdpiCG2
zmPUXeOZw2VuQcXDnjtl5HYoJZl/k2U4hO/6gNYWf8fxDiubuK6TYT0HRLdG2QE15FVXKOOE4ezd
WImXufaRhvhCdVOGfgr6FRP3ABwX76fgZHc5Wy4r7IONWkPWvnu+26JjIoEuXXVEzVPoMaAFHXLu
di0EM8Bd3dFM4xyNeGvuYFsqmmBgdaZ96/DITCMDkUDHhApHUCTTYG1TNChleYAe7mTjBehKVKE4
rnoJQ689YTPmtuULBjZ3cYblxN8rnnjKlVjvKBkMrPAylOJXkgnBe5LPa7+dc156OdQ1Q5I2nVnA
zz+1yzoxQFGxIDx0TsM7ae/czK2CW8zRq/Vuotun3iVhmv0KaQ0Mnyta7NhgT42tr6Sj69HacJQc
Yb93DgJq46aYk5x3OZaAYlGpzxO2qW2YNtG93wWddYPtjqkY6w6EGRkwWJLy3qkaO/gcupR9DhI5
hnmHPOsy3oVuJbjl6unOc5/q0X3UpmCskH0pSTlupDtjKXdUlo3vMgiFtZVAFHQUsyrgnZo4jQoS
JbJNHKNuBfVvLRLv3AVOR4WaDrTnJhc2wvmqunbbBNp2WgT9gKtJXVXt5aIcVFrgZ0bz8GEKxITN
TEFzOLbhyU+rvuomS8Xphhrn2uHLkgTWdMz6AIE0XhzF9WAbN+wsn+alxpbD6R0EaAqFCVKAS54q
oTdFiC1639fWMrcsWEskvRrkfInxhZwelR7clmc8ROgmsbSQlQymW7vCc5bdGhPR9U7GiFWo7bxW
zAP4Q+bX/I7JQ6UGSRZHfogdvGhRzoDpxF86fpFJb1+Eqgwt5G2StrhdZWq2kKIJI/9MpJliskVB
2TDZgnQy/yknXGp5VCspxa+nVeapyXzI5/DMunXXBF23j6s3O1ayoawqy/sRbTjuM8gLMMgHQox5
6YWf9iastT1zVSBfL746Vtp3Z6iJ+tP3idCHE1U+t1VyJjAtTG+bCbGUs7pkx8OfTeIw9WDrSQTM
I5rL3KoGoiN+ZZQxcQYpShVO7lbWk9nt5gyswnYUVEtvkk70xZ10R7tEUIvyOLoKObVU+Hpeu4iP
RMApuXUWb+VfohKCmdjkpLvtVdpxBkIJ5+k9rYGkHQMNf7IJ7TXd6en26YGLvIwSrOYKZHuux0V1
9P8qX45/IcydjV96hOEiZxd4M43BoVoabW/irpVrs3dmYD97H2iPhUsn8H/DXW3Qd6VtGPc3akgq
cYbqHHY5G0AALXa3I+qDpRqzKd/FlfDqM2QDZPKup8BMLytNSwUCpLKs2QLCVKTZnZ/1LjecipqS
9POS8NKAF/VcUWX8Gtfa4CucaWyBQIXUmzXve0Tw3aU362hW47pcdglYXBZLm5nmyphBBe428RQ7
y6WKir689xKSpQXpqxFJvKwcAmyF09Sqk1vV+fDNNxR+Ne+UfoTpI81zWjKgNc4BQbVNodLhdq76
VYUUzaOuvfLGqSiumLBNdw4OzXE2jlNRuRmYJnEMP9BC1Gzrz4KuL47EhYlx0OpdtjmPvciydk3i
GyWV542N5CKA8ZpLb8gGypS9k6P8ptP5x7oOZr9+zpV8JzXh+nkvLyu4nSDXrdmso3xZPL6ftW/q
08/br8hbkyg8bxJuGmQszd7xTbr0lHgF8M6Jaig+dHwsUqEJ4vWIMlS6sVfH7MXYNphNtZkHs382
YJZ5XajQoHCynf3ILP3nXa/1XFzOtvR30Xz4f00xNLhM3IxC3SfWBnl4F5Aeo75imvjUlKua+fGb
lWtWVNJC8jbVysU0+po4thhLUdkkMaqe0WLbBQ2y1jDhQ8GSDcCED9ntYqdr1X8WVtpZ4Xa2y7Y7
5NglQMPt/WFmVXaxlRFt/ae8lP645oH7bE6aZTewBtGyESk/t5dKATRxDtryMYQ4j2iOsIfYKqDJ
iC4QTHyi+tPWV0a1mTfkNWbpFchLWno/ueVjI+HpClGJ9FWwixaKDva+LiqzgQZZXZb2MfFw6+Zk
aIA0eG53QdjBuXZ7S1Z3fT+aYJWkBazi77mbmlHv1qgnXG5HXaVGdiZYlxlfirF2USc8BpMy09xr
HbMtD42mrnNovabmV5apdHjpCBGapyCjrhhIyZT2z6Q9wd7/4HZV3QtkBDuvd1DmRdYf1GQxBXjh
bSasryd0LVdlk/uhx+BMjyPV5JG5fl6lNGMKKxy66u45LUBcvFA/5LDE4+fF8jwWI/QNVDu0qDiS
bn1EBRjlArVLc9MSnCOmTwYhgSx37nt0cJAsZ9svxlYxyGrBfNk7f849Crdv+f3O8c1DoutCRvwR
PfFwukU5EBnbC+wwG9CSTWW+MO1rhJ8uQXe3LCLQBBZ6GmKDMYob0lEnYLS+v8CswBfE3QZ2Y5rF
GLeZW3v+iqgm2UXEVqqWWwu8QfGbSz7ULBGY1zD14aAUEOF2rSe6frpun+ZzM7Tm1WWJbVbRMyBE
5nXIbXm1Rx7gFdPj5UBD8JUlpQ/aJfBpG/GrH+ANujsy/GyNzAwxjynQwRrW3SzG0r2sKtD9IMjt
orTrveXh9fmOvL8t7tBl7ZuvKO3E3UMEkDXdjk5j++qYRINsvqI+a9PX70QZZ2Jj2zX02TNHI827
C+oqGGoWDpknEk4c4b6g7dKh86HrYgXjkneUOcHmDUaPqS3XdfnS4SJcN7uxz9ce/4W+dEnDpo43
413nquTYgZwDGFwQ9+1iTeOeCR3n1WedIdRafa7Xvu7C7QJ2ZtS7qEx1hNEW6E+97+Dn8MMCYGTp
EHNjQn3gewNKF7mq3OZnoXIkFrdd7iJJuWFsSvBZaopbIW9jQDl2dUjsagrUez8p0VA/yqlNHYJd
kQU3jkPBSp0hD2iub2eoSIk9dDfzE7p20j9Ly6Ws0etz3bF+L4epsOMz3WEXsl7E0aIaj27gmnsO
JPy+BNPcAUbunANd0HRhj2xEK86QurC5txwovkIDItGrQ/en9nJ459e9bkzgm5neJuKJlg08fcqa
n0O2LNwEWAy5jYX/exOGJsbTzkmcea+wSRf3wwC/rkGZCoMiZ4+YclV/xDtaIrwVlFUWbPJgCJIv
wi1j3uw8VlGoNmOyOvVyrZxqRoHbiuyq3jqWDCQmD1Exq/gLOu/Mm7BIe+RQ/cwpgms3GE26Wre9
ObZ5T5ucALfJcnTFsvAI3tOvNHbmx3ij1aulAHnTgyCOcgAZCBlPZ9Ogb8x3AX6k59o3AatXNNpb
9QdEs/zhwKRN2NKZKCST6+PxRCTicV+o+AzyfZ7Z672Fsoi3eTrpun5mdu+QsDYWuwQwcAud0/VT
gYDUU7igBdywIyD+Z6I+iV/aI3na0sXERWSoB1cVt5wTU4RRwtLHJ29bOoU5r/TRZEL7MlgmxxQx
EEW44DEqC7+IVxGRPUe7P1XfU1RGK7UL2/IxJ00R5URz5QmfgjoPxywvi03Ai+cxYs8YJpsnRE5m
Ykzhi5hWtagt2UyHcvRFX56FoczxnUN5S+o9ZKGmu/GUhy6zKkaGjajBrAnstHTZVx2p6ck/b+NN
KDQxcgnCx3F5OsagRJ053QYSAuYG/YD625YOkSKy2asxAUKfNFn5FChj3z9zn8JyQd7KAekpcVYZ
FgP3PdpTxEgUF008q59CHvaLCfnM8+aaSqvghZQxstAFgmM1FRW4RPHKHJZPmU+BISExz1tskyq4
cWaCqnpK17O0NsdBLFkfDxSLyxGxzj1TanC0NjtdPBYjG0Q8OCbRshEL6Nt9VVhJfjlLkOju98VK
9LweAwZYzztmCPqPNgyuNts1UDCyhzEbVPoxwSGrPEOv0UBJ0XaePJTKmD+1v0H03F+2GSUKpz+j
RFfGD5QJ7E8IknX6ew6oGBxUnvEaj0i5FfLcxfdluZNpWc9bZLu99ZhJ5a2fSK3WzjoOiNLo4mKh
/IiMaF+2a3mnO2HZ39y0dnAGm3K3sCguJ3M24Hs5Dj1Egbkc29ui7tYQdZHKK+Iz6t5WwUa2Qqfe
q1b7905aaffcalQnfgjlOnQT1hYBZ08nXXOhEJ8Nz1c1WdPHmo5capxBzLocmkww6LojwfuVolCb
JbtwiJty5wPOCTmzVCXOLktLxFK7oZZ24+3YJv20uDZHs/Row6huGmpkjBzJYxTS5vXoNzrVVZB3
w/rj+cT1nGWTBpis56lI8HResTy8GghzY86pMsPVYrmMPA7vzS5qRwB0mFg2EZNyeDqoZzxvu3ua
//oph3KfVhVGlJQbZ6pHTI8C8GV5/3TkLlP82bzNc577vCSiYDJpdWfXJgvHdLOzv1E2kD+6aSki
Oiy+ee+H1YvlvGyDCAFod+OCepoI2vAbUvSK1PScjpjUuhCdiRZDufbiSlEiE+9bN85Huaktu60v
IjwdynC3ZNqEDGq65hwEKdrl8vA9NIsfwkBqDjOpzVFSdqWDIKA9OkkJODLlDWPBuUgYL7uyGJ3s
F3GpInShmuck+7LThS6QedFz9YklFeYhkqQLih2bIQApcp76Sz2/4wXK+V1WtjHOqoXtrYhiqrBb
jS9MpocH5HvG4YFcYhQ/jLyeuCsEwqrosPaLEj+UsJwZ0aYIFFPJfhH26NyOq23OU8UCmtrerA2i
1N/lXJvyF1rUMnwQQEgKcUyHeuL3/MU2QdDOtInfrZzgeZPkmuJRRC8faeahAeEoNqUlzXA0nbYJ
pFACKnKjrgj4YRriPnynvNTsBNpxG17VcwxjxcWUJ/IBs3QSJMewoheU8xOxcYLequoPHa1IXlj4
tA+NNmoJqMM9pfO97ZnTRrpEJnwlzkouGlgui2InWRL+Cn3zsbTlmqITw96WZg4Y5P56F87uGPbH
JbDBCFI0jaV71QStmXwIirW873oko043LtxeJmkXymHgYnT2WmxRI28axS6EKsXE1M/QJYrAGDsO
Vr0wedrVqZJk445JKZPd8lQDqO2GiglkQA7RVqdZP2mDo324TRy1KJT2p8n+skok4A4gGmX4Liqk
y7DFFTnWp8x3xunT855qNyi7k5fPAD2XfRpBJPmR+lnnjHsP2JoZtGwZGeuZvgiPTcpthgmCtkVk
tmxWOZru2WK00aRnds3ecRf8T4XnUwyG5OPWDIZd9NBMN0Opq7HZ68RLrYEPjM06Xz6XAWjGmkyD
AkTJDfXPtTzqsGQOSkUmiDwfFmG4DBwp6hGCJrCSBjW+YFd0k2YCq2kJl2PUeVNMmrwsRsi/H4LZ
VIcyfLz6s8KVM+/FUV4YqA2l0RgpjxIFYP7TIMU7NhTzkGprmEN5zavrAXDwCJkVmgS/Lhree9F6
5gcrbwKOAEVUTDV0+OWpUlOUU+RdMe6tfFcp6n0PK/JCNrmXo1fE4F0jGwy9b9bul8f2zD+iFvwP
uJnHh/bdff0w/If54r8oT3KazNW//+PFT/8tReHFh4Z/P35J9tDucLt/8YPRWlPLzfjQL7cPw1g9
XeD5N/+n//h/Hh6/5dMiH/7z//7VwsY335YVbfOCRUBj5RXiwUNf3zfL6QeeaAdO8C8b+gA6VR7Q
bLptoCae2JnBvwyQFHCZoR4AqjFaD8+2sQEfCjGng6XgJ6BxDcT0mXTgR/9yDSUzosYMYDB0/xHr
4GV7KrLxRAE1gG2NQ48yDoxH7u+oohVpTempFQHKJUWKdzOERhSV3dgWkAB10F9jbav/cnQznP82
RH8D3n8JJnm8MqNCsSJAZSIEyP/yyhSfS8MjLLYDlfB0E+W2/aMLVRrtM08uNALmMFHnGDWXD0M9
wtp6/fIneARzfYMxhp4POi1MQMu/vL6idDTgYt1uUXpCfgh+o+9t43Boj+2gk89qcaoH310ad2eV
q7MtlHTaoxps//j6jRjc1v9vtT/eRwSTAQ8ZbobpcdIgREsevNpiiS17AHJ5Xpl/9b1xvhiJgMUb
D20AOifXgsBiCBOhoXO7J2MuZ4kuszUY/zhEjD/FKaw5am7CQoTfZcynNtAfXn+8PyeYB6HG6B9A
a/GA6r0c5kHPWo02VFa1VjM02UGju10pqiobhUPGsUezT76L1sH+8fqF/25cQUfxnml8ovFk/v03
vNxA0X9xJccXi15r+A6F21RceNqCKmmRGLwxsn/OZjwcAxordNUT2hWnb3Ep6lGXPdt2VSGbVQ8/
hT/ib7gaK3aEDdDMhp0pKhiPb6yjvxlgoxZjLKTBYyOJ9/I55ahQFCxBdZY6DC6h45f7bHLsXZWJ
n1TskvPSzKvXx9a8tJN5BKWco6uhDBhu98tr6tUew8rr6q2k2fsjcFpmqiBSvXGZP1+hj+FhZMjp
fBj1gZeXabwBTV58q7ZzQHjYWGU+4G8wrj/BqVK1fP2ZTjDKZiEyfFwGcBmxF3Gnl1eLLJStOkB8
nNh8QdWrDsH1OvZ4hAo6DntEqTF1UVWel/TkwGTQNVAq3i6RtvYU2QJcjfJm7t64rT/HANg/URLF
FuA4IAle3lUZ41qkDAl9zDtqnzYlgC14zxLuc5En/zgWseE4RET0FQEAnV4ML0dEYrOKmChnVBSN
Kk4AaweNQB8duNfH+885ZDY3/LNwVDT9PXa439dnSAQSrJF2OxdjcvTEzBxCNpSq9OvX+XNlItiF
CEsC/gaoZHAygCp1dEvjod32czNdC+R/jus8B7tq7eDhA5nP/rItXX96EmN//dp/xlt4YVwS3QVi
ux+cxCDVDPC8JM+YAz//0Y0F9GJ3DQv8zV1KaNejdNl6Xr/m34wrvCYjxAra5M9F0zlxFjYpmtCU
MfUHBBSqOyLvW7yCP6IOGoExIQCADoQd/u/LtzdGYhUrT0yF1rE+xL5Ir9Mu9i84RsIm82P50WHx
vgGBPoHMsUSJrRHqQRwZXXNVM96/xfQW1pPlTXrcxlWSJ5cpxa+zqtaSzn++xmdWtS7ZcSrjat43
7ciEWqow+1k0dXMGQGNNzoVNA/SsBIzwFifoBGrDvfGiQ6D5Bp+KHfdpPuO1gCuXyVq29FFRTXZt
MR1FGKCU4LgTjdcmEpeKCu0HBFyS7YJ+8znAsIxlvJYPgFe6CUULqvX72HtT5fVxE3gRsAGOxzYZ
D0V/6Hj+ycBNulhjeqnrVjki/tKrqf6+GnXdfbhUxQ1QH8u+LiqLiUmeSBrorL1298vqRoDnpPcl
iObmzEVYJ9ohu+9eRFgKznsI1FG2G6peL/SAgFRuSk7buKWJEe+kMZl9gCwMlt5RWC1pADOZtrS1
JgxndKzmw9zUrtxKtCCBNMhlGDYc4e3rOdTxw0T5Sp8NaSjEQbddNR+kS6F04y7ojeyRuq8usiUZ
i0Nm1lZvC7oPMqeNhjeHuqWbWnywvbQ5uHVR5hsbf6u/MEdbEPaYa+qluobU7jMm9GesSZvug4Vp
iPbiSzfzuwZqw0RGpNY6Lr8JSp/vKG1otX99sZ4GJ6PDRegDFmbjjMefLye0rkqd11PbbIEsQLyD
7VTt/V0bjm8EBbNb8FW/TQEfohoQAtBgaAA6iFucxEGhx14lhvXv+kWY34P+SbBqQft82Lo2toqb
lSbRBpuzYo8mp1Q7obwPaYECfWqnE0IrqvdwecqCdyE81gYYfJJ/WIf1UJX5FdaTFur7YUiRfUYQ
hD0tvV1LA971WHj5Pq9XtV2bujq6cw19L02BKqMO/311gURtMBdAMGUuwn0r52pfaGnfI/Vy1lLL
/GoDMMChJS3nj4U/NQhbxAsej4zmQCUPM5ZhcVaqHF13Y0JicaCYSrsF1aoPHZiH6QrnGbGVcUsh
hVprquEK5MT+DIXdC+JBtMsbv9ebNIqadVsV5Wzv0zmObmbQ7tdllW/d0rLDw4j0fL9LgezKo1XK
8Jjniz74EbUwAHHO+gWq2jn9R2+956U7tCPCwEUHQlcD1UBQwJuBnac/UDCaPhFPkk26jsMWeFS0
GdUibhBD8HLjS2Hcy7rQCgGPYFFn12uL8kQ13CA2Lm9xIik/um5eP/jDSBMmoSiKXwGtNmebSaGP
6Zi9HxPZece+iqmz2bTXfvUUnCFpWFbwFeiLXrats8bZpvB0tAUU7o2bPtLjB7tIuxsnmCpwU35x
BUQuuEDW6hAi0HXoPe1dMvj2u2bxMbTxLXGEEjR4W8uhH7WnCOarM9ofD8jmfLdEvnCUHOfkKwYP
4jZHG2LTjuiWbuhk4gowO943ZXfO2YzGCXZm6V1AV/8DPfNhg5zIT0fgQiHQcJg38UqREK1PBJ6T
vkpAKvmRe73Uobis6yC4lXSw+g0wdrpRk/BKwCRB/0vjjxNvWziG7hFepFO+q1L5V5SHHwuBT8vY
A5k6opy/UkGkKldtYs+5k3PZZMc0c92DFNLGQc3HPdkO9A5zEao0xfpXP2PnNwZIvtDFWzfoII63
USXVHguF7pgmaKDtOL61Rx/cMTixiNVE1BqCbTkygsKyUPKxLHWBB4qq9w1K+Sn2SH30ycnEJ3r0
Krvg0FKdowrm5bsaw3MMzWQg9iv6PV8GrVZGsgwqIkaWsY1YfrXVVTt+oEWG+7ie7R2yHes1LAx9
wTEbdHSP9jttwk0rkDT0KoXVAjaOo3fI7fUOBZI7wclxw6gGGwzUzheId/uZfXwzE7g2LozMXWjV
5aHqAB/u1ykJfrqC1g4NPPp+O6qP+r1shykFWpMtGyh+BeW0ed2jCkDLqtSIovmZfzNpx3rv9vmH
tjLCdy6GS1OQf26CwDmPkuyjhG6N70ZX/MynsD5v2gpFteFTUgTZLqyxp+qDe6nX+zLqK0FZt5y+
k+38xPhmBUc6/eh1538Vyxoxn33/HB+nEqup+lYn+AbSdbi0Ozw5Rbq+R5dn3gJd+uasP/um+Bxn
yc98poG3xssF5tzXBCmsBMcJq8Dh2AFi2SVhR3Fx8L9lIOW2VeC+d6yh2KpAHkSzfvbAQ21rW19m
ob5uMiTSQdp9ziwHsuVS/hqXYCfRH0kC+QOHhM9JMAd0ztqQGm4Xb9FIubcT2KabUi5/kd/d0sH8
FMNpOVgD9Q/XwQgwkLLZIgcNeHfI8PRtj1Webqbeue3SLN7mbLwo8Xmb3pEKBVodbvtWZLgBOe8r
f+ENrZjP5CK7Iv3Ekhe55V0hQ3c300x/h38fUrA11XiKvfRBoVdRNM5tOmmzB3qwhZlLsbTLPDSb
HKrfUZfOG+VJY/ThnVlNaeElIj5lc3gk1VlJEIIOuajMAIVtMG7ZR9djDcVN+75cEBFSM3ZLbvEQ
57l/TvaGYRowBTjLwgl+liQeckP3Emx8FaivAY4YFynr7MpvV4Rem/Lg0NDGudJKzlDSel8ODv48
mN1+9OktASduPtvLdAnWpUczyBwysmLcugZgJ9dzsonrdaAZgCHDw7A6ErOKBMlpt76cYOo02McO
fZWi84cqluWPe+VTLKLUl2yDQP8Xc+fRHDeTrem/MnH36ACQABJY3A1M+SKraCRSGwRJSfDe49ff
p9TfzEhqo+iIWcyuo/mJIIBE5jnveY3wIxLagnq0O8iG+bMEUURCqam8mEI+4aIFOasbntNe2yhm
dCVhiemaELOLHe81S+2PyMKWiT02Oil4PgYECX50OpYao86OWJYSI8yWvJxS6Uzf0bPonNb1hx63
BzIz7QNCnsqd8/K7reC8z7WxCcO1E6pBqAY2eZtfkXCWxzY3C7xanfzRMPv8GV4DL0WPHaobZQ1U
xt1s0FrsZ1G2WWESUTVv6wnTLtbEN71wVlYdoMbQLck5KUob2sryAAl0p03M/coaJ8L6gUzX9GWe
m2sSJSZGQnLx9Nr+IE2LQJ84F/t1bHXwrCUNYABg8Na0AaMnVKt9creyOz+0DeMVsyJNd5q3lgWp
p0Ji1zSQDmrjucpoLmySwyDkXNIsPjSKecI956rHDRsdQSU66YeZrJ9u80YXCYa9y6bxe7X2eD3V
yylm7um2ZXki3ceEOxlXGB2p363OweIJlZ04JqKsKFWnI7YmFkZYuu7p+XSyu2jbFBX5mPoo92E3
X0XJ6t9oN4JIfnvhRf9Kbkjny5kQSTYcWNa4atxhw124AkRed8ryGTeUDzob7JVaJh4k1FaD3wL8
sRZX2MWRXO6abjn0rbMG5Ia8soGbjLTXLyH8QIRqEYe4sFLqFCU6aYmunn8YgcJo9hi6DVcUQo4H
dFG4C7QWnCvDyi3HcCRYqVf8uFpCrwyxoHSSoIEkGtuxJwzCUkHGGfg7nOTmpDItKd4YY0gvW8uv
pCb3LmiAs7GH3sWuL3YLA3oQI7D7kjr6Rm58grd4svIUUIYZm1s49Vs0accxcmYy/rJhZ0YGY2PR
Nb6yKJ/H2krOebFIb6jDu4rBZKABMORFtlfzp1BGu3Ba/GWEL9pox0SNzzJOA9XGCoPMicGbQkV1
m6xhVBuKYMybr1izfRAxvYcTRWa0tT6ZKnlby2rI/WRiw0tuIv+iAIZr9Vzzs7jGm3u1tnWcEIKT
pxu4P9CIWWXqIwOZcDM33dYSyqeQrg1alIcY+0KlsVGddUQXX/sgGl/1fDx0SXVkzrltVZwfFEJB
3c5UNlG2bEZpX0CVn9Ui/JricGKSng1yFBhDEqC0eUQ6db92Zu6uRfYq29VvxPRc2YQJEQIH+qwF
xmgYm15vs42w8wv4ab4hjKcKEAJNXiOII4VK+kOCQatjaj78ru4uTScKdqtzy5j9nfCrHdJ5mFUk
ZjMEx9Rsah+bBhMCBKIoqHDUNwkjwPGs+qT2tuXKWT1Bp3vQI3lnwJPwrFk5ahVc21zN+oO1iJwl
ZWDckkdHxUhITTBXHhDmbbh0W86XBLQngOKEMqsXpj87y2VZ0iPm+afMmsc7ZBAfcjEVT05peqpI
AWW41362i+Yi7am8JwAj3pl6wldjc3QXK9NZJdkJ/PieYeZrT3At3q2hBi6S+1FtHmxLeTJDRncd
AOFsGd8TaY+0oVi2jFJ+UR30hYmFS/YkG2JtxXpObL30dA4BSuzxFXj9behtyYRO1oGFlNWacFyO
NXJziNbFiW9OD3YhnrLIfoxjsn5mo7kyv7lKxrl3CJhQjVXrF2NScEYi3ya2htjPhXyY85G6oQvD
oIjqC+aQudeFM7pUS+4p0rbESTI3nREhydjMfUDz+yQcce2rrGbDuOVaQbnI2sFyFyW+r+qceotM
rtm1u+a7oeVXfGrY/MGRXNWqP3WqXnjNUn+txHTVasfY1/YinhWtL2AX9KaXh9ECZ6+bD+O03vfS
7H2FROqNGaUFXNAFfaEdE1RfDCc9r/FULOShWZXQF3Q9PudVorpggdmZdbce52R87UvipMtiYZ+j
HFnZQk/SSaoQwyWr3IVx9QEFaD70vdN7eNreN314z3T6MI3D4NZF6mzrqufUWaQSKMaEcretkeDg
aOtVmcaMXV9bBrxWSFoKLp5OWiAF6XZ48LKdsbNAzpHBUijlKTfT1QX38NehJEpP+baajX1Roy4+
qzYBy5Vs9E2R8JrnSlOC3JqisxgbcgDDfTzpiLeF8jqWXNjKla1T4DZf2lO4LXPlktp4/3bLp2js
PxEA1XnTEu2lbLfsZvB4ncTtZnGq+u5aDXp+i/48iTUMHHNBmLKUJocXRU5WxA+DI5+qdDY8c20v
jWq+LKVz7wxih55c27c2j4lMtdnPhylIEaQYq/KsMd8/NnZ1nezogQy/h2JYSHZbk1eMw7ei5LuD
nHIa0Ud58AAOrekc0O0EdlOfZ7WlLaGD4ajexD3eeyR9bTAt3U7zHIBjkPjYwzaPuvLONisdexa7
XE56a45BMzp7XIWvmlFiryfnDMQk3Dt1sRHF9KnAz9qPci2YNZraObPplLXvfT3fvt2bazJ8nQDt
UO24OS5jlduGukrPWo3k/Wo4VVZ+k05kuhP31mKoYU7OMw1j/0jcVwwPV1UyLDdmeK14/6dhTfil
pq53Zk4B/WDhvIgyrXfybmdmY4zNn5JdoQw237tqZPNT2o6SEbqtuNOxCwHNSnpDOYQzmI9HkJz+
FSTH/KRAB90pajxB9yDSbou2ZoZildakdtpq6JG/qeSbxBz0C6SzkMNaG0Nrj/tBHvQm1EefT8pu
fBVCeFAP2lM1xoN2GsxePll1H190UGV/iJb7VQ+f8DS/aiD87/M8G35jv7Hf1V66vIt2vZ9wnoHJ
oacHaBA5Z32cpvkGF4L+deYBscI6AXm7IgecYNerqRfDRoJnKR3NQhqfQyV6mg0Nigx/N7EXD6jM
ydsbLnrkXAGCSw+Fw+AVjnk/w66eXbxqznjTEGQahV34TmJ5dh+nNRHHMvMgrHiECSPtb4z3prUl
bNVw2ucMidnbq8ngH62mpyqsXc9sOWXaKTqsxJRAJp2r+6psSeYeP+OBSvhzow5PrdRfS7v+JG9B
c2peAoXXsXxPZ5NsatizLmOq9Zg4OMGnMv4ck3kD+tiq465gL8FIwyQM2s4fizp60fHOZM3VlYkl
8OAZJBL5Mu+FS9XXrOg2SvxNR0wCvChqYuHHYzv5RVTuZDfuFdE8JIO479cq8eNZD4+M19+rLK22
EVL9x7hWivE0kMnxRl8WvTdla1/yOms2c2LnDxG6MwxeZy9ZesVkljA9AFBCvbIP8WStl3nsKk9p
o2VbDdbNt1ejk0rj9ARb23zkA3/r2vmSUM3flw7pLoRUV1kASVV5phEGcQ0Z7OCm3q57jkW8VDhY
n+qCHi9f1/Qi5bAc5Op8XtVSOdiavEQi/WzwHo443VVBLJ31k2IVLASKti7oOlt9zis6+iHO4mCK
++IZK/JbAV6Yj1oUcQuWRmwCk8z93DeOP5vWdKlXJ/5AEG59mKM5fhpyU6DQMD41ZA4fcerP79OI
eHLbnNMzfPiRUoIpupsQppQ26L5gyR7tlvyEuTZJDZ+6QI1xOR3wb05ld+a1MEGb2jcm27nfmvV1
Qgz6VsegT3wxmwJqIVibER8Zj5RB29TFfiz7YW9XebFLxrDeVbU5Pot5wWK3dawXXev1oKGI9iil
tI3hFBpUAn0IMkilgXQQdAINuUaz6DtRWjaaksUavYG5t7qsj9aYxF6li+wA32xEWs9cOMHe05Um
hUxrdy/TMn1PRYlDrggD0h9iLx90PUhiIXwIq126XcbGqh4jUnZJd9at9tzXK4iVEKP6bJiYweh6
jWFrhP0vIMkCoGIRC8GAXjvqyYx4w9bBz5SFcPd+uCxk6NIiWvl+RAGKhudmaNG087gZ1brbLbUp
/bmYNEIt9FzZV0RN37WFVR8SaLeTW8VLtaksEXmLHUWPUs3Mc5kOJ6XQCx9Tsfw1J/Lrlfhkc3a1
Dkftopbqmx5j10rQmvhm48DBkEDMIwKopH1znDQ2TmkXGgFzdDxycfDSPm5iNSpIPFr9KhwoVPh2
IgPb5ThlQS4o1sinzxbKxZm4UrGp12EEQLKJlcf3djYIgCE/sywddzBYkLulxbIEHxkU/Aq9z+BF
feq8rWhqcaatoRBTcdtRHR60OGmr/Rj2RLquKtjuQcNi2PjW99PI19uTueFC2irbLym/c3oRTstZ
oGWI698dvUzmk4pWJcE7c+iiQGWs8Kkr+h9TCbyXgqHj88I/xIa5ziHBLHKh6u9Bd1Vt2yDgNfec
FVZFC2RFyaNaGNZ7VETWpaHhj3byxzihbRDw7ilPF4OCoux2g5rU9jUfKfIOhgN1i7CvLpt2yFH6
zxW2Z/GNvcr/MY+oUnp3wTnxBoRIJSWRfl5aD92oELHX6bMxHyZsoIo70RjzheTntN0I+Ia7eITG
77VmjPXvAO4Int0Wi/peNIXqYW5gV98QjnXG/TJaRA+kZmGYjMpMNfKbaFLmTTtXQ7MDli9GFK6W
qgQMLwuYgTaMaVeOtZMdRBL2dpCCqvqtovu021ttVa6LgeKPA/G9kHIr9GnrTPXDPGXTC9IJF436
h0IYb1F1921Wb8a2s8CFa7YbR2t2IxDzdQVu9e0u1o687deYqjYeh292r65BJqf1tcsT38D+x106
GzogBkiSjgu8IVgmOp9+JrthSQFcbk18vDFwcKfV/NLGE3mpqqUwNoo6bUMXHxYuMqXMi9qviWPv
RmX6okW9dVdZWG5nzryJxqi5558Yj0Dm2ZPAcfETdNJ0h7bu3e4Nju54lbuGajughYoH/K51eaj4
W92UeGJeMTBl0LWiBK/LRsfJt4baV9Z1ynMbC2lnZDeYW1iEnTHasVvWy8wnYjWFOA1SLd8jY4pw
00mT0Tg03VSIW0gg49aNNuG6t4OqTkNvmFlr+yXKFdIEJXIdj75xGEB3YF9X2HIYp6RJlypo8Mly
iA2rkxKVRWNJYjGULidTTi+LDQvGhl49orU7yqLDTDAckLTv9CpRZGAoUAzCcjWzM0ItFdF4rRJm
zutN1p026jrc1bnn75aygTYGZ4QpLGyOaNoQX65nVyrmOXrqic0QpwwNPIMEvDDEZmEXshELVU6P
ZKu75T2X4ak1nBBbidLp4k1sGrXK7mJHpPrA2BSnAqsv8ZgJlGpHpze7fEdmzDohhDezunH/vk2M
djoUX0bLapKL0Ym0OGcNYx1fnYYODZ+Acbu6jlWoytmxaj3Z8ZtDAIw2zo9ab5ugmW1zHxktHZYu
s+VgVgVHopF196zhtd+0o+iVQEBUmD4hYHEC0c41Shwl7nYILXQvz4E3LhlOSTt4ZFCl1+lTQ4gs
Ae515/jtxPQyou68W6My2TOL++7I9TNHKk0WBfixaQUO3FHUHxPDOpY4ryBTcKwtdIUb82MCyxFm
vy1wWQpioo0xe8dVW2scaqPSmPZxp2C1fRu+LzNzLRzSB/F1sFNlw8w8fAkhiWs3WC1+IUU+njbd
BCmJLr9t0x0QNLXl2PbLCfONmKIuYS2YnWiOOQz6Ht2w5dwV8zLv9MTuaLqc1KQNKcMgrLD591nL
VO5FV3ZPt7HKZnA4pOc2c1jmwiZfT8mWYGjNUxRm2fscacuVXBf9OnYJ+fSTnbUQetdov6rq46CX
cH5MNdlAz7AAcnKZuHrehd7SYMalRIN+SNgimgNWi8pWH/JveaSkfuaEzaPe6nQ1AHIGd7JAKJ6r
9ovDS3uMGZ98wad38lU0lH6PMZKXk+2guWql8EwXrB+DcgHeWlvV2K2dSA6lFs4XSad6kaw7j/iq
z0a56onHpFZ/z0ERGJzJXkfjYCzPGYPWT3EmqmumyRcxAexMWmEHSKrDa4iV/4z1x3IpyIdiZ6hy
T6LUOdttKwHre/s+c4YpBMrjPakLFm5x2WXjvkXOv7XRLr6juurRnk3VidCI7k6EKkbsIJR036bu
4mnEbtfEnzQ1FEdZD+9o6PIAqt9eJuF8WubG8jkxcEDopThAL6qZMLX1m0RoGfpaoy9B1pY3jBSP
ymrDNFEEudmEiY9PtvE+KHGEK4xTNlrQZQUrjEjE5a2RWTq5aajotP0pAXkM7ggtW/qXKbc5JoR6
VfhNZ6Gt1v0gmAxRYJTrQWVyDO+ckdndRCmywSd6/GqYTXctUXhdlHY4pJoEN9KsSe4AFECtzBaB
8C2m0Yg9FC/iNW5W2+2Jug9QvJd3SEvVXSvhAcBI52j2kBpl2yJV88CCqEOmurrGX+IQ71YlRlCH
XOEW5N3XNfuqPUDkqmdw4lgntx1p5BqDGWqOpQOTFPrkTbWpgu5PEXrW1rZ9XdjyUagl7QCMyi0D
SYehXhzq2zjX6dmlkqskWpTrZjXU5oy6vH2XSyru0mz8hgLLaW5O/Ht6msjDCaJPfOQD6h7Xonnf
WBSiJorHI3kEBQNj1dwazZQgsVhD4zrrcnqtu1p3/HBsljNpyeZDGU1UHm2dB+ta2ncAODY6kHA3
muuO/i3ZdCo2jrU6P8AJUZ4Wq+yvLVMxytek2rD+oUc4arpp8kR87jRcR1w1NMU+QhnYufNcyYcw
gQGAMDLfO+3o7Op0CHdDKkHoEsdPbbXCNtLak9O7vsKmA9WOwB5RkLRXxQg7dJ+ELblRl2aPA84K
L5OpR3cEFYyczXoMjmPp9/rsfMqsG76qFRjYDCbOXIhY2OpIDvQcCnx6u07fZcmKr0qcDZe1HnLK
jDxk/cfONzGF3dciK7/laTl5bTMMb2Oqyzskuk3n1gMMVNkNXIeZHsPu2VMZiSOk02MKmzQ/LLLb
2Lk2ugy3NwbRUZhkj3vTilbQUvOgYztErEZSe061vHZ6mgYQSZ6LIvswe2gmlVK42lIbSIfVU2U6
jUG5AF8w1IkTUAm6QTyiF/1GIb79lWkwFm1LWXvgKvMpoxvv3HWOH4DCy+Os5g8jlTOSgwTFxi3g
RRkYRwpot4dqVlms5kLLHBXKEh87BC0bZxyjIzyPnhfBnuhMDgdwAYaVj+vjqt4EP2yiwcgi9vKp
g0qFRVE0GE/kYbwX8MU2pq1FPgPBgNpLe+41pIPk0BwKByVOp3WBzbP5plScR4mYEsOzxPK82vVE
VkcyQRksunXB2HW244OyFs5n/BoLAEu5IG1NtJS9ciy61LdDGoNh4iRzG9T4x1yhra7QiT/NXd0f
9IFsvIjj2W3jIds5oGmA8HN33zU2gJIkVo0xcXy0M1l6MUTNOzuvwdCBnRfDVrdgijQhtF1eaQuY
f86oeqiqatIwFOhKbKpBmRfmpuIU3BgrXvdoRKRfg72ciZkAC1YLIEGi2vBzlM6xxzoGDWxkPqih
XE4r0pVnM6SJxdo4e1EsZb8syqFaBlX3x7SqTqDYntq3XxAoFpdhMJ2jlRbJAfWhtmtacifJbdGO
baPaJ2y/m6+Ax+oxUZroiJZsdENByoYSpeo9DC8lDNjPmDowJmPoE5We2afFrl4gETpYwdw2w4QP
VGTYwpYOalXMa5lbmP1lQOVyZyeMLSIa/6daqe1LCOM0yDWwMD0ikNwb8Vp6UPX6zRZdecKJXKk2
3TJWO1lXVpAYS+r189K/Oz1T/hxStUtzx/Zc6EdrpvU6L8DcD9EUMxleCyQ+3gjUe1BGoMZbycgE
qCI//KaeClU5b8FMtIOccsWNQ+6gbCFgpRPI5ibLu+5gzbNDktGy2Icq6zGsoSb7srDTzJimlM4j
/h15hJ9MgWBSdtjb9INS7ZZZYw9I8j5YoKvtCpTVAdwEvjY8cNrPYUuJCfaBTag/4g3XuSB36nFu
FeMQgalgeTE08tmIdPV7bC/Orm+pycYlNtTn2rS662QYynOZDPq5LWV7WPv1c9rYxXmmxbqK1GwP
BTGlD4iriphgvELsLZRvLTC6vhbexHDMF+VIZ6/OyxloPw9MGkPij4Hxq31ulezyFok34NdROxKl
0ketZ1k94fCVWZcfiyjjIXCQqD/HDUlxIgsdZioKZ4FtM2noe5Vl05FUxJJPKpXAqSpJn/R6MQ0X
Vpxu+0nVmNTAWnfsuy7bsqFRs+W3JKYbO2SC8iu1TYetFHjCCpGT1FXw7KG6KDHdwlMxsftZC8w4
L1SEfd8A6KUQaDAC+mTAqaB4Sq3oYJPt49GRWwTvlQANal0QDDHHeKH4BJqi6opHlJmeZgzRN7VP
R+aiEppWHWcHXZTau+im5kBAJvuDiRt4Hor1VDvMAKN8LM/VpISf9XV9j3EhZSLP7Dsz2ccmHFWy
TM53YlazjayVibAc69YlG9VXwhH2vVqHLrk+50oOrwmLHDRxTnDdqOIRYhL5f81sZDQ2dV0UHqyr
8v5mFhQFkNDY9ai2ScpUGjfRE5ClQaSNh0dktdWiosH4eCkq7slSJBQk23BHi5xUCu1N25TbzjSn
IB7K7pynY+vhMKQyvkKiACXbckkFYf23poMHS1vsdZoGT8z2h3Mz9p0gU+KDrfWfkUtGe6fCjMzP
MRjZAUdhCIBRCprxFmMUbA4uPG94RPDxjhkud3BPCW7drAhxNhgoAB6vvCQl7mt/ZYqhHB11LZ7G
it7Tt4rJ1vhheV4Nbb3gLCtA5ZdIWQ/sq8xoJdNjKihAL+aj+BiNbsHis4MZ1+59F5XU6PxMDTo2
aQbIRaOCmEFRoSGJdqMlMEEy1WkMIoglG+A/HAbLyXiYGDMiuJuZD0kDEtZsfhmJ/MC1hyoILwtT
7uiw+pe1TKadJuqcwsEuca3plPpFDCYD1boy5EtrKnAFZbsU5544suOkzvwdFH0hMy/65WhQR18Z
1QtPm825q1LeYVmt+wQA9o+ky3+gXMLSsVS8coVN72v/Rv+uqqE3sFT/i06/2u0yexMObakLMA+p
B0s7lz3r1nX2Mtwvk92/MayXDIL7rkUg49AF7yZ0uqzYGWH1bTecLw4TSaqxdC4xwegFPhp1jm3c
N4xQGM4g7S6mv+sC/l/L/v6lou8X3d+/Egf+fyj703T9Jz7vTYD4l1zwpm787/86vNVvv8gEf/z3
/1v2J/5GgOItFOgvuR8//Bvx22grsNAzEbT8H7WfYf7N1IWqQQMWSAGljdDlL7Wfrv4NG2Hc4gEz
HQgj2If+kFGicoQht0RViUDyXxpConD7dUny+50ftH2mZo6NzOU33n6J5/GAh095AecFq1cq/CGy
0HCtRMWcEjd1T6K+pxeanm1nuktJflu27auR4FhnWnt4m6dBfbPyhkpu+FaT23gzG0M2eKC63Gxg
Ud7NovzScV6HyRXTA9TzEqsE6NreiqYdp0TO60g1yWxMZOyGBSHd0kzfjNRSXLkqSTBFLH3DUCkk
aaW8bs0T+pFYeHhoRUn+smL+6Zep/jVaFo4gVNuuHd0DVh6TtPro6do3BSoPdxUyCqL6UVcbIhNj
Y/Qg2AhKYf2zXS0fhl4Y1JMyvlPyOA8YIMKsTMviLDrSwtO232aX9EKhQNMZndbiBCjk25m6d9bj
mEUP0NXsrZya+iaBIIovQwZE4tlLQ6wE6OZsu8WHA6VJYj2db6W+XwzHc8QmjXFcc1wAug/sB26e
QxzMTBLnYBYLFR1sM5gD0DqnEoMvRQKwTLiE3hDOqlGgy32kjpeO2DqrUB1WEGOK7Ay7Yrgju1LL
maXIXnyvlba9j9bB9jmkjRelJXhWGKFXyAwySgfKX0RYCDui+Jp22Ax2UYgHSAurbDHWaKurMwTm
kFOqhCq2Cdfqg8w821+jCgss6LOHbmmIrYR0jb8PSdu1TYymWqrJuZi6KSDqufQdrcWXbewaEMA2
vR9IsduuQNh+pozxKaF59rU+e4maCQKVkr+PuVq4WZpXGypMWNcjcZJrOOYvFvpVBL9acVd1LNuh
br6Q2xO6dEwpiAVwlZhmhpVh9a4ZmsZ8R76WGBrxGG3iO8HGYBOUM1Y9Q7yBNvXIy0s81DnRgR06
9WRjzTvpyOtidqBBdR4GjcEsdDSX6jHMZLSdM+fZFJxRML4qvOZ0Dfp4afj2NHWHdUrCi9qH9qaL
F+MIChe9Cjg2QV+us9+UmkbJaTqrrxZD8jZYEeSF8bbIh8w4yqbk7AcadgUOBQFT4+qQdqXcdwUE
Un0kMEVpYGN2TQGPcgLXxekOMHEG4Y+ZrbtJPfD6MEpwOUzJFI3keHOOgH/Qwqv7HjrJeC4sejQg
A6kTfhpWgdZh4mDLTaJtNuM03TKX1tDX9Tm+V3iRQZK12O8pzPqyBLZYtsIT1R1FAs9IvlcNiibO
PyW8luKGto9il4er7fXGAr2vzZqXPNawmdVWxxtU2LM6jdqRzrYN8HvlrCZpSPfbPobTDbi74TlQ
/1trHozxjGOkmXP1JB/2sa53jJtJXJ2HMAr6qBL72WnRS1A7egvqDTJNCYxBXh/5EPGey7muvWQU
n2RuflvKXGwLVbwZNhsZI6bPWa9rW5gg0kNS/11iSUJqJLPkyeSOlGG5BwjDR0hhsOC0hXEXSz5m
iBCTH0UThRBukAG2CJqbJJa9vcnxfQ745kz0hwChS/G8GmY+SExEsV4JtQCjV1QlYQ6GWBHw2kp4
gW0UATMWyPuHW3ogtt4j9sVw5a0igYFnOi4FbHVAnsDjV9plY0Nr22HKPO6LYX21aW691IBhcFNW
QJZoM15qG/m2MKugJRtkN+o5EQkp2MlPx9tf58n/KofigiKu7/77v36Tq/w4PVCKW7rFAaYxN+B0
+Ul/peB+2UyiLS/SEcfCGXysDT21tn2HoI0QKgWqgvAP+tZbkfSTboU/Gq0yAepI3h0TieZvJ9ag
GwzFrW64jAsXU7rIvgOyq4BeNPmH3Lvbr/rlUhYBNcz5kKNzSvO/fr29RZEO71+KS5ulX5py2fTr
eIgARRNiMude/L2q+pen8T+cxb9d7renqa1DhKWhLS4477wY6fKixCFy7PlQc+l//+L+yaVsOjoy
q6QUOPDffv7TixMEwWXw8B0e4l0nzjfCoHGtlP9Mr4u1gfrLVX57VXiMhFUjuUo6fJ7hapdXNf6D
BPCfvCLUqSxB1TFQzf+ob366kaoyaCZiw77MLdJb40DugzsbV9X4Pvev//6Z/cPCu12DRWBYxK5Y
yJB/fWaWpQg1SjTnMpRbVMGJ5sfrH0IRftNq8sA01aAxMFhvmNr/fjd62LRgYI1CuL1brj6FwL+/
hX/y+x3TERSUt+6Dj+fXW0hZ6SyyMb2SKHulvPhcyu7h31/iH58S0fD/9xK/PyVzHmAKWwPipVT7
PKTOHoO5V8h4f7iT3987O4BuouDlISFek7fi+ecFHGHLU90G35e4Puf5/QgLCi5TyPDr/J/dDxdi
r3GkhisEStNbA/DzhWCodhrcieQi8wIO+JuSPGbGH7a037V4NhdhXKDeFpbNMv4RSvXTKh7xXQ9Z
FTTqwB4qPe+iXlLnmuSnUh0PhUTgamIIEX769/f2+3IwUKfSX7DtsJ4N3fjtIaJOr+fMMtJL4w3h
NxCAP7yk3yX03JdlcAFytNCPO8RQ/vrwmBclsSba/FISKj1DSYqjaONoV8z2/MHO3UHfT1TPziVu
BSPZ7g+7nBD8/p838Nv1aWtoutG5WvqPv++n55rY+AauMOguM0a8Li5F1bkVEEjbWdaeroZDUCwl
MryxUoOphnU5Wqr4og+Q8HuletFVZC4V0JQHs8W8FmUx7hfV+oboMbkklVN4kpkZFmiqDLTRrD1C
7TF9jVeNJuo2ACdIhBLZapmu4AgYECYX3tsjvsWjgVASybu5q3Rz+sOx9fsn+Pe7NnTUvYbgnLw9
lZ/uOgsXxa4bmVwqdec0B6eC8HL5j1cOD5btAgcCSZbcb04MeeW0YrIi+qGrU1Ny+P/pr+ewtg31
R56RiaL81zvoinSOnakZLhPRQfaTrJQ/rMx/XPm/XuC388+wdSXXbhdgyt6ibun/cAPsebeN4de1
x/59C69ksCz4hbc/4ae3kFoiVSOlkfcy0wcvL0vNg0CQ7HqdnIlqroHrqI5f9LSLvZ7TYDt1qUbK
e+xgYuVMCK21KDvToJKINyKauinpUGzgHR9/MIG3LiQfDAcMy8JwY036K7lSeLPNmi38JkmMfVuN
4UnS9dGkT/qdmpAz0A24RbT21PhRZ9rHqEklbp1DV+l7U72J5HkodyM8pKfYITdzQWsQoR6Ivs/N
XGzXsk6ngxQQASAG0yynBFjAJlW9eRKZHynt8zq3I+4Q8BRh3VMS4xBWrdMhW418IzD3owiOsa+0
61fyyuEb1VDVayKmoIrNDorquEB61DJHBw0EImbzhdrZh59FXMCXdxaIzvjCYSreAFEwjb6HAd48
4IVcBSVJw1+sbOgWT9ZhfLIIAX82mrk5/w9p59UbOZJm0V9EgAz61ySTaSSlbKnMCyFX9J4RNL9+
D2cfpku9aKGxGExjMJhRSkyS8Zl7z02tyjkjQunRc9V+WNQTYl6RWq8Z74yzZ9cydCZVHGzkOO9D
PJIWP7jkerX4fmeGD2jnjGQPq0c/seQyT1piTlHvLW84yTfLofrppo0VWoUc934pnKBc0u7QZxJv
dZJuG5QfScpszhxmJ8oBtwaTl2MKHBItHDs0V2yMEfRtnvYzs5f2RmfpvQfvDrDNU0NAl+PsRkQf
N01prZcO+0M02l2ONa/n1+yX7tglbXuQSA7o9CwkhUkvj41C6Wm0mETSekzkrmM5t/NH3b0hxrI8
dSBuQ98rvXtIBnxAPov8uNbjszHqQG+1vIiQOnQ7oendLum88WSwvbkySmldG/2kX/cOdsWCPcE5
A3gBQT/NUPOULXMd3aPLJcuTmWbrWR+5tG9o0ha2QDD3mOw2D5hLoaewYPxwaf2sfer1Eq7T+qP2
yvg0e/10BsxrXa8xfspS+etDY/rdlazq6XcivVfEtn2gF70TDT7vYTNt54gLrd2O47ISa2mDDkxw
kBi1X+y9ZjZvPWc2+E5d85ZBhXNioYrXtUEknrtIjJ2kAztp83/zq+TZn7FDLAPK0AaxfGQabvUb
npfYYYximyRZaqTx7FzNPG4nFh3ludBTxNCAcXGopnzB+YryYrTsaMgtdQJPUz7MEsoxsaGDed8r
BRNYeigRNBvLY6zA+yIv3GN5HCPwANquLDBxDwvaRzK5XnoLdmdtjnhLLWSfkugl/nskd1zk6sDM
LPlwFSQjs8EwbnvV9kpLsLz6jX+CRHNP1kId2k0ynhBrNBdtVh1JIanae8liAyn2/BON3HKNaJZG
sTXME8aNhP+xo4e4ftZw7XGXOIucts3Owm7adKuAkmW68ju33y0oKiJ8aTrarHI3NS1TgBY/XI4E
mSnLkp27wUJmEi/nGKlE/lI535g7XDRYyUEMnfPaoci6Lky2XQUC5ijh29t5+RDk9RP2pBDONCsC
ErQlYoe9Mot3SqZHZFMjDiK/sX7B8u9DhN3fEJ/gZKtj42SlTRmlA5RM0KvxMavQzxtw7892gc/E
mfL0hDZ5OVZN3B5gQI9kGbQY/iezCRGpeKiNUAnugAyr+550g4X48HBC8XjHHIVRj9VbYWuObpgN
jnmzECB0MsnjQEMtUQeWmr+fSoIIWQyngVf3Kiyhy7B9hmaw9yaXSMR+5MWFZ0p/0aCaYo6ah33L
W/XQp9D9KHJdxIULj6Xy0xNuoGpfllULwiJpIp3R1M5ri+bOmJhnVZlZHmsyaG4Uuo4oZXW85q1/
7eMuR6eJuVDPfJz2RuOfZRP/YPP8ayn1n8hQMHchSMWNkWURyNJkV8/1m1BsGFdhrcE0erwbixJ9
1lINxxkdyr3RTepj1dGSsx+1RKA7EB5V2+VXvAW7EyFN9hV3GrFyy4DWpaGTmRAwHhY/ezAk/qp2
LWcYc9qjPRnqiGvdjRppo3/TEj0YtsGnTLEFpStppFrdZJE0l/yCa13bTRrXU3aa/zNb6h6jQlKd
Fn9pjxaqnZ/AYt09fGSQkULmd5OjeWi+Y6QZbIKRpiXyskyqCubWyqCUi1TbIAngsbXWfZpaGE9l
Ew9HpLUcfey0p8DG/xMgQxh/GEA+xS7ztIlXPGcC1pP5zXS4bMjlnKMuzeLRx+KPIqlcMoZpsX5e
QYtexvKuYYqTMwt1p7ehcvWnYmVc0ueddWBk+gC6c41ArqnISK0V18f0AfccDCya6HOfVw2ONgOb
p1SSd1jnA6ZzmV/n6Ufr59zaDnonG6IpSzEAdRXy64DDM7ubXfO1yYbkXaCgCM0hHm49N29e8wHx
P3tQLWMNNsNby7FMMSIsD5WphtOSCgOGw5RfzZ7OpZPUDrLJ3+RsVeYexTeOPuK1ivvUcxau3ZQn
RKcsGVzLpMcHM0KsqUSe3C2+sqC2D/oaNdQVl4byYO/W7BCH0etYu/bugfDsnLTU9I0xGBklcyfO
AAy+T2QI3TRN8qrzR4Tos5kFL8yCa0RlUPd3fo0zF+dn82jB/w+6rOTcrlsop3bsjPe1iw+6Ry9/
wfNTXoHNSvGO2oBCBtQnbCIl7iQXh/sZgzLQmtnV7howSZjk9eEeami/S+KuvQw1ZzlcZkRKhP5F
gwQyYppxtXcblf2YqPhP1TYIbXoErIMtfunLmFzB4vaCjoH9Hu+tERn0ITul0inslAR8MBAJQz7M
S2obH9P2b+ypITfOeGan6cug1zz/xk6ml9xhoWIQ5bgrPVEe574rP1gNGdQSm9zF1N+sPH1pJlN7
UXTMkUSuttcKXaDiigmEseuF/2u+jJe20NiSxMQOlYRBHZVVIeIevSnI/FQPpqwdgsxbtGDoRLMH
jlSGXl9TYgxquZOl/pI0DXq+NOlfDXP9sJDmnHA6IX6xNOAheuJmV9jPs71TsSOYHPVqli5/sz7x
BmEZSe88So5JTU0XZ+PGi74e2CvniES1tgFArpzbKVkuJluYUbf2vfXcJz9gMOwzw0NzxftyNylr
vrWW1AkRTf7WqvUD++rIYHRAwgc9MxAsk66U0uqo8h30xBKN3tJMEmSyroLWQUTlOb0KLH/s0DFN
7cFrNwE48+ZwwmR6bABI3DS8fi5spGrcCowYLbvUWde3TVD3fBFM5XVKKtvoDxIS+UERpRHSCCRh
RW4KCleRnKAPGoFd6L9qoyiPaFQKiAdOdzYhgxy0tvLP3YiClTBmLh1Mu52ZLV5UzvZ6sFYc8XOZ
qigrnTfk/zJASphxFvI2bUhaPBh2l35Db6l2rUnhXoyFBAyClAv/F+T11fevcadeer9cIUOs2nNS
LtYe/ofxnBklm7qajWDHMcvoOa/z9CwBbDHwXxx+tXk+J5XRBV1neQ+LxxRcmNrMiIVQ68Ya32o1
xNeTXC3wUNaLY1B2ZZWBFbXa7KfQgZoj9ii5o0RqwrW12nCUbrEnIsdGjuaMr4TExpdZeN11urRT
IKrWeOgtilmiwGwO3PQEqv2eu87CTud7t7mnirtyoH7FUPZtTnube5+IhinX+lPdm98JhrL2cUqg
Qx/X7wtF0t7xYSOnsKDAbrFzQv1M9C209eW2RKYQuGTkID/J1J65Pv6KqhunJYjnuovcTh+hDrCK
YpLUxFcpmSszz5kkwdUkpHVSfXznlGq6UYmd3PCiWzAslNoRbUGPKFCByujZVwGikNy/JWKtIo/H
G6QrCBLyhqpr6QSvn74qUYTYyfAwDKb9VtVFvq8QYcMAdtWTlbfmLTZGdbDapPxWtG62F11vbTdj
iwmw52uiGVKBRpuEJgYR6DDwGHaGBURG996JNnL2Xc26tElEehi6FJlcPifRLCZ7X+O228WWZwaW
hT4TrNfm8yCzKmusPSP89obnvAwrugOWZagHCTJ7LZik7PK8XY5Jk3yw25huhjyenqrVQrCV2ell
AeW5ozlBR9lTN5qW0iKC8xjIFiIJRDtsDhEvxduWi/VxzrLuNiYLodtV+DgPW+jHkV1uwyNmji2A
lZTtJy7MY7kY6jWrcWw7epPsRaHLY1fWy51npstzXmcCe7KC765BZ/aTpbvRYs0+9YvVXbWL8n+U
Tpd/0zRDob3FGgI2QSsOggbrwJLaJePPfLAxSiWsL+eJpHS7eDCN9thThhOfjYWEZ5VWqzlQr6Vn
2zOr51zvKOWgiP9QbI0i3pf1wUahBOQjNgOzRgYqJpiQ/iq73ZgucdTq6yMtl8N6eEHggTMLyC51
3XFBz4GV0Jhe6qF29pIop9u1bkacrkt+ygx6Yt1I3pLOf2QXSjSnhwIxngrnWKIvu1Fulz843Dsn
J+6SgzVwXlGQ5hfLtuZLhyc4wr71sxJs11s/w0khxXLwnb5FDkzPr4w0DVD5UAUWEo2JXTpnEIxD
mDlUo/rimjf9aPx2ENadJh7Zg6OtXjhlBmYRXo8hDfl9RtT3CSFQRoTh1F9haCsixHxoBFKFFZzl
eUC3m16aGsVvLUrzbNS1vV8ciQG/cQzS78r62Ld8f10+j2BlMgUBypErETro0Ml28X9CaUBfqpPx
gJkQbwWRdIXm/xornoPSsL5D8y6P3VIbO9KIhithZikNpv9MS8U2XFE5qTH192JQFl9LZ6CQxn66
xqZFqhvVuWMp+5Sjxg0sAYar9ICzGBnXpbaY9Teuhd47AaSapg6L/PVJywR1mM2RkPTrdLP5eAJv
wHWtKtv5ZmWTQjln2ofMX0VgoXA+xtLBLVQMxCH4Ike8rdEISM3+hmdGhJjpEzAaxjsL+iJoyUK9
rvLydYntHvMfcBjM5PPt2CXzQS+mD+lK/7K0WgcKzN/eh6jDk6omdKznxZ5qeX3VmK5/rEQ/7ZOF
EolsWQ68OKdvYmNyVtK18DOCO0PuZv8UvvROSxFXD1y4hEs+F2/drG23RfXLUubM+8m88Jw41w2+
7UjX9HEvRpvEPROTtcRlGPYNPWiK8CqQNQZD2QxjJD0aNgvzG7JLCfOtzPogcQcA++NmOlayZNGa
gr6ZaJnnUWPdCv03mPEdIXwcP+KmZyjUSiccdO6MtabATQnJgw4ikyOxUyPOaic/N8lURF6WkwoI
n6cxhpPe1bg8czvIJuvEbt2+NYuietK81QnasX0u/D7eW/Dody3pwOhWMjTuWC920igZw9vNtHcR
ZZ3a3PhhpYkZTlU87Tt3gA7dFgwI6hjziq/LH0Xfa8jZKwTiujkdGPGLiOExA3W3EfOBmZe/sxpA
MLuVtvhEjNgYALKoD6ZRYKwckVoowevOKLfSNLUgypZTFbrxyi046fYlG0be2I3gk1VNqS8S7UR2
xW9zsIfdQsBk2JcuNl9jxbTmVU5YKKt4QDUOeKIb6kM6Ld1Jm5aBgBDIjSS4JEenU16kLL/fV74a
b/gT6k3qWN5YUK+u4X2NL3lu/GSxPoJHhPwBon4JAdnoUW5JSoTUtQhxK+nRAUocGVXRpmcp2+41
qa7xbLVPTZI3t7ph/CYOFBs3kdaBQ6LEDs9vfuuTgHPk9/SDqkCyWDMnRX/e9BcBEn9nu/5wl/XE
tU+WfCXl3OX9xpikFBkGdcyUCFG85JIta0H1w+116oqiiUit849FO6BrHhm7g+TNWLdzuUvSas+u
qNwffqKLl3E1SQ6YZ7lbYRkhpjBdXAs8mXnauryx3U67jpM4CVAeMjrjzbyzWvXNQ6ge1F2uwqEf
xTEB8H9yuUq3bAp4ELy8P+h5Z9y3EAUjAcSaYjLGyAQBZq8BHI6SWPqRGr0BtBpZ7Mwx20O+Snl0
ULFGXeb97CwxHmqGX3eEZs97P+tMTm1uWSTV6W1uZ+rQxLNxSIztrKKZi1yyDvZID3zaW8fCfuj8
UH3fHAVyFbKg+JiqXtL7xDKak4mc4wZByhDG5tSd1lk4KCtUGXlENx5EikQgbrPiFJcFs4fcK8IB
XSEuOPU6pwXQhCRzjpiaMBlWJDlyc/J+HCsjQk+8Rjj7+3cy3dNHjeSV0OGOJWaRwXWcbSNjGsUJ
U7wZrSkTjumQam3IsbYh3zlIJJiyaZDEOZuluC4A+gSQhWj/ybKjhkvIgKlsXRAda/woUnSkSR7j
K+7GLY91RatcYHRKU0wzKZSlnYNI4lroYj67qVkdYg2ESOs27bXwxmHnlxbImgH2oG05zc1a6rhG
XZz6GDGMuxSZ0HFKOOFXrf5Yk6I68cqVgGAYz62AN865VTDBHWMqigQfFt8ofhoiIMPUxtTXrrb2
wyzJbK9cXNipCXYPYVBzzgZNPHUpb+lVA7FlealO0MXwyqhcZwCzasCfJhqDql2xQIrcBtbFISW1
wjhIC0bOOCGohV7UMgbunwEo5IQZd+Z+AWdOKjyko8T0jQcianaDAb1t0QCpFNRSINzaJag8fwlo
IEemejTuUDS879UqiLnF+OO4DAQHN9YDfHE6JwWanER3KyqOgbnU2r1Z4FV2Shvc/QSncVfn4Eu2
iX5A+CAHtnCXjwki1C+hhHycfTT4mSySY1HJMuywzGD6WB2wIgwjs6KkdqCr3yHMtqKe4dxDXtzp
9VWRW9qrV82kXViDv++zgktrECrC5BLekMF3a4HbvkmNAow6Bs8DaXHuaa5c+YTdGUVfpkuwNLp1
GMxkjCjsVVD0Xc8fjvFqFuMCMTRrQ98UXaAGl5vDkdnV1LhaqCrEzLnl9D8IRbbgpRn9o+xqD2Hu
4M1BWxbyBm6IFoqi2Gz6jXhm56J2mUtFuKubDirhVNvMR6tsH1eodnz8yWMJuEkbvvdqG/lPUBKL
tFF8wVMPKIeJCYyZ/p3AFXUbG3l3K5p0wn6Lc9pbs+d8jccrBHA9sKXaQb4ew78FPAkADJutuce4
C9JAJs03AtjFb7IaPIKBJwBpc4ycGnJpC6akgdI5+y+gUZ0DyBWDiVRJfaj3Q2jPi3dlTOsaCl58
h1zkKpro6APmrDrBMEsR0dlZ58qjn5sbHxrWYJvLblHAavfZWibzzvGT9raXdfJTFo12kTb11jiv
JsmWsGd4cOI7k0YxKpNKPNqxIX3ET0zKGB8kYZIC0PSsGcZ45kwXtEZD1BM5+n3g1r1FoY93Arm2
h6yv/d4hvg89o2+fLFZ3liHf4tZw2E5w6ph2Vr54uS5ORpxOtw6lF4nxhYJBBIDPHjLjl+dXWDl8
+ZOgg+nCtk3/RWxe/pw7EKJ3imnZd1V6yWkLHoQKpj9ZxBZtDBmX14cXGf5gXrjpns2h8abQmGT1
pMu2JcmrLQ+k1a4VBepaHcrOdeywWUjy3a8tYDksWojj84YZdu/at7SW77wL5W1sZkZQz+MDy8KU
rNhVMtaldFCC1TQ5wQubLqAmi507oT8i6afj73nVWvm9zOxXfcrKK72msci7WN32mKA5afE2p0Ai
A7Qx8a7tplc0Vc4+tav0IE24sru2NLTrhQVD6CFODQdukLt8YmSgBlvRN9PvE6FMJZWD+a3gJr6g
T6qZGiT2q+sAnmV4pubbrHe0PZRacTZMl2FGqSEk1RhUDwxC+6BisR8Zi6//XoFUBKkvygdAk/lj
1qXdN3jh440JFfhAUaFCY/DHnyN7ckG7W/7SCK85avmoTqnemXC7NuV+lscph1MmX0ejtMgyyKa7
Uve4GUFS+mfeQ0QuuH363c+K9myucryaOB6DLt+Yuamn3eDFupsHYzwKZ81Cj53WnmYM/QGZG8AC
mxoUbgsCsFXtcGi9fAxaUy+p/wv3gC82D2Qiljn0y2n5Jg0vFyzHGMj2btqefAEhcfRG44CgDp+6
NMdwbXrvQ1vUGDlNvB3R9Fxi+wduHAhTWcPfCweETrP9FZujcTRE/q6lmXHvgttC4pkCAGcHqOmo
MlPRP3nSf2xw+Y0H7szyoBELHhCqMWBYJI3kudMM6z3HtZuFYyLIYi9Sk4qB+VSTOcAfxyLZvFzm
/VKuFXurzj17OLcmufHQ2oPertoNv8eKwyBHqCyqjsgM10sPZoGgeFjjiT6IewSNQ56Y44ZyXQ4j
X8uBAHUwaiRdXy9d212KgfVLbaByzCoHrBm7v0tjJGu7LzA01XDNM2I3/aZiF+drgC9gFjBUxqHO
kCoQSdNHGathAi9r9oNgaUMLzsfe09L0KkaZd9ZRkxzTmCmJlNCX5gxiUTMZ0KPrgruQxce9tabq
2HYLzYtVFWCnJmShnaUQozjT0TYonK1Y+PvcgupH9lISNZVaWbnzyMtybUPiCti5Lc16rBSeEW8S
FPoJeF2VeEUALNrcySJ2QjWZazSb3hC473F1nwMR69qFMztltmZ2OS223//ONH8FbJRYgim2IKy2
30o0s07KHd/Gi9X1+juDbH3k5y39o+prby9lguEFKFCUFiMQobHSd7OewpWB1oohfCKQBmBe5A6u
feVCrgosZyQGjLOIPXb2Tn+NXWjNEYVu5djgV32YJYwrTPYwgd6yXtLH5QWUDa11tc7UF7zLMyzC
CDsDBlyvkyEGtMPQKzOVPHLEWc/xJrVnxlp856obbz5QRSYkHUoEOL+YrrZ8F4shEy/xt9JxizuT
dRKGdzBxJAWXD4v07R/FWM3P4EzHLlRzWTK6KUU4qKHFb62GXTcyJnYL54c9NETr1XTMvpOkYUd1
cbVuMA2yGHPWMy6LRnogKD1w/KhX20wPdJY2L/B9uzTKG80V+OuKOpyL+dcU81AT70NenT84qqIo
LUwCaOfiIk1AfQU1QisMJoSG00fCm8YjsY0jv4DEPpjAt0J8jr21dsWPpTSI+YCIQ13iu9Ot7Fo7
NB1Mt05i6r+00qI2soe4iex6FgH3nBnOppAnl5blCT6hHaRJ5V0t0kZJ4BnNd5+UYRr6BfClY6ES
h7Ue0jcMcJsmzLZ6K1gqIk7HaDoFo2a60WgREatNzXjgt5kPiya9yNFj/XtfdxtSI7bO+WK1j8CK
rKekwv4a5xjhnYT9I1msr/EMJYWYJwJjWh3rvy/VVdoORLIDDER/nm1+XYvvA6+0FoJshJSeyR5o
oNsu5ZO2lPk7K0DvNSXAg9N+Vr/bFt84Lft0qMgLfcyX2D9Cws1e56JgUt/TwjBkm+gbq3EP6b14
cqtFPrBNZF2qNKT2O78xxEZL0W8lwZW7SVfo1c01W+45/Tbn9yAFKYZZRu8+0QCoHnuIdCsKQtJM
bbvtIphkoG+Zd8i9oRGVwjhwDVXqspiT1hIR+3sx81rdzlprYwUx3yu31ikKmU9PZj1emWuVn1am
t6yaIIt1mWa/6RIQ5QyXgFGg/boUmr5304kkn7bSP1Iq/N20aElgCvB6Loxm8FzYGqdAZbazU5VI
aVBnBnEjAKawSeL8MeXGeSjKKX9nGidlZLdrdsfiECE7j8sB6eO6o7VLwpJbHJ+7IZZdY/bppWRx
x5h91U9lyRjcaEr/yNWGk9ApyK8esDoSClhCts6tosC5hz5odyhrSgURnkd1FQhAqHf1vdDN7oR7
tt8b/RGP8BVR7Bz1EwGTu7RqF0hR+rBfy7FiIOoaYHh1dhLXWU3ketWl1dmUMWZKl1H5TCT3ldMI
52dKPB5ifBh2bbnVaRQmEYN+lnJuQhSkdP3zaIxWKBfvxTLtmQoKzHfQ9rxOWoy+XZ7AQUKXmCU8
6hYZ8LfsHsTPigbLDvuVOn0AaBKwx0AWUNoZBHrHm5ZnQm6HozAs5gwO+PoDoa6M5YkluRBGgsDK
Tfu9NgJfnxycKE0DyiKKzWU82P1Y/laGBRRlEOt9nmfOs19A7NKgnDFrBOjulO7DZObWEFBkDl+I
0v4PGSg6efKpeGItFhOfhXudDqditJPuLnPFjcvmV87Z3pbVld0tt5ZZfxuT+JeOwqBp1f7fKu42
0bGB/QACi+84nxR3yu/0NePldpcGaw+v6fhvf7z/nzwLE20rmzjrk16QaoZ9va3iW+C6qC4X518K
pxFNI7PTyXjwBVrPz6FX5VzrUFBEfKvP5U3hq3DU1Bdi0r9JBj0Dnx75Nj4iXZ+P+lPP12/hFbKZ
1jvGWSM+ccym/3yNxHYR/qoY3FS4uA0M1Nn8gxvgz08o5LLYidN3F2EkGOGFBharRY52RS471hen
GjDeAM8gmJ0eotbUTazrRUiYM6+IfCg/pPJW2l+V6meVSJvYS1GTrbaIndATedegc/lFxcFqwW0o
kb74/Tfx+N9+fVKikPwDLjfdT2r/Uuh9O7tVd2EPSW7I7TAdMoCfo/es8yZoBM9rOnyhs/z8pWyX
zLMwSzo2UXlYuf68ZHGpoxcgA/sSM+yb20er/kL+/b9X/c8/axNnMzRxgKWQ0/FJx6lrwBGZSo+X
xIGkAdOKKW9hUBEiBFmnV26ZdFdaYMDqHMWIAAbGV4AsbkfZxKxwpe9YW39+YkpmHzMWClsFMD3H
+FUAX2NnkmKbeZcVZwHDnqiLCwiVJjOrneWVzQn5gx0B+V6vl2wlEwhq254NrgzXymAr5g+nkpY+
rMHmBOzHnxm9gLdy4Nfzt4JDznv32GgLo1bs4rjBWFDUff0t5sdSZerGrklSYYGqRx1FKcsrHP/f
wZHeuPfgoxxxa49XbjY2UeZWBYRUw3hcpOwv7sRz5nbLU4Oi8pIZ+nBVm0jBvJPRxmU0YmvDlCi6
Q9uC6Z2n9o16CMKf6IZnAAWo4pJ5DHsEJmGuF95JeP2ZMp/OI82a6UyGxQcPg3efKg+VgaPWGxc6
9Mk1/OlHxhaFwTlu+mhZjJbbnR52seg4iPvAQIZ36PcCTAFSAmieSZhlNNRMvTp7GB6bDG/rPKr8
UqJHuQfdVdjRXBXraenpjImYMPfm7FRn318SSOtEBz1hgrRhdmszuRrOm3A6wq43PdaCWxfCg0HO
yEyGNOuk2YQfUDo3ablwQtCHUcZkEFkkSYAnuI75w0Dmazi5hoJO1KKhrIb4w3NKsJz9rQEWxstg
xSfp1UJybJBD2QxnAC13C9PQD+HUDNFnFoKEXDlMroknRsA+gJJGULRcw83rorIuQdST5xP4mm8R
GbDNizzajCvfke8ZI+F7P3fb0+CuNCeGll+MtSlPqyncsBr96sCYgXoK4hQ2w1jXgkkM5X0+NMte
HzqW9l63oOBRdmxFII7AnRl2Ja9GZqyhMcZ49zpndpD3ewvLD2d9Uxr/HSEVBkEsU8EWxxWtFcm1
oaZPNxqmLVIJGcvh/HfX4jAWS3Nl1+OvQfrZt6QBcJwXSLFwgySXbtTnMM/77KZzbVYWuPfDdRrN
85Q2LdT+3NTBPOnNfav9XIbvY5DBpTsgdMXp16fpN89s77S+uc5o4BQQmptslQgX0zJEZ9g81+lg
/urzpHhMuqGDEJOkp9aoprM0ZHqBW+JdU/0wifQMFP+5nW4S8sZ1riDBgqpna/+9QTH5rTap4IBU
98bUs7PMa2Of4UJgseXO97rLEjKp458gAN5iIMWvWu/FQW5sK1DGqt5FQ/qCwNWG9rsmRgi1SgF6
08nh0dHG6m66sG6TDCsGAhAPSOi9A0gjALpiCHOxL/vQyZX47pGvgh7LQz49Q8IlNNnP2Mj7ms1q
1Y/NiF2UuEnVkpwTR3tvie084Db9SJBBkeSF/IZfIf6N3KeNZi1RqO/ANAtSwgg67H4viubZSV2G
8cmmli1191i2BEcruIsgkUiacQUpTlptiCdPMEqYnPnFof58N/pEnJPCzbAF19aNlvr9leYscDxN
q7sGoaP27TD5180A4X7xQTRNNhbJRWgFGwscm5XVMtseV8JL/vkg/uRqRMoviITQdeEL28Qk9ckc
sPZT3CfOaNyJNHXnPQqw9VaHdf6YWK37Ch1/+Aaim9RwlPRfJbL+6d3g5Ofcd2wBiI4K1f/bIapr
ceGtM1p48CDZtNd5jxZflHrbr//fA237CFMHx4o5RxChKf5jmvmLMQG7Z2wsBK5ecJ3P7yQOxMNe
flUtffUhn07NtQI2HJt8iLWw5ApZoJP/Y+dfHP9ffcqnqpVpTpkX1eRfaETW6RKT0oEEUX5hY/yz
yOCCEeIquFxUyFwuoX8qMnITxbOl0oyDI5NRMk/dJV9Ucvjnu+7z30K8HtF3OKUwTVJqfC6fhsIY
Wl3v1ju2vMDC16U4FOhiIqh9aBRF+VVC7Z+fR+6Zjk+PrGd7+6eNn/HP0qkY19RYiDNm8Zvu0V+N
eqhnxFJpX+Rt/nn1/v45n+rmCUsljXkjbqxVebfkDi57jQSXX//m6v39Uz45GzGTNSiH+WtaeAkp
Y643wECaXL6ocT9dNLoj1zQwO/Ov7Ub4j+nnL88O5pDYTPUyfmQpzEyTsd7iMvz84gn9ZG6kBzQN
nn3PcVBwcn0+3daiw9fFkqd7iDkqM7MN4/Tcz8ec/zSR1PHPV+7T97N9mAUFBDMw1kOLP+vP+8Ds
ZEmsl2wexC+2s/23f/3TuZvxNVKW6a712SimTSbEplivHir9RN2q/7u+kl8e26QOVQULBhZGb/vj
/vJ9ELxkAQOwtQc1+bvsHtn/F1dnu9T/fVlu7bgreEZIyOTbQEf36SnpsqlUVmzYD9FSPOupiXaj
/sLC/LeP4LjZXsk+jyJHj//JJJkyljeBrJAjohbkEXuFHYra8J+/h883rrm5AfHLbr2xyeP+6Smc
uyrOdDG19zrIqZHcH6Uj9X6uEDz/8wcZ2/3yxxUTm7zFZ5+k4w+0/U9fSd0ClC3Wwrx3SoIAM2Gc
exuXmT0iDmxkdbtpvpjvXg0DZqt15hSanrGi/LuBAKtbEAEOqFjmAQTZbwSdv94YRWvZ1dDN6oEU
Ie1Qa//2vtt+vCdwBjMUsPDQ//njDa1L0bDY6kHo64vd2j+AuPzzdfzbYwlH27E5nw3GDVzKT3dF
LnVkz4jhHpYqJN+wT6L/38//dIGUzL3OBDfwAGl0YQ+EevefP2C7o/64D/7zSHLMMDchi9zb7pO/
PJrkFCFO5c3yWLbkPY3FFWuTEMdIAJTkNBTNPiFe9ovP/HzRLAaFvC49+F3bQOjzi9MYGlvWeUHp
j+LP3VNR//Pf9NXP356yv/xNliDRkMVic1+W9z7L1faLGuDzNdsqz/+h7LyWG1eyLPpFiIDJhHkF
QdCJkliSSuYFoZKB9x5fPwt3JqK7VBVXMW/d0V0iCZN58py916b5A2+CpYBq48tNiR0iOBJCJ2/l
Epy6KNxJ0R+zNQqoBcJE+hwK/umba/Z728YmUpKdBg+v8c+n0rv5/TdpYyht9Ab5pYwe8X0t45PT
MhG81dunIC4wXnzrCl8f3f88GX984tdHGxFvEo3AxsFBNTj2RXLVgLur5+g9HVs0gBXDJCRkR6Vs
T3nVX/79Hv5zEf/8eGzhNkuhbn01F89G3KFJDBnS1Q1RMPVTT3CVgeCFcDXi9kh2obGAhwyY5RGQ
wb3C3Oebr/C3a852SKnPzuXgUf/9msdpY2gdM6aLrhjXk9KdhyxBraEvn3a5PFEvbQjTfZ2m5lxO
0pPQGtyVIEgO/WtCCmxDPovda5sptzea3pzQ6H6zXfz1C2q0u3SDulf9igXrhxC7JkL+S5azkC/Q
kGvHcTuBtKnAR2SWs9eYHSEe6Te19pce+P8+HMzPNLZEXaO5t+6W//WKtRX8Q5Fk+SXFQdXONO5J
hZjog+fygXXWGF7s9kqZvtkuvuxaf37slzd7ZvQCEp+HIgD8y3ZRo3cbX+bwIiPHi6enIMC42t6g
mcH+GX2zrDi/v/d/fvqXKkMt4xKXWZ5fFPDzLq5U8OowOaMcM5OZ/yKhgZyUENjyGGFdQC7wxuz1
IxvMO5lZG4oLv16sqwofFXvRQajMcCetwrJQv41Ro6AhUG8lrSdf64ttNfIZzZLfsgHkNJgZMjnR
hqXJ9ueh/yxzvEqSrKdV3D3SZ9QK3Dkk1CYFxm9UdNfRBDFsWZ7wnMDZRftjjwSmISnMy8ifu8Iz
DB6YkKV+1Kd9HwDBx/H1QEYSCYHqbZBWGwzikzsgLGzl7GlVcbShh4u5vhtNx3dKhB5QPBd3zM10
Ww0RCCdGZwL37iaQhNrMWuLVpb5rSKUcavGK3QrX6dhtm9zYNPSOyIZZtSjooMPwvo7bfpO0+qPW
hifL/kiZwdOJ/GkKeohaP+yqhdd9RAoJlVtD+TRczaW4n5TxqkjqbTnTHh2wVldt+OObheD3suz/
bjzjFupYCn72+t+fdtYBGm+0yi6qad8y4YXJ5UwVqiLlOIXwwud6K3PsReayM8hF0iYor/G40VAN
MAt7LXrlgsnkuxVy3Zp/XyERnzIM+qfqBZ7xZXkySubFMZkZl7R+l+wE3CeBvETRHurEd1A7KPNr
N9wbUMPn5pstUPvzXUCJxOyLcBfDXP/T75cExE4ymHNKpYqP67SgyvINRW+2JHctKEYn9bNBnfRr
cTr8GFZT3XTZ8gvtQ3RcNFXdKplhHsmY7m6aesY3FofdUdBY99Ux7d///fYZf+5kfFfBsQMuDIcb
88t+bWORQCopy0tDRtrwHpeP9gKzAd5x6dwKhCQJ1Gj1BRGpW9bXhkUuPfg+uRRXzXQTAAjB/+IZ
9muRorUrPieGoBkY6omwiSJj9AfRITSuJjWm45uC0P9/gULWp4+5GYRfud5rukFf1to4CSsGUnN1
WUR3Cub0No1B1o7MW79Z4P6yqlMta1SBTAFhYnwtxwEWao2OeO9SZMimmURE7whrsn2nWO9TMeU3
sSOmM8yM+YRIHL1/PIlvCt6/PFc2axgHXQtyH3X178+VacX5GBD6cYnrn/MIFZ+A6BxxEsJvJ3sT
avbNJv/nFspPZv+kkyOZGtlfXiKFIAVVplzcsHDMNzEusJhJFd+GVhftZTnpDzmxCqhfNawHHcqD
f382//pzDU4/jCsZNH0FJClqj5CvLqoLyhvM1EwGXeChP+Iux+84qwcRFl5PjMi/f+rvBfI/T5St
C0dSw/JGGPqXH92qUcAQYL3IhPcFbQavcvr/Vwhc2P98xj8v5X9VCLEVkFU8dNVFENeI0qGbxaaS
PxEU42mbvMHZFlp8mPvimwdofRu+rIq0TQ16c8Kgdfa1bqwMDeNzYHNFNed+sDXEYMPDgkTu3y+h
9ufncGaCm8QZRqMB/bURWMfonHVY4pdWkzdtUDwoJQlMuH/DiNkVEil4R/dgLg6daODUL1TQDaxQ
TLJOXv0YU+2bJ2ldcH//3b9/n/VJ+6/rjUs2nxfbbqjIbmTL6sSTg/DZVdrGH9P7f//1f26I64dZ
zOdouGAd+7IkTcCAlriVuMTi+KCWCM377rDY+R7h+zcHn798lAZXh9bn2ghVv/bB45n1b0Zohoo2
uTNl6RDPUjl+mOifYTBb31zFv9xVPo2EOThYxkqr/f0qAr3ttWQgGxRBFbbG1letgjTFbxadP996
GhI0J2lZqwgh/tBZODj3umhqL5Vstm3ev5Kue5KGzSpAumDXXmEa+ea1+POVXz/SpinKS0/z+ssr
r8yNlU0aH5kuo37AKqic1FoZH//9ufjrp4D449Ckrv2QL8+F4cAKxrHbXoyquBA8fGcY0TfX7i8H
Q0kLXjfQkYDNwrn3+y1C4i0wZi3txc4/Gwh/9UhOMgkMNkdA0OhMmEVxWTBxJU70zdPxt5/33x/9
5R0jmqQOCXzlvrXVvtY6xIADfp5/v4Z/eQTXfhi7H+Qcnb7M77+vqHA2ITiXt9Yw1HCPDPOMWTw/
LcRmfVNZ/PluUbmBlSOJh8bsH7dLSQbMH2YSX3ppLTx4KK0jA1jRzIzWq+p0+WbR/LJGIVATSHIM
tEuqrv+5bKREc2h9OcyXQQOGSgZ1tVt6FbhtNldbB/ELh4rW+GZO+MeHIv5ljuZIA4v+Spr7/XoG
mZ5hPuqtix20vR9oDgeeaE5Pgxwtf+L6HtNRSb97Ste/+l/LMSBSlV7N2pOGysOk+eubUNM6ySZV
uRD5MB7URkv9roPG0Jca7vI21G4UKx4fOVCCK6JUPtohsUybZkjTp4VQJk/o0ZJsyJTKLjGUoFOe
tfrtEsZUKlMZHUvm5P/+3H15uHUEbbQBKZM1Him+/ZfrNCWx04Qy5+9D9zGj3aDf/fsHfHnavnwA
Vf7vN0LgB7YHkjIIuK1cPUctGNOcEw2ArO8Iml/eof/9KMRZtH7pb3IPfv8otlrkKKQvX8oFT8Fb
krn59F3n9K8/5z+fYX15T4eW7BoDMfAF94wQj5AQEIUEhvHNcgC59Jtf87VGtdTJnIOcYDKVWAXk
0I59nRH77U0145QWd89h5HG7JiQiPiUDmlDwUvg0LOQssm4Sr4J1RVeKfwG2zj40tYYEOG9XxW6m
ZPFeGF2IbxJAAAZSAS8nLOzPWCvMfTlazxGrnhdXy0eqEACaoH3zErRc0usji9lAbMgO5Ifu7Is8
AwXYhCk94zzwSyOfXNaQVTQfkVo9aZYbyrFzG5xamP8eMiQKMzg9DxNstUNI/GZ3TYSVUys3YR2/
IDt5H9H+b5Op7iAnteCnWoGJaxnNDwRe/E49hQbAjGOXpwDlJGca6DlJdFmm+Vgs+X5sO3VjAw1Q
sAjg5zfJs9iUa75eNer23YjQrseit1yFtQU1zp91gkulpRhnuAHxmkyNIgYfCayEWHSEh+CP1lPT
cR2tLjxLgk5gFXfgtICPSfUp2JsyqW71Mnsz8lBs0e1bzxbG0Z0BAmpX1FF/g0UE+a6OComJFVY2
tRu91s71bRuzFqlpCrYkNpOtYnbyR2sM7Umt8Ffiym6vQNhU5HMNvD9xLfaaFpTPVhe2Ozn29dbS
MTU6JVp3wj4s4u96x1uyTNk2GEY9CzGgFzTDCzlrxMDLXvsE2D1vCGhadrM6kjFamzqu5XnqYVwB
eJpFw4a6rGrwpgqwvNhEFMVDH3tLTYraJOaxdhFbyV1Ygx1ynKJ7KDtTeOTLBeDtQGhdZeSxXelh
/llrxEXSR7EPQ09kDTpp028WuB59gfMc14kO4pGFYYzt6QVyM2AfXMtb1Q7M7VzExr4SGPaQjDfn
OLXtYz423V46M3NkRr3cZFODZVX/4omxfALcjOdwMTGx6PCHhj60DjViUTfs5mybNPO7Pp5GQN1D
Md/X1poVHtFPq6JouA6CKtjJhKhim+zl/dTP74i/FVyuNjfFLmrPhKqQeVEG+6xCxrezNC0hYqbo
Dq2JuGisENDGV0N6jGsX4jn2jz63XByr+g4BdLgv2lHsg7KHtgWCAm18ZuCWGkW6MdL+sxmVl3qW
nAYbK9gFVqOTjJfTEGyriCVztp6gvMym22Y53l3ieBGyNcuuzRoLwXcL7xh6ljfEkUKgTGmfmIZ0
fieTyS10nAd9H0+nEfSMb1Zg67qoDs+tJT4UR0WobneSUErcVEOGU1qk1gvBTLSvKYM3BDGPfqaQ
ehR02nTQ4pxclMiIz00aDYc20IIfQbjEh7YqgdpPdXnjzNhdnQVeJdZCEIkFpHRFxwsvBHyUFE/h
NiemDA+sYV/HXQQVHz/Mzo7kmwnLEjMd4q+0tn9BMwR4h/1nY6dEzsLY5+hRVs0Jbzj7oRqeR4AU
hyKwacVi16Q7Et3a6kDGVGkXP8PctFyD/+obopckMZeBPySLhc2L6MhqgIwKJAUHlDLqflWSmEVm
U+XVvQrz3sE2TWoQvsIJY0+erXS5nJ4V6tLwihjgeBO3EIuivowBoTXVW6hglwXLBfBQWAp9i76e
N520PiLTLIjPW8H6tk1MZxdmG6Oz8W0n6YRw3wT8aNtkAQxh6UWdauKa6dqTGcTCRfs2bAiY7e9C
emd+t9pj+2opj5GNEnwoQDOY5fJPJCFN/7QmTK+bg1ttgbGjRtVz0scGcVAhuIc2FnzlhqOhAeoK
skQH4g3FdxQBfUkcYixg4zvbMka7tsD/8nMlrenAFuJXHkzqpsb5tIlr66XBqLkRcfpOnuUHgV6r
yDl5H6TyaFQ9RMTJeCvIjwMKxw8dmC+73J83KWnnWHpQke/YA1E1ksRbemY6eVdFdxw4UzewYMAU
nXLfpBNfszYzNHcR8rqctN6UYTXvMal0Vd5guLQLY2dCenDHmpoiCqMAAFM0nYthRv0Fc6B94P/I
m5jFEwZckqhhIqjZQ2y1uH4kWdJWnj+YqBQf+17JTyNmu+O8lOEpRA1QY10F+tSv+k5rhSJgKFPe
RGg7xG9iOMQYiODRCdE1OgpGJDoBnhY55rEIrQ9ho9tacNpetZYDF2xsFZf6WKU93k74wDn9hc3A
+N2skp1ORtl2SHKYFrwnPlgD80fSa+MOMVJ7Bk0GHawSybHJWXvXWveKIjr10ika8Z/KTxahyhuQ
87LckdgymF3tIlNL/Gpw5h0glsmPmCHxaI89fSU8Xli+MF8KY96wCy9HfehHb2lb/a5KIpNQx6Tv
YVwDk9zFCJLdUXWSn+RAst/rpSzeymQaVrYBMW2uOoaXZFoZufqAzc5h9OWU9quTFJ0LqBJEh7OI
a6xwKewhMihcHQMknE6RXgG/f7Ja+Sz7/ucswbc0RhYTVVkSh2dSGcoBzKBpzo4LDKc5Zb0S3soY
JICDCXfTtSRsyzX/Fj3glLkFJFj8Q7EmjH2QJVz/OZTNsagEExlbSlxbYXijc8OYQDiRb6UFES4U
vn6X4RcqVsxOkfHec/oiLo9Z08ayegAlUZG5Gckgx8kSk683BrlZGOquh1QwgAwFeNhAfOQ1M7AW
J+FR7bpuO2qZ/RRoAxkUcV7uM8mMBO294dsAETwmzPpTC+UMozaSM4wyi7xfZhtvci8STC+hNvzI
AQnxuKvFWROYAUYl+6wW1sYoQdXYqmYD/FSJb5YSlXEuB/IegVbfVGg4+J+NNrwS5ogAFt/maV6b
qQjxQ4/NLrhru0zsQtmKXafC5cowkGMh6qufRU0bq89rG9uQofkKergdgbtY80ulayAlD84NVnEe
YSJ93+wG+4DdKJoHPM25BWprb4U6ohGeSBAMM4onCMoR7tTqp14o3auJZRBDVUrOpAyWXOKTXFjn
9bSHMCBG9aKR2X5PgC1MkL6edik5vl7oFPPWDBm1OcXCghzYZJRIJe93SzeH9yq8kR8iYvdD3gtH
wJ4GrwqHYMv5sroXq6UStLe97RTWHeBJjAknI/ER39q72FYTL6kH/LkODe+kt+/MooUMFVBTRqM9
liQc1R8Grh/ImNmIpgBHfKaZH6pgJlYXlLgtnDzWWZ4tNxvS8hfEVOkz2lJdtKLCj5OFDKV5aW7U
bkBtmzj8VrTMZX5KYq27r5351WzVlsKnf58nmGWEizfnodFVL1W190muN22i4WZWOna30Sa1BfgE
qI052k8Tox8mVPgGbFb0qo6064gJjUsoL0i6Ll78qpGMDPC1+mLWprtgIlpTiXgZoyx7GFF8e7S5
P209sfC4T/ERZOxNT6Snjr41998qNbpXEdeCH+bgjhNj3o01ETcjuAhXncZ+hwY53k/JnDLfMTW/
bsJpK4wlQx4fZFtL8JyabQhAxqYGPs2SHNQ4ybpjHGf1D1nnyb6eTGMDOGo8w5PuXrnw804fUqxo
I3j4bWL9c4SuWy7BlJ0IB0pwKKfBPVZwnOnYC3cF51sYhzbAWKoPDS191Jz0ROsfu9KGvYomxHOq
wj6j4g59uVA1GZXZ3UK04oCggoJ/aRMOI37azOOlgjHRUKcO9TMxOFcT2XZosyo8pnZUYI2SdRcb
5A0y/llLOEDHuGPX5zEdAAi0Bhk2hRy2tdkNrlQHcmvjLtC0rc5bOvPGQy46myO78mAKy83x4R9k
h9tThzkCYIoJcryYeIoLYW4duyr36RKbrtSU56ztsNI1dXmwK7N+TGuNo42dR2CLG7EwrECimnPM
obgOMuD2m6wz0gNdhHlLtGd0q1Xk7kA2aqy7KHag7TbibiDFjmEwMzGWevuWBHHpBRYAz7qpcTSB
8ra6Z5SWaDWZgtjHisLvYAxK7NfAHw5JxkBeoaL2Mj6d5JXxHWCI3MzRGtzeptC3BGRQ2l3AaXJK
HpVIbKyplXFIKuvRQR3mq3YTgjhrMMayorlEMT9nQVdsRCrIZ591MsLHdS3ECOpWZhJxarKJMZ/m
6Fy3M38YelZxn4ORIjkXOhxFva3wTbWMEgaoCEumTOYzlBaijLRELmdbq27TOnsm4ZrEMxMTJcmQ
2COVzGmAHQDIsSa1Iac0gqFjiJxYWQBdKwYXJyOPJv7X6CdVAC0lqKHvZhROb5YaDLczU/w9f2AC
aNNF10ATEQ2Gi9SgMVtDwMqglU9djsVUJ+D2YCWTtdeXyHCVADQXFcdw0OPeukmDhre9WEmIA/kE
0Lfq3GvaGUaOHTg3dLQAncn2ObSsDyWjFalzADlOZJA9OrpN5OyslK/OHEBkYL7lIcyqNlEHpkLJ
ow7vYqAwEDVwfLIybKRCWjLGM7pijAFdFTq8Vwdhc2WOOAJUwzaIP2ObErNCdTAahKDCGVR2YhxJ
nDLhr92q7WS7YHX0rRaA/pEhOS95CpqQDDEaYIa1bGj26DiJjA8nhPVRlbC8tSIUbiFE6MVCwiiJ
Ao3iimik1sGlpc4ChqBqTH7OuaJqel+p6xPhxNNdp9PiqONu2DeS6YqQVUg4pMQ0n0sbWF/c36S5
7IlL0/sXAOY2ibeJQoA3tONxlK2fg99/ilhqTuAFUi+ZUkCuPFX6LaUtxIwyglXnlD3B9OPHMELp
j7rBcRmZLVd6dNdnPkF2yYYDEHdET7VnStiBNYbypyLEdzP2LUPkrrK2Ecp0Tw916Wod6dIjRtfU
i6Mo5ffZzpMo12RpCRvh1xJYr3iKxodQL8pDRzImb0s+lzHZkStRSNYaFHk76szPKJXTIW0mlqEp
ybaZygi6qgIEFRoOVVIz2vK67fR30zBIN6ZucbNl0JGp4Wfj9YphDQy8/gvBCvAhzJfCtLq9kZU0
UCxBTHrSYBAvDUaQRULLBGfxT0edHy2sOJRYM4C+tqLQUzJlZ/Wk1KX5BOKuoGZFqAW8KCVEsyFB
wDfxd7tW07UgDpYLXYwBnSFaEmbR5o0x4DeLLSaBSQ3LP87VaB+LINzbddH8iHTbuuNHGa5p8XTG
NrKidnyBIoZbTWCzVqmlXJq8wD26od+OaS4e+7iKt3OXGS9dpOvXTpKSPF8TQvW5dBnhYSylp0Eg
ysm6FsqPSiYtaEPgMAo5cjrAGPLloANljb4nkzf0sMv+WpqUGOSUEODBNlg+UcT6iWMF+MGqXxMo
rwdaT5BniAQDUNoAWBPc4nmexY/Cih6WZCRBUVHBKRl2iascxShNSV4ns/8YSVrbVFpa7aO+Eaw/
3D01InelnGX7Qw4kbDeytIjUrqNrS2SLn6d2ul0gFNPQrfgZ2nruV56d0ihvUmuiYCXzmqafoHkR
Bryd8o3N5YNoEzhVqCQ2Ysb03ikTdqtROp65aonCOLbYQFfiu2n3NzEOxCurYMcr4H/w/ch+rWK9
3oaq88pkufaVvuC1VGT7SgzxRUVUTJnVjr4uyvya4nAgUArGldEE5IRj9oI/KJtdkPfpihfhbLBU
Zvq8YCL3i2Kg3JhlvuVAQ5iAOmNJr7os2XclMPTQ0j9BdSC/q5ZlUxE67tLP/qwqtYaNnKVHllx5
RlxUeKIbUUwRC938qMmm5QSfEf5dkXfoGlhRfBvXLYlkQesT8Ru4RpL/Qtkb8do279EEIQZEgWYc
zYKnv1+0t9WW70ZqRZsO2DNVNbkMH2lA3kzZSu2GpLp6C+aanpwYDK/vVgBoYl9ZC9BeAynt0bFZ
FOhr9aQTpTZ8CcAUjMcH11Ai5WcGe/0yGFp0aVqjODupbT1hEqQ/xbnU5eJWBEICKgD5IvfCamcP
x6ix7Qjx2woTBqOqJ52nhL0Owqps8+euM4MTAMFmHxHntw+0NroFq9h6BcF+u4nbsumTUT8ZA7cm
NEPdBYolt+UIAysPkmVXJo5+0sEXbJtJw1lpgGl3HK3c/ZPx0YStvxTLqxL1Fg3ZajIP3SgiH3Eq
nCiqNl9rISy0ZDjvGdOBwLIjbkc2kigSC/MwTmJvV/F9jVkYEV3bbzPRcS5To+TA3Ly+dkCWH3Va
t6cFWCk7S6OJzyGzqmfT7p6CKotOGuCuXdpCMZri5D1sp5GvT0NYLGs0X9D1OEXjNoABY04eU1Ea
VTXHAmGl6g1weN5vCa1gDh11m5dGt+flNHxCSAQWOL06Ks1U3OlBYj1Ni/2LAy7Pi8p6g4ey80sL
dNOkFPZByLpkLamL+1axW4/kJnAkBflEWqrEz4NudVdEbgLnjZWBAOmp3igLyZJJleHGy5XqYYk7
4hDoSwB4N7sguONmaBz+ssoh5hK6gqVVAJNNtIFaa8rneZHDUbJggBmcdHjNjTo+sNWJtbmrH1Bj
qDdRRWtCt4JhPw/WSl5MAcLkWDoTAcElrzgHSHrx71iVIgc8WZ2/RSH0lKLP8k/6rgjG7IYFee4n
82wTfvQjIn/mouYCwKFAS59AIfFk0ebUINj3scLBbRA82DfNpGReaE0lzYuu2djBPFGSdoM89yat
uEWHPUgS6BOmUFQDU/2B03DcE78DJGUaO+QTKoprn7kF9J6xKnxDM6Kz3pQjfE1rQbEFDb3BdvNo
zuKJ4ZpKuVa9yDRqIQrUnP5B0HQHUSMEVUhm1YOgfzdyRwtp5c4cQ5Ku6o62A0uqwEuCl6prnvRc
B2zT5K03YETWi6eVvTe2d3op2Bm6Qn7arPlXVj4+o+isjkTsuEWbujQAlec4R5Q8haTu0DzoNlMz
cLAkwWULxpjll+r3ObGAW+k51t6+s5K7QSsbhgRwpkEvWn6QFNF+rDSdch2tCLkp+bE1GcDyxskI
cWRvlq6u986pcrTqWS5VEwBHb3V/FvFD70ScUIzxOapWSLfg+m3YAMSdTb8A7HGfxR6mjWXY5Xku
Ot/IjcBVk+BHFY3jOSKcM9nSjK7bhxilde8nXdM9GLroN2obOwCRWgIK6shQj1BH7cMEs/UxaNTW
461lQmm2wSGc6RjrTvQzYJa9KeyQnBKi4HYBdvk9x5vggJNE82QSEk1cEtqz9ORNKmGb7ZJ+pH3n
DOVKqpVebVe/crX4lZa5tgEaihtdWrTXTgNnyWabBf1tZoON7G0w1cSrJJyZIn1bQ22it5v+6jVW
xaHKszWGmHGK2lvBY63OJaX05NR7Eii2TvJC86wMroqit4wz2Ok1RHXo4njXMCK+XrC2IogS8Q7J
HfnFUHMI+mwgqeQahH5TMd+XFG5vgWEK63v5FmTh2pL82Tzmycmsfe1u/QEoor2y9E3zJCCegecH
kiWm/LCwibjJIu/qGkBEGZDQohm1tjM1ILYd4yQIUs5I7VsFLIqsEnPVd0cLqfsSDoTEJ+kDLg5m
dfi+/SSz5Q/SpH7Nunaa0/R+4X3fqYgdSSOhIZ9Bfyf87CzGWSMxiJK3VeMP2MoYe6yTNdzmmBUl
JEo6nXpuUrjnWfC0UIyd9Zwhz8aaleizEmN/n5h2+6LBkPOcGbIA1mdtYXu3E7FN8m64WKqxHG09
frGN9mdYqWDcM3gLnTbQB7MUAO1T2XCDi3jjiIoVpgS94AoQczd9pY4nUQJaoy88umWsEKap0I0u
YroTZLyHtH67hvxljqaQlJiRGEA3jQFcPUSE0c0KYn4yjbY+HaOM8QaL8MzV2gjC6TdDpRMcX/Wx
D18LDXObk5syFxHAVRo2hIOwqQmrv28nhil1HFknYhieWc71ncW8Y2MQD3AjczvxAsQzmwKNssmL
jzPaVZFnoAukB+QKg/dZgfdJH4i9x83yof3ILc5KRmqX27KlVgM+QEbUGH5M1hRtScpaii1Djqea
BWjDeAUiVTC94iZKXINOEaMYlZIEmLOvK4KTYVxN6rumtO2p6sBBJKTjuCG9HLcZCLalETVSl1bl
xZjL7kcSR8jBBxgvPyw9LyiNl6rezMX4YrBOeRmU8A1so1eSxJnH6mY9067tBbDsRLzqoa2dmdqU
Z8lawheRv0pOxKckNGeYsBK6s6SbQbMtwuiiMbHNg5QDevashmG9xw7lHGk8/+qifuTPJnQHk6Je
bfNtMHtZN3R3taPSsQ3SBk4Z3Mk4IyRZWmFEOE3Y3xR585rbi74VtYM2MWGrpo7L3BT+7ABq12pm
RjD9o8ixQ8HNzM9K3+TVKdfT/KwyR7KQnncTZN4h8dOBG6Tg1d8WoZpfG1Om31R08oHxFdSKat89
jDiSPCNRJhjz1ZryoP8sgXpgYsfd3kuZHBfLSY+mupbbDfeCmSpHaD2s/TpMI69xus5vBqvZM64h
5aouIp+aA45E6egsfYXqOjTXvSCRT1qR/SQ0z+atbqPtEgf6nvQtuXcmnfot6CbbZ1A5/xgMJGCd
NRoH8BHTdmzb/KqcGkCdrb1gNcOfC6Gda2KEDiFmJo+iMKezsjj2yQr5F8QAv5QtrMQp1ZgGqDqp
6m1DhAvZ5BvOvSyaNJkukdZEjacGZgPpU03DcwMWncmMpbuM2Qc/a4NbVhNBelWgHU0tS/dDJ+L9
SuvlcEOGopY4HBBIC9mmE9BpxPLVZpxpZAGDQucpESAg5W+YPpLcAUhPYdyBkH+imet3Ia1xFbPY
i04pxFQjTDeTVrenCdPLSZWx/pqSTeUCVqch08Ahg5pa7m0xZBeNimwXJv0lJSp1l5g1eRQi085d
suq4hTF4kZktJxTV4miasjoIBfNDaQdEizVx8xLFcbUNCdPZCGpPwt1znR2FpZ9wipTIGnW4MwYG
MQBU2hNZBA2o3a7dymJh+Yg0lN6aJJCNhmDjOjOxTk66LHvHCc3tMIhoN2Yjo+XlcamHZk9ySLm1
BtH/YH2eGRNhHU3w9O4NLYivKr2pTgBSIEAaQ32hpWgzzZp7yrqFKWwdJjdtM94JSs29Mhl0wzpF
EPS3TqWF+iqdpj3PArdFYXXmoZ31+a4aetpM1BQbizqmgGOGjTC/aSLT3irO+B4D6ngKx4L493nF
OZgpK0E1hu/5MJt+ascB5+UxZZit8g+GFV9YjOLCESJ87aRR7IiaIwtpRSyJsE42aWIN18iJQfCr
tcoWFtTIukLnSNqUc2QX1g9hmlSoK3K4NFVKZAE78dKm846mauNR1dcEOFfjudDydG/Zdr9WhsqG
/B6K416Z95pSFegZTCriuQR7PdJFNRP5kFW9s2O+0xwrs10z3mqV8+6AL8PsoHsGDgSVMtgo8Thd
V1NYQude8eCGUxIg5HwSMfnWcAphLv0mkVscTFvJHkdDpJdhnseN2oT9FhOguCH2VWzTgZGuLsPi
mDipPIKIi3dJnj4kwso4emrqqZX6xAXoYK8UKRAVxjXMmpC5mSMqO0ZX80GXQfiYhvN70dXPuGyi
jcamv8nLNvYZnaq+pVI+CYUYlTVYAI2Lpd6EASpmx0pbv5SL7hJQo3sxa8+5yNrITeeZwbg5PQxl
1u4UJ8qAMDMIGM0gh5StKT9h5h4QZ17PpRb7zAKuybm0/WWQL4PeRZ6c2VxtjUccSF105XBXd5zM
tGsH9uAFOWu6ERP9OMuBjR70mf1OjaZBIrVKhkUpyCDFbg5zC13GmOVLQz23R3KKjMQJIED3k+EW
nIb9iJxSXgXjxU6Y7qGArQHOrqexWn1axBhfOUXQHznGYHJgCB6z0SojojT6ATEy/I0mCh6XKjEu
hLelZ60C/blEeIaWKKq3wFNIbywb7UZfBwZOwXlQIJhzpUnmIS7x/GKGpg2vYXwc6ZH6PGSRR6cL
eJHWyv0SOIzdTUV8Bhin1xeBf88pYxM4CThwS3mXpmpBwqyenQmkSzT2/Tllsd4nCj8nNOj5VK34
iYAgWn1Ky/5/SDqv5kaVbg3/IqqIDdwKoSxLsuW0byiPAznTTfj159F37nbtmvJoLOhe640LfbaB
WMqbNy7Du+CjrcGj+MZ1Mzpq9DGu8yH5RL9DUrPt3E2VumsjTsa7V7su/woyhp0cOIn0pWHfDO6y
6cnq8Qb1VkcwidlIa5PRyXSlEF6uYTuiwOtUGfqJMexNWQxXqUfDts/T6k7omLWm9MYMjNihAJGk
vyqI2lH855h6v1PebH3ExI68ao0Xk85Z024IWeJhEStA8ZAHBT3rVOglwINzyxREsjDB8Y2Qt86q
lmelFJ4j4CfqEeQqQfZ4tkTbf1FaVp1Aomy4fTe6E5LEu9uOJF3GFVBsSiIOXSUDC2enf+e9x5aD
m+rfMkTtR2F4y25KMndjJRaAIrxjrdlBjd/aJH+FGf13qMf3RIvvNINRpfEQ5kwFCCBhPR6yNDG+
eTF/A5mKddj20IesRHL9CCy7ONnY/dOHVr0ZOttOxoZLcvcsQ5aTHKyWi7X3NP2JBTEmzF+6gcxH
8mzJM1n7rjTC2Ed1MEVVTEKXMO+GtH51x8+Q/NM5PJlWFhhGG918nFCr3qmNW8Y8thoE1AVtD3Tt
mAw66FFJYYao2BlWA4uvqexiRaMKKAckJaPsMrlS5LF/oH8yN6lyX71emM+W3Zg7ti1kOSJvOeEb
rhbPiU5R1i6beSwzql2il5Sg0SNsYfk6OOgpqtkrToY4IIfqCFLVsnfKO9ygqV2aRms2HttDSgY1
oT9b+X+oZ0FwbtFwYQIIOt5WHbw5JY4oh/If37JyY6AjgkI8t9W3MrKnaJnJL75Si01agm4eQWao
Z2ZUiX+IiueuBO0tyJ57MPreWc6viBs3juh2trjTvKul96yD23NeGuPoOACQlzg5eNOFVjver0ub
Rthqf1sbaUDLeHei7iKid8QvKxYfm5qiD5uWJkvjl7xbip0of3z3xsK1SnV2hv4EAmksLEH6cQDz
rGSYdtwtRBvxnX1V7q3WXy22qeqSpNveBdZz9nNNl0/xW467AvSp1wKzh6CqTzNwUro3puuDdJbQ
i4UaggzFV84N1w1/ZGcxKvz22pps706epvJH4o40o6cl/jbKjs4q2m/8/Fol3Sau77H9obUno8n2
Doy1sG9u62+4/E519BDX1GHD759o5zVNoUddbqb+Zwa5cHL0jWxU+vg2A0n1cTgqJAasRBZzF5B2
Me6M7GDPRy+BaLULOut3enGrmnvFC9SxYp+9AYSfZE81FOvGotHcC7zBW9fq5/HdieSP9ZJKUDzP
C20ZoeNd6u5d59iMm/yQm9vROFLhsy8LMk5ZnzkfpP6dJRRBIk81CFyeCb4bX6IYU5Mk2Xf64Rxa
lSQoSkA4uzl0I9cPEfk5eQN69VaLvQCDoNtylUbjqrUOCUIjnhuukzWfOk82rXHVKLi1P+P6Whj7
Ifl5ZMBjOwpGh1/gWTNpgTr75YP9+gRdGd2bT4RO79DV/m0b93l6wxy1gt/o7XPkbRtoLITvGlqc
YZshnymdcDB+CnjUksuVVPJ00agdO9fRU2pTeIVUKz97XOeCwim719tNzaJLRD7Sr7LWOnhbZb8m
yqn2wLpfZm7mT4Rjhu7CWpWfRwqcPZrzmMGGbkIJZV89RwtKizrlgk5djh6iz8UpMttjQnqkUewK
t1qNNKYRx0bbAtU75A6h2oVVKvO1O50tuqFsDj7/VbWcvz68WgGCGq1s9UrE+BpmOGgZCrN8m8Im
j/jNULLu5jjF4PgyQbSVZ0ENzsRq7/QfGYHfhNrA73rWOSdMyc+JMhsuzvSq+89ttM3QXy7NH8Dk
Vuve9OXZ9F/jbrsUfyMtETBXdWs8DOk7XWWI0baP+hHTIWJ+/kzb15QKRqXvonjai1EPcvKh2hov
rU+YPmg9MwPUwX5GeWOjfvOpF+iql9546y2mTG3HiLuvzUfnBf0e6a9NWUEBq1LzmUAYVo2qVqX4
Nwm+vuy08G3JdN/EgDlzFDhVAZKkXREWrcl5nBzyO/wfWvS4hK+u+EH7F8SoYx8mbQOkfTG3kpCs
jEN3honfP0SQNm11ydmfDQYTjkWeAbaltVZUYdprbwr1Gfm7Ky+65c6VWpZdbv1nInefK/KDkTXE
zX+1ipFn3UkUfFyI02P3t611oaEEaFY+pTFZwWBaGmhU7rTH6qyINE1U89mm9NHCNDFF746PLCOJ
DhGpyG60GtIfV6PzxAq17NjS9eU5mO/U1SCYT3Uw4TBFTK6c/u2a3vZjR+3VTGdh4qxj662qaSjn
NzKx9yAIqAWxSRvYTr6wu4h78I4n0oVtTL2x999gPlSo01M+D+tSi/71qlkDKtMqdRbzXivf5fjt
6Lu53BrMTjmJlv5X7VyxCAcpYcC5ReyoOHQsiJWzrShzGqnWyg18wTdu15SAQScoRi2Y3O+FM3ds
v7v87jontoyV03zG8hM5WeigGkDBgOLyackQt+9G7exNOzzng8f7cJUUaZUfWv0JXrVubJZb90vr
X+JHi1q6Kcutmb316tutmu2MwhaxAfI2IkpZgJAXVpo8kPrNkU2yR/llx1e3J0S03kPM4PN/6Zv3
2TuW9DD8z8dMEw9bID8YEaP61zjXR72hr+0c8VxMf7Aedf+DvHZH2DiLc7nSzZ9ypsvR387tKWu5
QjnFB7KsXVSKVrZdyrv0kMUuF+Fcud02jNUBqQfRXwtW8kcSMa3AvwPZOfFbpm76/FGiDTGGo8ao
Fbv+QP+WnSPPSDmRBBHKGQqmkHaq4VDQsrTl2x8IFa0pZrdEcmyt4jrim+KLTzZMMYEYb2pEOChB
B8snwwd7zHCpvaUjbZ3Otzv99shOMgLBnYkM54VCDr4SHoZgzn41CAePEqYBafWY2GsEpLOjbYEV
qRJ5R1YWimh5oh5ou0ziElGbDaEdGjnudeROhZCfs2Ft+nhfeh8wBWzUxaZ03pPoVzwNBLvo5a7/
8vbtcBEN/+PIyrxS5XaAiltUvB+TvaD/oCGJOVlODzGPml8tTtW85Mx4HBD2T8k9RUU40V1Xt8Q1
Rjdc/ezRsdHkfMmfHGI+9YDk4lV5sRYULHO2eAa+nOUzdl56ecr8X/oRCnWIpxM9gysxnB9vGlQ0
L9HeZ+42n9LmOTJh4h03pCWNn/ZbF+HMrAdIMvb/fKAw6BOuni7oHhHW6VeWnxtEBwQiLCKU3rvm
PJnmZTb2Xc9Gq+/syd0org3LOxgaTES/sbMnATsyLje0qcjSn+bueR6/XIMn5rNI/9MSWuA99PSU
+jTaWbZraP+QAM1AV5+je1zqK8GSNYxgk5zGlFbML0AfrZp2RI6W7V23UF5+6e5R2M/R+ErLUB3v
F2fTJceS2LBli4s9sMsnH0i2Hi9FdrUR2qbDf0U68BAcHe9VOduJWyyNsbC8OuY9zq5SnfSYCnlk
UsNHJg6ERcjFY14JU6yrPKGkpz77Jk2kZAVthHJ4Hz8W4+LLkH1u7Qzf3EeQ3MQWCm6530nkG6s6
edQXOwUNCXoRduSksu7bwy3JyfY0if3N7JWhb0SLeQZdVMTlrD/Kw84lfVlxvZfuc6aPJ2X+F8to
W5g+IDUNY90Te00g3I7tp1opuItJ32I3pFaxCRnWGZtBrdkDNKFTlMxykjxRRLJyuYC96hkvNALU
V/qxOe2yw0TKfdF/p4imy4oE9mpfGr+Jclet+Z5xAJh6hjM0C0CjS8b4CRoxHn/lnKy1dMbcO1+y
viQfBPjW4Jrjn2/0b0Tc9c24l/4VPwUjQbxZ6FSbmTgmN3QJgG3EiymKTTr2zzIm7X+xOWXidRd9
Tg6a/fE1as5F5ARaS1EXiNXi/Km+XC8JVpmvKCG7BFlnxnlQg1122jrVL73vXBc/Pw1NvBltbqy4
XEUaOml+6SMtwb6JQFFw4knztS14muuCIPr427bgqrLfVlWwECj20dFwI1IOLw8KuxucNmcuGf0g
zRU/skLUElHQ64IhZd2LUh9UsonhQqI9qgtO7GjTVT8WzDrRqXCdf7UXCmlvjSgiRDljH2/3FDRv
lPHTtt0q8ikQfCT4yLLbN2CfOt6cFdLK3tc+tGza15XcozF5IPzxXxfRLb0zULdpXrqaJy6y5D6b
xOjWXQj+dxowJm/dxUFN/9d49G52b4Ow3sy8/Vp0sSpoo7atn7b8Sxz36FBxERPKURYfY5eyp6N3
g/+DZF4UdX/XRuPiTd5S/zUxjVB26HqXfxOCkOhezX9+S1MYZhvjU5IQK/nEyc5e9o+a7ZldsRD/
xTSwduts0XfKVScp7mO7ESmzCsE0mbYy4ILZePTuh+5J2X451q2tH54xWJpjW28K4yJd8oD3jmvQ
SbHGhBEimwgGZkRRpVtJgeaIqs/Ub0N3lPaxgw8XyU9pOcEEdjxoexOOtAHPzYxX1z0rzdii+lzp
7FJkT5CVzDePWQVJQJA+NjLwG/k2WbRdSOpUi9vk/VAL9m+hGMMubRJkn2rrjmJ1ldYT8M8vZ7wd
PXXa0XD3ZbaVOQWffDb4cmd59p0/SRsz8H/RbcrkfXQjQkc5jXAhHTSeIqgC+kpOMM+W81vFDTLR
OzxJis4NfRkRLlnxp09nvb07CFWrk5HxcOIgjPUn0aD32nWP1hPv2PTsPs5JlX+WEOuYdpIO2Cq9
CwnPRDFE014j8ZqPTqDmp6GN4PkZy94NJF8ziSEuCDtLHw9AH51dwpXr6qVUb1r74nXP47xV3Y0O
yQAQGPD84BT8geba9Z8mG4ztH/tU39dgGvnMBIQDsSzeaNO9TOlTox3xCtKf/ly4x1J8ZMS6L/MQ
uIKuVtq2EnKJqbxbDBh5fHkWGGuJeDJhrtOzP4X4tJG7uDlnlFymNWsut3dV/fj0Y9Buvk2NLRWI
lkmXO4HU8bxuM4oY42Yn0zdV05+ld9DW3+n45Q/8C5EbaNZHZf5rO7VNrHlt6XuqHhBz8RwvnrxJ
jZpgAltFjVKDdO2hq8IEXcFCB5BosV/YtFvl4z8bRd+s52QvyROmrgOgQ7TC4/dGV0iwcFIjqs4P
kQ/Er3lPOAmDJa9ORT3DlGN/BPWhxSWdQ1P1h55QL34fbsfSkz/asrqrRQyMNLS/yG7DMsLz39pB
Hut/XocWyZxCorE//RjvEJBsRfe7KqstioqDO8y7gWIZ/SFooggMffxAMHtu6iikl28jMi8dKUfE
gbOC+VurH2hKf1SAqHVb2bt25mV353Hv1fGHnOoP29Z2/qJCT+inuqYqtVkCQLGVmIsrsGZoqekA
1P/pMCAKXx1GK7tRcrgex3mTNjSLm25N5JMgVU/fD552KvP4mFjapoL3X0Fq/Haa2Mhyeo5nHQof
pmo0g8Xp9z1vTep7XOLWJ5IXZgkqariNu1WaawE5Pi+JZa2NTj9XVvvflHsiNGuyBPzCPxhcuIi9
A11aq1azwoVE84AcaNx9f3N5G/oXYStGZMTJpv/Y5ooPeKHrmOYbY8Iu4M6HZYl3yOCuhQ9BZPnb
qjOgKOm8MfpzVcLrVdDzsttNUXQ1U0UaC1lscumf5FIeaVlY59B5kU6JEhgzHcdHjwN6FS/RFSnh
eSLip4qdd7MZVopLc8hNjH4Icsz4iDuJepPs1SAwazKX137pQ58/oyOLlHMc+FNGM265aqlcXOYF
ZQ4FO7GPsmLZao5x6utyZ/W8p2gpx0QEneeGcJafrebt8no8d8YU1M742lNhB51J3/L8CNPUjZ3o
pmdAyfdRyYOdR2uK0GiApNWX5BTWnsdeO9bMdj3oPH0+3lwj4bUvuvyRkUOqirZLuU8S3QkduGZK
68CK9A1y9pvmcAUL3t5hXo5JwfSeY4EbhHG1dBWK/xUwEeZn92tkZUGSdLu2HyicGrZSnygcQmgL
tUcf7d4167XA/Wflj/eHz87FjJ7516exbjTcQ28sazKcnkTNxKbM8UUBIg1us4k1MDkd5GdypnUB
Fg809avP/nNKllHgKLrOmeF+u5rv20NM5HBFoa1tTdRmFiMktcsUcNuU9xIfi6wG1cc4ZPt8LNZ+
V+x1vcLcmW3bqfqETi4oLU9i/jXaputgZB5iQ7MiaZ+ynbU7TmQERhv4YjuU+PGTLCbpvqbuLOI2
EOylpkiPuTfSJBRvIzVRU+5ryInasJiaYx1zlnvLq43kVQ0MxC2p/ZTSwYKpRyWxDxqo690RZdE+
nwnQxckX+QkLCV309bJHMyRZ6+jMFdYLtXfIp6YLHU/FKsODUHbxe8vDS0UCmTjyVlkuAX522Ww0
I3uxhrdcseX1mOUNgTGQXydHRtu8OEP+mc0CESCV8k61m8qYqggmK9kw1uEHRflYoTYr1xPcUmQU
pw5SrBk4kpl+eDwy7o9WNpcZuWSf8FIYVeChf0C5ipsbCfjCKR+ltJTxJjQtAwYLjtMlhyoaVlnU
rKsaUht7A5VyaCFJra+5iAg9Q28NRN+ESeftTABWghzDTE1hPrgrM7e2NESsTad6Ysw8YPJl02Io
HrQgJlHLMzG1dwK/EEZLFw9kWoGH2RSBQhOgMsjqwCkwZQ3twc/Uqn7sbAm1xaXR72ym3k6Wf9RH
UC9nLR/GCOum5rNiM1yAZRsXubNHfi8SY28gv7vixBT4hyqZg+yZmPxIkz+bvofAtgVdqY89C2Ff
F4GhjRtOhr2Fnm7uu7WJKM8fi7dGZgc5ZXqAUPayJBFlbHb5XDvoE5FPsBniXsvs6qPHkca+Bt1i
IYbNDP3cKiBzjw9KJwt/ZIClZSR79GAnW6xZ4ZhBAC98iwCjeJTWUTQFhJJtrMhdSeEhI6BEsRDY
yOjnHdGEuwDzeWOBmWBH5fucETelYzaukHjx5Tx615cobAjuKpaxDITmgGtk5Zr6j23T6Vy7uIcS
b41WK4inx77eBlZVnXQPk7HByVL3FTIlkw5u8WNhLQnm3A4SG+Zf95BMc5XqVPoVAhd/3//WDOIN
n1dbRr7Q5jiJLowWPbSA9xrDOhsQAC2ejVWsyBONO/NY2cvdyqwdsu4tnSsvJH3eIIfPDb8cNYmt
1MLJr8FEs3GX0CUdD2KLY2qNlyyEn7vpA6MqdKSHO5B4jptbap/NiDjUgwA09IWFAxuGSCCQ/TVt
uYHNDJdI7dm3WN/Gaj8wsVNeSXGkMxHpSt183+F0Nt2tP/17WGtUwz8N90OPOJemb1WuB4HZgf9r
kLuQDozCdrwgere/Z+K7UNp/8exxwGIdtpEdD+7wUaBxtIrsMgLQDVMCN1xh8oqPaddu8fJD9AyB
mPKLbdd7Q2KJq9XWFNkz1m/wUEha+Pu9Lsy9Yft/rUjp5s0x3yTVS03q6INpt3QfTIaXYvKHvYQ1
LyP7WhvDGvc8n7IvaRdFZ2hxIDnux6wBxA+9+8Ts8TkiIgwirb0Vcpogh/iBlQm95L/nTXRaJBa1
cUBPmcR3v5rOQyFxD6L6dxqib+X8cB+pegvEDK2RYhWkYzbNoBi4HGzMiSiuH4SKRowALsdprKl8
nT/NjBprT6HmIXuBaVvHpJAWkhF60A80fUAFRA1pDA5C7g6eNUyGiTIwJGsRS6rpL7uHaHN2+zOd
0ltijY6unOUOou3Hm6yNk2anCZQR50nYxOJdj9VGRp39NI418KFHukXts9N4axdqORJU/iiyMt3W
W8eP1bGc2eXxpeqsE6Lrn9oiYgM3TlaT/tWW9+t7y7kj+7Ohzs62e+bC6jB2eUglKIlgycGJi91D
BsPMu549pGgPEAhMSQDEGGYHZjItK8uJaRgFgK81bmwPIBeAMn5chppp4otHZdbNqI5oxW7zhFGO
Pr1MEKFRtnGItmEzmVR0NzRGwt5vVAH92uMlr6au3tuJHZiEKbSTw9BtA6+QlrBYYOKD2rpFhbpS
ojXPKrsMJdkwz9qMNT/DSvdUN4KcUcKaWZP0m88L2hRlR2Gt96CJlHkzvLrxNpSUDtsyTbB0Usv7
nfXeP73T/SfdaeEgDMLJ3hYLGst0Tn2fud1rjfzjnRSdYjti3VqPjkQTLZAJWeSd7iKXGppVW+d0
21vFpRbovxAQkUO7jZK4OtmSkEAsDBrbjvMhld0eKY35XvJebvEXpvjFK0FHUpdTSphEF8Kv8XjG
S8IzbSUmSjyAPJOgCt17a5rO/DDm2Lua9lzmgZw6c2uDaQeaR12qUYE45CrKDsp0Do1PGIbd4aVe
zNH4X7XlDoNLeW7JAtn2CxSlif9yBx87hG3uIl3qUetNAlvxgB8SDVGFDd7J+3Np/pLGj742ox7G
8lzzi75Q5FoKMXzcDHB9WRwd+pSlvszlhB/VN6GeMFI/I0lL9jT+Ilsyo7QFjW2ze10C0wk84ck6
9YGO6S4g1sXEonPLCODwSC+Jx+vYpO63KB1CSmYJ4ulRMZsrio4Nx44oIeo1BNjj/AL3v4ljejLd
2SXcoaelaKCkBEBKjeW3ZyzLhmzycq0XBHfgSPqSkzbGqKN6cB1FzAD2yXVWOIjemaZ6Ts45ubnL
UP/ly8B6m9YVC6htCh/1tUvECHZhc77nqCXCUeov5TT+NHqXHSrHOJdOEW1tT8GRkznyTsQNV+3g
4TF2yFa5+mnjbh1j8DdLNxof8M/+HVny9EbyC5H21FjwPszq2PWd2sR0Gh11X8jXoTdhgf1y2bNC
4uVBmHXjMbGvFfkDYa2b7Y+OSHLbLpPaVbCmZCWKlNcki2B2uthiOh8t7ccVVbE3coy4MmWlwErw
vye+IomCEy3PWjzLrc7f14zfuU4Kij8RXWzN1kvqtebWGZGQMLY0uXZArqKDS/dg1U5ccj4Z4MFA
gcUb3tmH4HOpnI2flukJYYy5prlHHhrMqIxi1TDtlVmi+xBSvqpJ4cbwPeA/3a9faSNkMlUax3OO
nUVfFZndbe0Mzzvqxd5GE+IM2/rB8DSj7/7z064IH6YvUgBUixkxJxBV9ExkReNMYBgxw3SaeIFB
WSpYLSdPRZTVC38FJ5MJ+V3rpXwypR5zdk4PGlrEOOvAFLa9Sn9JpE7RNI8gQlXuY1Boob6StuS/
loYCyKLm0xhW7xEKS9tpUc7ctj0ZD3OC0tYDCc0yOV806s1SsPODTMdLalAuZ6eEcGcuQ4XrN7um
zr+taLmX+YR35axScfUSkuFwYxLE4U8zWj+0Nbu4qznFzeYlY4SirCjhFKVFfbw4kVPd8snyuIuo
TGAZtaM9VaePNAnDedUmCaBJAenGifhN55GPH6QX83VwS3q7auUh1AVdWE8mTcM+26tk9P3IZ6PG
Y2mq/fhKeECiNnz0bp/2S8ubD/TKMCjrdUn5F7WyRfxj+fF/jCbL2Ziq+qMAE7Ln17howLqjVUKc
RkScAe7yOMBtytlWRtFfp7fFsy696HeYhRHDh0fp3o28S8T19zKOdne0NYSFpUaHGKlvPkfJ47wo
FiOcnDToo+1sMc3aHubTouvV3rENSP2YavE1A0/mBHoy+gYhzFLIsO8KYgzwuTY7CxNRQEAu6Ooc
z5AjWat3mG9BWbPJRO0IZkXjXpxs+FrjvUbJOFVR3MlWZvAALprhHEfSHNA9sSSciu6j7D42mEbW
Y1Th9bXRD5uMZosXwc0q0pg1QbtXPmjMy6JdPrQFptseNYtnwvlvnnhaBjMNFQlKqGHZV0hwRkOS
aCjZO9Ctxur/Gx+BJKWo+6Dt7Gjba50N7pO1Gzn3xIa0XsS0MRolUzfCqyE1sKyUBVMdxgnmczx9
RI7r5FglkcCGi+SHN1/PN+hieYdkiYMImnvVmSn3EI24qKEpfCZ5HoHmI2sp1tyvBbvDutAlHeA5
NRwMcD4AVYQPRA5FFTTpTDrRQxgY+cSroLZrgz7pYnQL4hZjF4mDpEEuIbshWoFrZTXFVFHUrdXS
nJtx+NXJ61XPgoEMBUKUXbvRKvZ9Z8MR4VCyAdFpTkv7iRh5zY9eY80c/0qucmLALPMfbYY/wFh+
2Iwl6xXTfh74EcyfH6uDcv+h4kVfULZmQ+aBqSGyJaCYG718r1rHvOFukB+EAOG8fUjmR8/8bxjq
zArTYjQY/AbSyGKSzvaQBsPeW1Dc2ES3XtuH/jEzAalcdpvQHfJyU8TcwriyMCnbvX9tCxMtY28c
i3zqL3gEGlSWaQtoIzQcNk3x4S3Fd6x5zRebq0SdFOcN7z+TieookQ0gB/Dwe1mSnwkq6GBlGw8v
fZ9fmkX8RTJ9zLbO9I3M96eZkUFNrXvxhTadoyTCzUsfaRu4equGkJQ7OyabQfQ8IHisgKkA9qdJ
PBhzX9N3Vp0ZX9EU0YYoYmKlZ7+8YqB0TqUkvGE1+mMCB4qx+a1EDhvi9wc7oMFYO5sJEkhvpDZ7
cFwoYrwSQaaTV3Cqhcj8Wxr78NU25YdzLAD5NXgSQS5LPPmf7YByk6AKsXGc9BKDbLfSCGLzIxpY
JQBaojqBHqCK9JdSzOfOGZ9bWwIQNupqjdqp6vL2LYqcDNlDCygglXW3EF/DgvTqpzR7Hd7Yfh0H
iqsrt3yjeyA520ksXx12EPb4CbDWwqBOyfRtbupnjFX3wsM9ZWOY5B7nOF0tbfs+ZJN4KjOmP1to
JBmlhOrkdj1+thYC1W/MOPcFf2B50ZvirY0fJrHZhdKqRs2gSoTB6JGSVAatXCAHPK4MD3RiVarh
r6jKX93OKgApJELCgYZuyaDihcliqYLG0shh0HlMo62RUn9LCayNmp+Op9U44J1WzKRB22rVVqTy
P1OVJJv3uXeeh/hRtOAjYLAzgtu6BPBwZkMKCOoiNa23zJ20arT7qfJrYz1lpWXAs9oGgfpZ/0c9
eBkWOdNNsaC9Lhb3OwWN21R1+tk0FXaSmeWnKbRllZHREsjZbQEQFvgOj8iLsJqT8rsp9fKLiLSH
njsHmQztDtbMjV00+MJuOLjNGQbSkm7zbJiZwWavJ+1Cvlp2B9Jg6+QaQ5LQ02ab1olqd9roO/NG
drlN86c3GXvKEUfe/shAb9jNEYE6MVrxN/YPse+ahnCJwUA9KMbc2zgkjANO6DoJj5ThXo14lN8F
r3Yeap72Ps7iX5nD9pIbV23I2iYtylXOr7IKWQeVOV5G1as3fgoCaNGjkUqTR5IA+ausiP0dCveu
Y5BcF5HmYkcyh01bQOUzdic4HPQ3K6GoZId4xKb70/tVHrcEy44bqpLtedOSx7S3nAX7b+HN5aWf
wd9a1+/5Qw7bkwU3TrlLdk7y/rZ0mPsY5kwms7y1byX5gVCusw5XyvC0yiuJ+x83BhQU3wktjeU6
7QcXDKV9ncXo3TTKSTYqUeUxEtIMmWxasE6C5T2HCP2Vayc+hbJ+95s/ctmQnjAxKle7SiKlfsjG
mk6DbaujZfbdPp68aA30A0zpD+5O2Iu91kp9YBfR5YlXrA4Km2eNWKxxJxAmnZUv2n3qpd6+6Chd
9ewM6+o41MBmhg3RMVWXbuRoKRUAG1Cl9QCNMRx1RJIA52nIPB8HR6Ri9UGijQhyVzpPdWW2n7ne
94e28/NbP2XR2bRU9q67dNeaoyaDMU/njZpzeCcirQ4ufAbTobQT/CfdfLAd/ZuyZoQ7lrfSa7LV
y8zX9gqz+c6OTRk6oGNB5lrNDogEwYKpc5x7fLQosczDWKXiS+qtEcxOOq5Ngg7Wupa95v8v7UIi
iIkB6x59GDKcUg2MzTeijaGM30UOH2LGcq9n+vyfB3RztCa82zDx9YH8+/xl0dHU6cU0nRB0iyHA
mQLv3Jf3xUkJgBFglLaGjEwT2b/G7hiTmLxWvT/Yf+7g8E4ySwc0ms/PWLjMYIKoWuEzM1aQ+WCs
5SH150eGkNYEU54+FOuq4PBfxiTs0f+T9cN8NkQ4h/q4MTbe5NMPqkOtyn5uSEcAw3LQtZTOEPL2
k/YRNe6xcw3zbzSxN/eTZDkaUm3ZpAzhPzmBTNfZ11GsJS07ANk9JzkZV4qZfwkr61ddMsBQMej6
TA65IGpNVdFmcmMbGqLVXho3d9a5mHDLRFZFHRlyhnvud9GHkE3yxsThf/S1vQDbqoV3Dk/zxpkN
N+EXo9y3rrSzbY3BBuMfzmKAobZ+T9qhh7nL86AnunQjlSH+hH51kDkueEuf24IAyU0ZwxY2fkzm
JmlUh7oBytXcbsSDyQROwlrxYY8tsRE1Xgrwxjl9p9BnZinBG0nbs6SjfgHWcYhyPQqtAlxJkDsx
g7N7A6AcKq36JHAvX1Ofey967d3wqV9BY61OhFd1r0ii+yeYaQs3YgyUZeTR0cfch4ewjb/Bcqio
17GseE3U0ePSxOey1L17W/TI3IoRrGXpnBNPWkO+hfVbtJ2DmUCWu6S0F/PomHE9/EyuJtKwzrz+
/0g7s97IcTRd/5WDuT4CJJGiqIu5id12eAk7bWfmjeB0Zmrfd/3686gOMOOMNmxU1TQwaHR1By2R
Ij++37scOzewQNzt6KqGxHWJJciwz3o1wGuKsbdpkZS6KQm1dTyBOZmT3VP8omjy1x53bnHIcdlF
7Z0lMDpAWvp0V2fst1tHjvomaOIBcNoSV5VEADll/nSY4cY/SLqmUPCbdEdNSqQLAoSjlcw0NmNV
bGzPsEhD8HA/TaNwm86lsZldd3DBmEzo7/VUipWrFTZNielAuZ30cxuBxie2CJJNLuYnMQuaSJhI
CSBTP4D7OUFJKv0yObSW9ZKEHFRTOdF9aKpppvkZl/XXOYk6iPV2AX0gG0OCQ8sODyfXEnfaqnuA
d1vehEQJn3wTM6axhyYzdvTjcPeat1nY1Pt4CJYRvEe3TdsftgXm1jQIBGx4ZxuaBtm67aS3zeYk
/UnUbn1MytjHR85PB7VuBL3A2lXW7SxLjbS7dnZlG+ttyj3uMivDlu4fTalG5VQKoeXckKfjnSrT
6ajtWzzxDTC7AcLeFOGDOs7p/Iglb3GYi8G6s4Sh1p6O2zuU2vmutGc8jBqLCElupetSSf9H2lN9
gFVSO8zC3KOEhcDRsNtHcYT9Vg5nzsfMcJ/qwsIJHXQdBTmcLaL2iPRxKOCa4WWIm/I2zjPnFRcB
TNwc4PwMn8eZP5lu3zxWxj5s+FYV5cMGFX+/UaOVXc/lBHlBJCwnLA1Jsu7xl0kwtd/lkxUhZQ/8
Teuq4FHEdOQ4PwzxZNZGhoy9NY6ktVLmc0rsge2K/diY2S4ac+uOr2DpQIFsZiGoKC5opBX0mYd7
UPe9q3y9MhCh7YF0061lRuHz6E7mZWZ29ZesY4XAusigWCoStg2DPmkqTQMGZ1jigYoXssbjBKNZ
mmJJXn+3wqj6OUyYBYHHdyS7E3FXBVl5k/fjq6lUcENVkbGuYDV7NRH1g5rzg6fK4W4uc3WFLhjj
PNqQG9U6+MyIIEdIiFau1+zwZU3Po+gr4p8D+nNeBPgVtQRBp0WDTqfCCBha3zzAScZIGZNigpBz
dD74OuyCho/NArZfeuqUmEmwLGD2sGkC1GiR28xfk6CTj01I4TaESDTyvlUYPmpvlzoyO5ggWKs4
mp7xdAMT54aMMYcyATBIUNm40i4fxzHhkKJsoSGEDQxy+nEvMU/8HUIlW6XF4B/MDBmpk8HD6zH5
oBHA/caKMNWXKhkAwL1oR3dM7Dv2tsUbqbhd9q2Vi/xylXPybnPCFFAhF9hVdfX3yYSdGzn+ja8Q
tftTHm9qzKZgr4S/I0rXlbLGr1MPwbiufXEIh/SRqqlda9N4SAUF3CobZPXcqRTajzVYxy6pf0ly
OHBMQGx/7dqoZfVkZDe2QA/akit66+Jj/7UqU5BqKSDKlRbtrjD6lc2aJjFBck8lmsiNTUjGBXZS
xkXgywbZckgnyJS46Lludol5H0SScA7s5YjjrHJGbf7gKgusJAzYKmMr7K3B+liHigKukpba64IL
8SCs/imIc/9GN119LKK833JBgtk3ZNEDzQ105DUM4Qjf4nA1o49azXX0w8ui4qov6vQKagZ/Oj5K
A7Y1UKWLrrWOaVKCt+gWGykR4GVIdSDTB1zIxKGbc+tENwiOd5PDSOsRK8DaWeYhsGIKkbl1GnDX
Snx3BjO/Yc1hvBCGv3DSgLwWieLW9QX0iKggzC6KWrFpBBgqyAdue23GaVka9krLnEodT2lfZ2I7
osbe9xUJU0FV02t1CwB2O6/WzC5hYl0j8Ge07avZhGUjQvjHcDihg7UFsgsoSqsRJ629Pbf3KZgK
EEn2MHbyLu2CcmsWwbDH7NN8cRdSebFIDPl6KCGlU0PSdcxr1Rs/rHSod1Ejx2rVy7LexrHVX3qJ
O+CTH7+gtvbXnL2weW2NoDeozJ3nVdNVOEtghh7jIvzm+l3V2Sa3L9xx3S58weIm2wVQLDA8S8Zj
kRdcNFoPUpPBVWATypK63oRN4Sk720dz426DKa3bHdQ0GtSzN66FMrhE2nC4dD3SzhzbKw+x7HTU
U46rly+9cNn6k7sQ3P9H4MyPIFcIwZrBVldlUdjE6KUtHue0UCH403lrDnbb1r+spg1PkdL6zg9h
E9fELd2Smbb4U/k1+2SaxMDl8VQUUNfh7aJAQlkTLuTyFr7HTzrHzo2fj+GtpdEG5gDLWJrgx2WX
6S8zpMsKio24j942bfIAvWU2y6eK6LdDiH/JHo0sEn8VmLiPEHc7lFiiqmCp7yjS94aNIqixwHDh
z6qNFMHLwJ39IPtyOIV4JW3iGm2E0VXRemBXXiejp676nMwod8yfA4Jnd4GH4jeZigG1UKi3rTWJ
L3VB5Hk7UFdZRpvu7GlY6JhMayaLb3GgIQZrg/Xc80kJq/nJ7ZbG6myjq4lnlKb4lTzYfevxbZuL
MAEuPt8HpkVD06PjoOxxJChy6mN6mrWixdjDabwLB3Ad5mjmYuwU0CD5IhDI99tmjqavaDuatdeg
eI5yr1/5ajEutyauM7WGVyFKipwhTSgb2yG+9MQ4rWXePeQVAFSXmsbKHQy6wZhGHWy318dBogtY
yaKiH1cVDYsmDuyRJndtqukqi2ysY/sx/uKX2U82YAzNc7W0hor4vpv88cHJuoJdKUbIqV1Y4iq0
v064rx3lOCXU+PB9PAr3Hrw8esyrGLP+GT6H747hLjRB9aXyTXgesyj28BEo8rX3K3Czl5bbJi/F
ivYz8QlX5VgRaTi41HllPbE+sMDj6IsgCAA8mo8BrhTQ16D5mnhno7aZg40YaUKtYpoNm6CaI8Bl
Q7SgqlVmrU3BK2tn135A4mndiyyG/CH4nTj6DnbgcavO+k06+FQEIwogkCL/MCMrgPcLi24sQfAM
n8ZH3NPWNX027DQyDllXh99TQ9E+AC072MZYX3qpW2zgXMClzjF2vEwzq+VYNdqRqaGkJbIgORLq
CUulb5wdLyncTY73izhcyOBV4F2loubOzTeDiXg5cwWPDJBcLyUioPaxBw98JKtA2v10lfYVlvpR
Eewt7mC7aeqBL8dgMQTBb4KWclxhzx00WymaYh/r2HkYhEofpijAWcEt48WwQqycBsllMNDy6ahQ
XNttdmFtf+vJzbud8JbFSdtCe+xLzi0hd4O88O1fOIX2G7PvFNZ7KrAegjFsniydwMpE1AOI3rRA
SA1P1RjQIMy2qy9racRfpKZGtluhQEy6blvnUMyKKG2/jdhK3hdtgH0n5/eLjpCuJj23RAzDMSQd
YAgksrHx1p2wt9ZQ/fJeiT1NAQrjGidJLH5GmoDxeMI92ro0lNO++JXjLP5iY33XWxiDGDpp1lZa
/gRlEL/6zmI7pw23VXbM9Vnj4TAbCRQO9AOoYaRa+RX3ZKsLsxeVJmLbDWP7Ne+4VOBGQo096FdL
cGJ0oS92lBCwXLRTg9U3Y3cKKze6KjpQUwu62ij6RdYihpBdx0q+aZr63N3hK7RTZdxVoc5uU62q
kw2gBaIKIiwsicpHzTAxx0lBkE8iQhgwz0cKMrj5Touox8Ku7Ui1GNxNaNrzjedQSqAYBO+hrwKt
aTtiOrOt4jLadARNpPH4C4Z5ftBG6+6QFU97XAjrQ18RJ2DC0HpJ7WGYIV/L5lCwY2zk3LCfyjE5
TqiTocNaBPPGWNP7FRlcaQqWKWB4XNsT5Xg0oMLBn4rdr7B+UfpQpDnpcgzX9WVjUFDMRM1t8Ywk
TbMhrPHe1/Bv8VkL7ywE59jy49l20YlY7zt3yBCyq2rvV3OLE4c7vdQEQ+yQy7NfYArI9o+clW5B
+0SoBEZaMlN0AxZ9CeXBwaLf9GVsoY+bgzlfj1VLWCjpqHuMX/EENjl+B8s2bmwt+x1XL/sw1G34
Iy8t40L4cbKei/FH7xDC1xZZ9DvHdA/O49jsrHgodwNhtDsHsAs3q0DsrBnCLp1i7oxkAewkmRww
U+GlhYXVyH06ATfGkb0fceZeTQKddh84dH9iv93OonHhmBKaUbS9+lqXA1DdstlO6PouemH4SJHB
wFfRWH9PDKm/y6mmpViosrjAALjeKNthPjARCIJvWQf7EOZcvqUN4R/cGN2NT3bKNiddGaMI1zgk
YRBvo6Az2FyDfCsmqMmVrX+3ACfrZDECA+jBuydMMDSxMNNp5wrMEOMN/i3QAi3PxrgPzEJeLVnA
9yPuVVguYEqC+ASuQudYF35CI29Qtj6JtidvR6tvVBb2kSgA40rhK0iRgsPUWuCsvEEs/Is23UKh
Uq67jkwX56WmILgjSToMIBMvvkgdGNwpDmrKw4kZBACr9fSrmxv4MBZ+SfQX6pvQm60rIynLZ6fD
c0YhOtt2LKdbQQl0GeMGsK4VrJQ0joNrl7bUcWDpc0i1A9wHFAF5Mm+yvsA3MHR+0B8Sd8jPXyH8
Ac0RdrzvB9VuqkCovcf175IACutK21Oz4/wt9+nM5hfXuYfmMxswi5LRLkoa7xstuXHFPdJcVRnU
X0+RWZFPcbOOaiATFuAa7zLwkgw+ZYl1yIoWTPwD8BVDJIQA15SIrEdhojwj+3o9FgW8S6MH2Ne5
XCo59wsWAagjMA3CeA77Q4Qt4SJMn8J9qAaSHeO8WMfKeOWQjyTmYmxMQzzLXey7wRGmK1zAGZjU
IE12U1uF3Nlm9gzWFWwrMMX11NsGBacRXQHihdvJcCmYstL8PYfeY43s5VGlBp+Unzveye1G8xp9
cb3z0oiaCrkbgnpBRi/GxThawOkjikxv6hliTZiNziGwoZcEWCrUmHy4NGJv6ELqZyvAO5pbSX9l
m6yOuZjLTRjPeHqFKAZzM7jHkuQwk6GHaquiX0diKDXYlAJ+oWG0jTzdJxnqakoDMLzGMLdNiiNw
6JrDujBz8wKsF3uKNCqvTJd9aO0teTtimNxbw4QV1IIIYQOGiCcp3H1WlvNtMyv/3kob84j39ryO
LOABT0XFwaOTcYBqi8OBRTmzy2zMAsYof2py+uVsuOGFwEPRheQ/UTSXuFquRt26m4F0mq3Iq+hZ
5hMZIOCEcDaB8i+14YhnKE7Orlmqir7vy31rgz+DhMmrGSn5IcaMa5eN8GijqMd4Y4A8jG1B8ZRE
bn5vOGhuuTJPcLbAv5O0/OJNo71jl8AIjgbMoU1M95SGRrGDzuE+QerE0SPVNKRgKNDxLCykq/Rp
xrTDWb7oup2ZYOmxGmmXbvTSHFKzJ2aMXBPoy7lVQfVoPGBn3XI2QCZdQg1N41EmGa4VaVg/GtmI
PRatwhu8onnFbZmdsHHHnUNiIdnMZbPxnaHEC9wEgU/q9Oin5fyloAA7Ekp9N+BasYnz7hebCldk
L+ioB7GH98k0wVmEKteB7rNSFIpkZQA0Y8AGJkFmRpv2FyU2gUc/A7WpKzBJXiak41FYMIlbc4+7
9tdQcyys8i7E7BgOmJ/2pblxneQ3pp8FyxWLAoSiFQwlCLz4c1inMRheEJZ8b/C5uBjmcHpqgcs3
tGX73RTgXhflrUdFEKprGmvFvvF7riYopTFVICknIP/oL1IWCmlM2TwwizXuMt4qSegtZqUq1qJR
FT7DHEE12e6vZGtnx0pHtBB76lnTnMNr7nQVtxN4b/elTrK97j258SfgoYWTg9i3J2YrzdJb6H7D
emBvo2KG+tMXesSfEyyzySMo4YXvHke7RDCbHOfq1JiYn2Dlb35zys75EdmLkZaLNkjhvrKO8Ty9
tvzBXasumXb57KudNr36OR4a8ASX6zGRzSboTDgeYZxbr+wAiE7j1CV+JiGGg7vBNRaOHKZ20CDV
oRWd5l52hD+aUVkVVB9VabzWC3O4qLDRySH57Unvdq9o9iVbexTNqx924U+jwIsyTvxoZ1VRT0Dj
YnmZ9DCiIb9hay2As/qye4rgeD2bFG3wcBGbuj2I1crzySKKyy58pC/sU5anyf1AssjJw5Iepv3U
Yl01EDHmVLQMJNQb/l/8NLhCHhwYEhdVB165TgBrYMKnKXTYCL/8Y5XkFZBJlV2wW82PtiiNS5sW
/j6tOrYYihWro3KCHMPtMHbR3fnmC4Y1z40ZnDqs3LH0B19KvcdyeCxccD0LEOe2Gl19FcA3h6cB
oY4GbMhyKYrX2BrTbRIkBZnJ7iIgJwHw3psL88LOOnIUwGr3wk6iL/aiCDNdKzyClyW/MkE/2oRI
dmMWcE1rqxu3XjumV9w1irt5zOTOIAVth0sL2QQqeYoMURXr5hAXxLrgF+cB02rQdYJRNk6Ag/Ih
01sB31FehNk18lV8STqfhkjZ2kg8YnAIje3P4pDSPkX94rKh8Tithwx2CVRPugDQ+UYRzWvbrYst
u0m0bUmKYAiCLgburZuJ+E3Wg6ih2hf+/OoXqWQFLNyOPKougyaIYboaOLSb/Gc4JMuTM8+C/uxY
bDzZenstmC5VY0hg+hh8YfbzBLxsvjQVzscqLu7Nqql2wL3/n0OHVpvc8ZU1ekQcJeM3PejyGplT
+MrpNl7DCoG4gyso4lEHRVVHUABGT112ByY8PfcF+wGN2OIwpO5jVY31qnb5kd7yX8Vs2RV5N1zv
8J2GRyCn54lr+Epkc7THs08v5m1o6IS99Hhalgwf21Xc8S7whid5BTFKx6VE4mi4RK0ARZVXAZz6
VaSos7w23HbYE+foZwd7SYdpcfz1vHBYt+5dn4TVYyEx5lnSjIIrb0zkJay+cqOmiQ6oKabrKs40
B3irb6wcrIxwv3QfdB6rpnc9qEH04WkLErwxefWxAnm+o6kRYQ6b/4DbE2wxjg7uVFhZh7HHSi6m
kQi/yM4udRCgwc3sYt8LjOb8rg5ux0q9Yk+fX1pFj8BXDBqXfX9eTVzdbkiYYn+GU86ewY3dGgv/
Xim4koFbgqzkODsmdDTBQmq6R9x77kYXjUFkgT+IATuiNi71Td03nKOeXOo0tB/xaCYgh0zdZCJi
ShLiFFjxxpb8yOgQaShWXN/sxe85P3R8k5jdsmENrUeCaYQaBf+M5t6ZNOFTnJrXRkD8EqRGAzkO
lplcXCOOVF3+CJYKOq+q/pe2++41U12wS0n8wmcOR5bQ8Ps9AGb+YPZTQDSMbGlw4Twbx1B1XGFO
QNa4EPqQTa5aF9018aJkS9gYDMiJh7Tr9qpx0Qs4npyeGreyARh9eQktB324sr5pPCXiGMgJ78PW
wcmN1HEsNb29A3XiBjOvCGEWnA7i7YYNOV4dLIwSOC2FT2ygqLZ8RGY6LQlXyP0RByicfFovNclM
tORlCSt/p0TvXVTZXO4NCzJNNxv1ga+PqroBbG9jN9oEdqavUpixG8o7tqS2+1pCLzw0EGjuKz03
rC2CFHFSiHfg0cMFhp98s25D3T6Z+tG3zHs3dYZNXEzyOLvOV7t3sJNPOV7bnCYFzEt93yGqOyYt
h17Rsj4qB4Z2anThge5KjHEDaRmTR1h2XUHHornKRwJqSvFlCAxs6Ttd/0VuHhKBAgfDbe42qLKb
qZnY9JviyvJQC4gOzShfaEeHOs8PuGuZsL+7mLaoU71QuFLuwErFEyZJO/ZBabYXuG2xcPEIMqAu
cYfNfkhZmzgHhtXBiY3omnUlLshomzGTml3EhGFDPF+R/6QWQiXrtuU3QpFQD/dG564sbqhQF23k
JjVUEHA9bumusNgwoRyNSY0mKUE8Y8BBvxd8XOyDltyoGeVKL2ukVpHfPNd13ZzMhmzHoNLJPphG
osxD6Wxg6r5AAqAtiOnmseDw2ao2wHW9pOEsUWmv4fe4hzTGTEB0Hjv+ZH/vRrc6NnTxERrRAmos
KMwp1O5VT3LRZrCGl7FPzD2Ke73Tmex+kVqkLi0vpnvkma/Y9WW7Gt/Ve2/wXkJXQ26rQRBooP2E
6Gtt6d5wUY1SArMN3N50OUALkR1RWr0C+zOLvSMp1Sy04JjVOP7OnVAFShK8NjIw0M57pHIVo13w
xZciO3SGCO5sp83uJfdG2OPtCHAPRH3JonqtWvoUZVZwgdAhp5Hfm9vBNqGWNpa5cl0j34wIeUkq
ybEqpI5bjzPCTJiBxbYLOP5an44TAX0hErlo3I9GaCMEApABzZlaIrPwQ/Qct72MybzYMBVcxUNz
2uo0/22ToLjB5yn90U4A3Y7bGS8VQV+ADaJFhSjvKyrMGxps+FCZ/vidsu8bbDMF6IoshhjUcVN3
AEdDD00hjoufPByfdDEi9VgCR4qYbpQuw+ZyTKVcNXVVn0K2nUNY4pcJ748OBX1VO0fGDhuHZBUa
GTaSuMSJbxxiojdWhohWRtyg3NHrkOr7k39hk25CkeVO0Is52MwZ+5mO2A9IUzCbGreeLz2vx+04
1Mlz64Nca5umQ5NwNDjmwDsECVu3hWGAvdU1Tvl1A0Vn+EbcJNBykroYjJj4+KMkGcfiQJvGWCcJ
EsjeEtMWTjWnpomYwhzIHJpz1JMekU+btm/F3k4aFOr1RDoCvcYr9Ce3cZLoRxhB8brKK3cPzQV7
J5w91sD9IfqBjvMfwj2iGRPisWs0R6dVFU0HuDa0CSQXjW4qg63u3d+B1/UBHdJxXK77BlZWKKZQ
0TibYpgk4K8PZRlP3J5+qpq6SwVhPaAKjIMECn+V1OTMkohBWdc21jPMo+fqSHJkR9OfIJ8Gc3Bo
C57T02p1cGM0FsQv8prk29DB0bKVgds5VoZw1wLnsikDEBUIGz/VMHa/A4V/ocTo10jLXxpgdg8N
h2DsSU/LX5f9bqxMbnpBMz+0+boxisBTcLEwNdmA15HGwjsL8f0xv1R4aK6Kmg6lTuWwqZSZ7Gto
uReSyoqAREq3VcNxi+7NTQ41cU+4m2JyFml0K51n4w6cqPpIE2t+UgQjPPDfJbmgDY1t1kXGVnbh
hJQPLhKMRPOn0cHEBJCrfiZKRNwUEps7asWrEYv/gexR8iuhOedz4Vy5Cgpfg4blgltpj84gbi7g
cOBjhXDl0qZlh2eIcDEIiZ1L20oiEkHHnaiQIpd0RzGs73vDfqKFjTRS2oCSylWX0qei5IRA12SJ
YFtmU32NfbizreeswiCCfAC3jpC1sc1lo8AZyOFH/JpCsiwW/w8AahhoUbSWdYd1jXKgcgaOsddW
H+1hz9BEQOpOs0f03xopuy82Nl14q4IsnSoBv4ycY2c9lz6Wy4LlV0d4uZAy+aRphO9c/9ZD0EBZ
t0SSmDMs18qAQeNw/zwCDuJAjDoM4ufSKc07+T2gPPha5TTE5j41j0OYO3dhBhhrwLu/N8sSkdro
eSjsYbXCh6zB4x16uvS9kV5B/HYdy7pSA4pJXMq/zd3CmLRxpTUj1OTcH7tt20bfJCfhKu0BKoDV
5Z71DhgnB4kRDXS1CB/wPX52ECRMLNkWd1bDoOyITY9Wq4XsiPLNu3aIIIEOM9ZP3ICtfY80HDG0
9v3LyrL4VOKeQtiKx4PNmQUZ1hhvXJBt8zBW0JBJGkvc8lSMqHh9GFRsQeBjtl3rlU5TvrdSM20Z
wT2R5+CA7+TZM5TyJ7dV7DJ9RqJxRJCw8uAHYNkL2YlLb4OXrEo2czbhKEYM8cqrEMZOIRu4MWJT
1vKHruPKcO5nOFFQ8qL6mWgYe6/LdHhIQkdxkLDsGpseKs2zmTYyTjI6suWVbUNo57i2IKqIjm4q
KJaUboXbW17s51ZoIjFbAjY1rYHAhyz1cX76uwHtQmuJ3lS6/N9//Z/y9eU+orL97/+y/i9MN0KT
I1yLMUfDplA9/92fd4QtPNsRNH4c2zzLM+9kILloT8UJFfSXYC7XhTV9/3iI/4hM5083tSeltoGO
oU39+QSlmdq0hgoDo62XZNoQ7U03KJmu/t0o9p+jyMqZk0VidRo8/cAXUzyoELwVSptxpKoWu4+H
e29amBDshG3tCSnFn8MlJndvEbnViTOA03TyPwmA/+z3l3/+ZtoR8mdWZXrVqfpO04SgnX/35y/h
829+vgQ6RCbNny+nrZvuC3/z8e9by/MXeF8W+cXP//4vbZsO0/3m/SyL4s0AiH1dVGB+hQXunX7y
rFPQYzAGnQ9F6RqPMVwrGti0z7Nx//HIn724s++lhfDIDi+rk+Fg0bopu0+e7LPf138+WFlmQ6hM
h4mB9ojuO/yXE+/9+fsTXiOGOTMz+Yw0+x7Q41+9H8f88/ddj9qkaPn9gMavJZHS7j8eYFk6/znz
LuFZ+FpYII1/DtDQBS47hZZc64cKBiBuXM3rx0Msc/jBENbZM4B+EwxVBHglyXELHWLVdVQ3+tmA
e5hzmfh4tE8eyDrbvzQsIajxfIroViCpD81FLT9ZVJ8NYf/5zgqRemJavna4DTmqbfhv8ydDvL9u
/2da/vpg33yQ+FkFFpy96gSBsehXNAo+fkuf/f7yz9/8vo+1eA7LqDoN1JgIyh8+/vnP3tDyz9/8
vGVwe0lmphy/oaijQQhj7V8+wdmWRYRgqqJUV6eaao/d6ZMJWP7n/7FotXRcj8JLO/Ls50sOYTqP
TX0aM5z6KZLjeN1zjfCn08ev6t2ZeDPQ2Q6oGyODTlfXJ48OGtnzWCx9PMC7c6FJDYc9L6n7z86+
zKVvajUxNt+L/TC1vKpuM/f63w1ytp6IjhyVItf7pCLccmcHlbFLXy6//HiYd7cST2oNe9wWyjn7
uLts7slEFOxWe9iDkL/vxITD5d3Ho7w7955mBAuLDtM6mxKnbwxNsBDHLeZ6/pUgkHKjvn48xnvT
LmxbuNLj8ut4Z2MQaNa2vujrk4H5nt6VqBD/3QBnJ5+i/VnPigG8Zt1V36Oq/mSA996SNC1p2sK2
eITzJ8DTlzc4l6fspSHab9wD2pbF8eOneG/xSks72rZQvujz1+SnrY9NbFueVHc00q9jfdNan5Si
y4s4/9Kl7Uik0UJbSpztVdpLddBnCYSIkWQHrzoapr5x8JpOguASJcVMCNaYf/Ly3pv+t4OebS+A
xH0FplYCTb2ubO/Hx2/t3al580hnUzPR5xqyPi1P4NsquPAjgLJN293+g1EkZQPNHLp27tnGkgc6
pjINqhPAUXSrw1eZfJ3tT06Sd1+UokfjEQwulD774m0ToLuEK35SySVaevXJ5L+7vt78vP3nQTXr
pp/QIjL5NMVj+8RhhYfSx+/p3QWmlFpWMXd2eVZizVlZxLYcy1NAu2+cySiyMEJcesgJmNrBEf/o
lf3PeOc1IyxQlU4J46WUJdn8MEF/+PiJ/irZ/uOb8Zh1V8lljzz7Ztw2w5O684tT7cL42Icwc/UO
gzW6yOgssx/YGH084rvz9GbAs+8lCotMZTUD4ldJ7kZorrPi8PEQ7340Hr1Kz+F8EecXX8epCc7O
GYLISmvEpbX6WTnuyr34eJh3V8ObYc5WHJ+9M7sZw+CTQD7bHid+DEYmEW96mlYBA3883vKtn0+V
Y1qmdBzmybXPVl+FXwJiy7A8Nfld4v/M/G3iHisM7PtP3t97X+qbgcRZmU8HDXmMZiD9OyqOQt58
/BzvrQDHBJawHIBQ01ve65uS0oTqZREFyM8LgtugE5Mz8skTnA0hTUGHx2MrU47kWHPOXlWT4ceQ
jVV+mmBSpO2hTg9BmH3y7bw3iG25KBHwCzKlOnuONIOc3CGEPAGJZeV3f7jxy+ePX9XyE2+m/K/n
eDvE2XPoxIJHohiijF4AfS9S2vY+XHMUdDb8ZETv/2A8G0RKCo4B2zxb0ggSdA7RLT/1SDBa/Kol
ttfowzZ1f1uGr0b8ySd0ttL+ej5Brqz0SP9RfLB/LgWy5g2h0JKdJkjTkJ9cDMY+fqJ3R/CUEsK0
FWFRZ6eOgXxDIU8vTnTBAuPX4H5Sx372+2dvLC7hw9DzLrCFFXjv/IJE+fcfQCoE/MqxPel4yyp8
87V0bWwXHUrrkyvWuOF+Wl2+t4qldjzFpIMbuGcfe5SYlpE3c3zC19nvL+g3wf37+BE+G+JsDuoA
ZbWHt9tpGCrChIaT1VW3EV2mvz+MYyoHyBZoUJwjtkSRwZ4tuuTUEj2b7gb4Q/KT7+O9J3k7xNkn
H9K1GeGNJKcUlxfkaH95D8dsxI0wP5n3z4Y6+zQqOL7YeU0JuyQRKUN4o8aLub//+JWdnZR/fX+O
ZZpcjZa5P78bV7325rrH5xlaKk6QuKviJ+3/+HiQ9z6Rt4Oc1bDlyFEQeHZympT3czaaiTbF8Mnc
vzcGBz7XYhB1qBziz68ESz8L67I4PdkOhlXrrP/k99+ZDU4Ujithm6Zj2edLGGjQ8/yoPBnNV2PE
YgVPFVpCf/tF/THI2V6Cp57GRzIuTx5udhjqGp+s3nde0h+/f/aSQgPDNu3wEIoahWzxpFafPMG7
rwkMGoSC412f3ySjLOvhcWuaJvCVvuGjknyylt4fwF0OXIo7pCZ/zjMNRjKH+rk4db06OlN5qdvi
WPn5w8cz8c656wr7f4dZ3uSbTRfpNUTBZCxOpjChHu9nhavE2BF1fCOtb1H47ePh3p0YKOzgB8rj
X2cTTxiMKkyLpxoi+vIuAQvNP3mgNyOcvTe/cGDzNWZxsnJ98GYPc+NbvC4I+7mTRGZH2dePn+jd
eRLci7nrC4fD988X2AREkON0VJxmOz64yF6noarWs298UkAse8dZgQRL/X/HOfsuo7EqSqfqihPG
2ROu1b3aWg2W2NhViVXvtgZhKUP2966ay67JoK7yKJK5XpxDGU6fwI1RrI4BdUG17/zLoPukrHj/
/f3vEGcHTVQVWCe0DOHB91OXwZe4/EffqkdrEMxKIzlY/oQ3a9wZVS8wOChOsXOf97+8iuSc7cer
4N3ZeTPE2V2vzOYMmirlHSSadeKcopasWPWTaDnSc//+UBKWLaY/Uir+zZ9Pk/vKkilCwRO0kTVG
ANd+BmfOspoVyezPVubIf7DVUTfJpdiw6eCerTyRG2YqJzc/2QVBN2G0jZH7YVC1/vi53lsIb4c5
2xoAGQYrhM18MuyfMTwFUb069ieN4vem6e0YZ5tDNhcT9DHNGAB/DbxEJz1FPYpGM9iq+f7jB3qn
5HDfDna2tRrBnBVBygN5zI2sn5yp3/R2scWi7eOB3ttUwZc1+6VCA6vPCijTzhxtmQEd9ty5guB2
FGH4yRDvTQ4qOOBr/qW1OHtxbqCmOEBrQu0MpXTCRP8JevDff4y3Y5y9r9pCWCjINDxlNFXhSVn/
YB2//f2zD8eZlMyxUmHyIxw352bj9Rhuy0/26fdm3XFoTTqCqx6ON39+nr2A4q3UmJ3AY/4faee1
HLfVdO0rQhVyOJ1IUiKpEUQFn6BsS0LOGVf/PaD///XMHtSgSLt84mIZPTv17t29eq2jpD9XTbHT
0r9zdf+O2SL/SwRoOjL8GJd2ag+mZ9WK05MnfQ6Ne2DTt7+/OA4TD+OozqvfvPy+lvY1nI1mepIn
WOMBtwb5pkqOP29bWQo/gAFahmqBcXDEl4weDP5gQVVwgkIWlkkYKP7QygcozXYW+lF6vRZ4vtZB
xGuUbWyquqUrNE0Ly5NrFmRlZoJEd2RMHyzJmLaRVGk7eVAkGqhL/c7suhdPLuFJVo1xTxdgtO9g
Dt5UeQ7Jfwn/C+021UaFhWIbqk7+4Nmasrs9LUvHzSTxpaNRryuU8y4n34KWCbyog8vNvsaUnCfz
u9q+424/tyH4W3D/sqTIUoaU7kkqnyuw4lKxcqQXl/dsHMJsT86IxpaDZ4JT78FS+88Iz7/kqvZA
s/IORWGgtFH8tvLLa8xyPi7BjaQKjQ/QQmQn+F2tpyrddeV7LMB0xBtJty1VdIaAkSZLgXTkNOUQ
Qnb3QfdXNnYr529xC5wZEYZBA9hk0eKRnzpENnQJtKhRAbL88o6NRnSncQhNjYhc2GiS0pmQgLFA
+Yegn44TnYsKT5rbVpauXYIvQExzig+ivksrUVFqLd2WxHhdvpvCL15+TB0ES8svQfLztql5WsTz
fW5qdmtnsR5FC0UxW2K9Yfjad0/ayueXVgXX7pgyEEVk3IVDY2VGYsWeRk7fTz76tnpQepiGA3ul
mrs4CtuymSoIVPC/l6OwAE8WZjdxNnU4HHJZ+iTZ9l+3Z2ppUeYK+/yA5d0iut4CnmAFRuP8hPdK
mwNycXJwRJC+V/a3DS3MGTk31l0hmzB73cvBVDnYU7hI41Pc/J1E+1I5xNbKsszbVFh1x1YJgExK
Vfw7j/Vs1Z08kgzLkOKTWfyGeor28a2D4BjKG2hX0Uz3XI4rPmDherywKDxboELVjJhNwD5DzkJ7
LH1YASYTBZhx5fAsTR/ASVO3HMe89jZB2KUybbck+9CKGiI4lRGQtlfiu8Xh6I7mzDG+zAG6nECg
0sFEVzNZJf+7kRbH2LyDcgEdwv4dm4G3CxVYW4NeQ593/tlKtVWZdRBmxCdd+jYrxyn296ZcifIX
Z8ySqfBaoNev0CO+ahZIMrA2GV2/Es1Lz3L/6/aeXpqv+cFvgpjVyFULF5uZl6FtV3pC2sTY0nm7
kUECQtNNa8DKMTUXfIHjAHMzoPXXKSQJLlqKmm6qaB9FJCOsP5Vm+0eJkBxqRVpEx7aXSp+8zHsO
k/AgnWhPOEiJcYC4mR67oJDumklJv1sKPbROMyHxUUTwrKL28x2GxvCun9T4d0LV4OBMqvMISF97
6Dofkjy6ufZGYVCokNTmTjaM4QRRPq2mfT8c4aeIdmyk7lQlEfj5Xgp3ldyrP/OkmYkfaFTYTLXm
/C2Dkxy2ama3EHm16m6ayv53o8P/qsF3/auC0+sFTqTobz/PnTuY5JUHI0+lnd0m3dHW7Zeoy9Bi
8gEYhRISinKOVDE4bRiNpICeUfoGUdHW47skDrNfkLaEe5hTy41vItiqwvR8fMeycw6ptjo8tsRl
ryM9Bl3RcBbLI+xLT4O0KaIVG4vrbVOkIMdrGOB/L09IPiWWVibYSIt6/yQjovLWMdikwUkfm4YB
gYAIgTBNmKbnPo0TGje/JoP2sSr51gfKx1S1VlzX9VBsmVzyXGbjwgRifjkUIx+6sCtiTNHKSMFl
5amlqPz/l26f70OBbwJRmAFJwinMc2UqE4U6CF0kdKAEVPPLEtHKKp91HpsHPx/Qb5H/GD0b2rvp
qGr5dzmKV37GtS+YfwVdmeTITNsRi/AydJAwbZD1pwJ8GsLoTu548Bt5fWcb7fb24l0H1Je25hk5
c58GXbCaEWrxCd6tw6y8ZE73CJ8ciuqzXdmP0Zq7XlxBMj+WqtBle5UA7NvKQvaNsknaeYcCbaJO
Nd+83xkS2SV2pU5dQ6xbwv3gNDaZxlMMZ6jq/6rTYmXSFgdBWx3vPWBfqvia6gIpgz9Ni04TJLQP
MGTcXpOl9dfB3eEW6Caienm5Jr5UqbkBqxoE3u1zkjh7BX6CTWhFX1BsXAkMF21p3Grz1Un5R7DV
y6oTO6UXQZ0d0S5b6QPtk/WA1M2Qwd5dFqfbY5u/J54wbjmHl44yA82EExZ38Oo7fcTeVo+xvZfQ
eJwOt00srQ7tLHOqhAcI8JzL6YNkgxZ8K8fE4FtwtqvFHiWUfuW1O3/lciBz+KRahKEqzlUENCVq
mtVOPJfmxi9Rh+gwAjHRiru7tmEDWbEMg0SwAnBVCHTzRNHhFc6omWbqXk6/GuVf9nRQqD359AXf
nrVFW5at0HYl4/1EVGndVPDGNkFMTjvtvpjkNbcGr21qaZrnHaNItv6avMBYcXWL2+HMquB+HAIP
xUvZDk0w3M0RxNbU0HuQbYSBb49v0RLwOZ1YVOElJGx0HzQYDfF+fDLyH9lQb6CXVs23AYDJFMxb
2uFdynoRzAmbux9sDY4tJzyFvOOmbudk0I2tVQYWtveFkfnvZx7bn1EZUYSR9E8dmp6IxMebZwqf
Qw0PlBGjEUN3eczlpKDv9zRTijWN/K0Yk0fVb1cePEvjsKh2quR/AZ6KmCy6/2D1SlTG8VWtX6TQ
vT2Kxc8DmAVlBkxGFSFGsCQ0BNV83pvVXe7U2FnZUEvBAq/PuWKu0yF2FfcMY1pPqjyEJxCbI2RY
kusoBt3nxJ+obxC+W0P+Fww0BpSw8HNmeYOMBrwnH2HfQfXkHcMFQQ16Q+fxLaYhM2ks7R6ykxMK
TjtEtR6D3nu5bWIhVFDmB5A2pxGv60RjXymoQLPxEu2rCVERnPywcX8sI2enBCoieysruHBisUeI
wB2rUxcXTlNQmEkHzwFXk1d9Tg3kB8vwrun977eHtXADIuYuE0tR6VioRnnD2DaFFp4qD4GtTv4j
yL17ZxqAweo/bptaHJEzv7lwYJTbhBHZdZgZOQIXJ/QVLdih8qe+3t42sbjtz0zMfz/zDuUc68sF
i9T1s34zGLGtGUGf9t+sCM4UjjZf9qGqPIXxnao9Gf3df/v+vGZno0gh/8trm++DEoXdafhk5P5K
4LM0Uaw6+DBQKarsOJcmakPrPN69uB801BFuWolzFq5TNF9IssAZD4xSLKH5Wo1/1W3ybA1t9R9U
23XCb/LwwXpjV+frnUNCj9cQUcJ1wpUkadQMTRycukk6QIy+17RkBeO+NFXEOlS6Gcp1LscoaZKa
n6mn4EvubMK/3r7W518X1jpxRqiGkM0BurPNs4/1WrbwNR14GanZXAP//vx5qc42U1XUI7zJ889X
oMiEbxgFrq0Ujfs8GZ7NQBo3iHb+Grvm0deHFxrXVwa4dFEAfbIU4GamYly1F+Lzk2akv/3kx+qz
0X0qmr8yqf0KyzukBLMEqEYPeKPsNSU6zMS4MT3pb57j818gdh8OMBAjo8EvqE39k5x7L13ovD2S
AwpHfYk9Qm+2iIfzTb3s+0r1T7IDW/FjWp1GZ+VMLbhPTNAsRI8K8pKK4NsC2yytRDP9E+xVdfow
aQ+St789UctrpfJCIQ0gW6bYN2CGRtzS6+GfpNTJfsCBXe6GUenuJBulCFN3/KNukCPKLU+Cl4W0
VFDqEOuMvnQfa5CN3P45iyMmqKT6O78AxIdmX+RqhcBPcGqQwEm/G+UvP195bIptDLMDoR+DFLfD
a5a4WDgeeSp3RMZZeMLf/qRo+TeM+JCv/2rK9qCY6Yc2q160GJ6iYCazuT2+Bc9CcpiYxXYYHJHF
5dFsbOhitNgOTnYXbodvUxisXIeLE3hmYI5pzs6+VI0T/PlWcIIXW4k/hgVlyRVM/uIYaBwHmgGq
7ipcbuUeVqm6INCcIFtsUE4qv7xjlmyqJ/RgUiMQE2x23GZNLXXhyY+QvIg1ZHTyJF1D5SyP418r
89/PpqqBbykreqxEkMvoYFjacq0NYyGCnGkVTAD/GiVz8T3rFHbuWFUakuQu4YcMEfR2o6mrPkxT
EN+NhTI+O7Kv7mDFW8scLkR5XPI0S/L0Iy8gFqdKfYqcXidYl0pYc4bmAU2/L2rfvfjjG5s0/jlQ
Z6aEPecN4F2zGlOA6LxN1wbFk4q0CsIh8HK+Y2dQzzN07uZrEPJk5JqEGDYBZXvM3LhZCcOWJo3O
ppkEgxAGWOrllvDC2C+gZQpPo3ZM8uHJ1j4qqJ1D9Ha4PY41Q+qlIU2edHhjMVQlL+iufZBqdBcH
ejbW4BpLmxwJbZVktTU3hwngSm+IGiiNpeDkJcdKvVtj9Fj8PMkTcgwOQYf4ZBn9JIa/js/XzlP/
ApXE7Wla8mYUV8FwkPqmYiDsLMpGhRKNRXCCK9tH0sNHN8c3+o9QUa7B9RcvQqS0HY1UNBAtMZdR
QJxEZ6ManMZaarb0adE7E8foGHuQJaDogFxCGBwHM9yRoup2RlSgMgTN1y+tb52VVMEciwsRnGoA
SZqLliSoNGHcQ2AW8FOlIBQToImUORo4N6fiAM0eLENWl24zH9bWNkM8C9aylUtqcdbn2NcEazDD
Zy43J/1Q8Ll7tn8yB/uDAl940iFsmBxvr+3iEbBY0/keJAEnvEdQfsgCmACDk5w3f9sRQimT8ysu
Kbg19cp0Lg6IRkzAXvTE0RlzOaCcG9noEZE9KbGDiHk5Fs+tUWYPfdm3K3M3r4y4cnMem+gCt8/i
XZqCarUrx5BdFJjt8FwngHSM8pNRmyOCTYr6WPmlvtOqclx5sixuX5UurDlUdOba1KVhRwrNUo6G
AFhW9qkInF1CB1CD8BL6M7uGMmRiQWdqIaaw9dRm11P9gP7u7UBhqOegQJp7REBGiGiYKMjtYiqS
lAc/qmQaxGE/yrUX/9LGObMhdiEh5mfB84qNoT3mPQyeJizL473WR++4bACoyDNA0IYjVdihKu1H
Sox66EmO7yx9a6Xu20+A6jgAamAEoElB8M2kmMdqNKMUXvHuWJffKYtCif5VbVYCtqXtP7e0WdSg
8HCG4E18NZbGzhvTk0ZbO9S0W8DbEuiht4+GRwoeVOFhroi5HgP9Nd+Ju/RUjQeIgkP7HlFv2Ov+
mxUhaIuGvMo0+txPPWzGFQLUyfBnFEByL/18hyFyJYCCTWZOfHt1sp7BkCsnp0jbWbArOggx/zk2
7/G1ZEzmdyQZsqu0iQcCojJhkjq1SttunCp9yrXmj9aIV149S3sAGxYXikogKuJ7onDQnMFqQXRM
yFPkml9uNES/prR+uT1vi47o3JKw24BLdJUDvfYJCudDBrNlJCOrJMG7nRj3YWjCTSAfpsl2JxMe
7CR80XNl5WAtRSVzepOjRUnUFmt8fh3VipRMycmymz9kw/yUI+O7MkxtwdFT8FBfEXng8oRLUoHB
G1WPLD05pfFFL6ddPIW7vmR4MYxmNk1TiV6jLoVOLTAgBLYe0jy6H2p1d/uHLC4sbwvKvrQoXOda
oklN4U9OTznkIrtaKncTcuW7GrDxOwwRirwC94iQBG8Vp3EYti3eqh/i6AtiCf6BdlA/RTfYfiOz
2uuLgjogiEp5Dg3EWzSeKr8xGyZXqY/OU5OslDIX98fZ54UtmnqWZ7QDN0iHbE3v25v22+25mm95
MQqgFE8iX6Yez/m+vIyrqIUbV/XTk19MP60CjvCtlGYP2mTs+7rZ3za2uANsGlrIa0CWIqInFAc2
L8UB6mjZzzS2oJb3nFjGyuory1ZmRhZkRBmYcBk2Tm7hDevsVOtqCtXt9Gx48PGE0WGWb9DDeF9s
xg1U6DoiYBC55oHyjHQ9ch9Bt3IvL80uZTR4/cgu0jUmzG7qeejxKHTs27TrO6Pyo8zRYEMirNgP
pfW7DdAIevsUU5CBLw00KYCi2RmcpQoiue9ij2LGaZQ+zqAiJ/yuq3/etrEU1szi68AeoSa5yhUU
8L43HaKmJ82GIGSvBAfVOWrd/W0rS8s4Z2ThAiV7zlVwORLLd6QgKfX0RAHxWDbpsZeVJ6TaVrzS
UhhskOIiPTQHpJZ6aSb0FEJtx0lPqfLDgTbe83/JdbcJrO8tEtWtMq5sz6UTfW5PWCAdefNAtW0c
BpStxm9VXbunlwzMGXVoT9A1AWRxOaC84/yVRjzf0/eh/2GNfGrx82BELMJndpj4GEpTZEhM3Y6J
m/uNKVWbopxWTs2KCTElTq59gqkDhG8WNOn9OJTJkxogF3h7fy1mV4mWaK2jAIAzEh5Abd+MlVwB
EzHC1PqBJGKIPoCUbg296+/Ql4mPEMQq92WTeMB8Qiie2zFZwyst7XLS5pRuSSXjq4Qf4XdlmzRm
R7QjTTBtZ9/jabjLkmFlsEtTSkSlwrDCmSJvcLkprCkIlSmdO+A8bwuj9Raa3tvTuWZh/vuZ4xn9
OoP8HAvEn4h9oD38nu/DeUEqHLyNLHwfdn47sHIpOU32Y7Jrh5WXx3wpiPcgBe25T5kavSF6aiQY
uqguiG47/SNq2hs05bYozWy4G6B8dWDKNpSVES250XOTgoPzCbXDHNFr+gvSjZ0P27S6V6niaWvM
N68Ig1uDEzbZpDfA+dKG52Fo3WVVfJfpJsTj0QGxkYceJhZ4/P0HGw4DR2q+ZZm5QzzxS+tFK0//
xT0ChppAliuRu/lyj1i+1SEJRmivD/WLk/QPINHv3r5NaKWgPETgxz+CCaOUzLxIgYnS+hV8sb3U
+2AjCPT1tpWlSwMmgDlsomefDqTLgXQ5mJnRnuLTYA67wH/RI7Kvj7nxsTG6jbVGQjt/TVw+Aiay
QepMYya+V6H89ushBTWnIRG/KTrnLk2c+yBOHn147p2kW3sgL9VlSSf8a1E4bI5UUz+PQLchaffY
IXK9zeTqYURebDOk7Yeh9A9Sh4JGhQSVbaGSgN7e7vYUL+2V858ghE5qOk5TOKWQeCCXqe2CdOWZ
ufx9ItGZTtq44pE2OvToHKXkHvM/q8nfE+Tftwew5NnpU/mfASGwMJq4QRKNVQtT+JwNqI5bOflb
09dYHQQ3QkobQBg5bRDqYESvLmRE56w2KjtIEKaPo/01blAG6dDn8ve3xyPswlc7ZAn/SQLNIOjL
PR8G1WSMVF5PRfSMfpde+DtYCLdt+KMs1jag4I2vbAnPnmrwtFCWaacehx+Z/9vRkKxAAVpBgjJJ
H+v6g7JWKlyaRaI/Crn0X5DlEna83iLnUIZDdlJ09OD3Tf5ExhHB8dtzKPiNeVwEG8DeiGm5asST
3CpFNRohfZi69mBwlsJ9/X107hL1rux/3jYlOv0rW8KI/IZn/SxjcsrhJ0pSiobTSeehH1m/phLR
AgnlRfQ++5+O4w4xioP1ymCFE/bPD6AXDJwiSGyKVZcbxvcAdLR5Cm3Kg4W2Srbi6RdWTJfPPi/s
R0cr6kob6WmTi4+0ScnRUfIfCnMFiySc4qtBCDuRogDQtB4rZfrgB7tJv2/1tz2nZhMQLbD5SM1o
NK0L79VkQGkOEe/s9FeS/9H5aEmR8fR3K9thdjdnl8g/Vmi9BtxNpfUKFB2hSajXGkcq/tPa/ELX
J7Q+2ckDnH6t9KC3T8iNB87X20YXXAZt8f+zKSZikDjX0i6DgsHy2/1of4sLZ+8jd5bkruesZEoW
FurClpDlijxHnbQA92RTbupjC+GecquM398xopmbhSch3YdigjqbLJjRDA6V6nyt0x3qfVLnbFsD
DfXpr9umXkkqr1aM0wP3l4bbFXODdZRZvTw3hiP/Yn1ITvFBO5i/jWaXbL+U+hdD8/Zd+wLum/Qe
UsJoYur7MHl28keUL0IPMa7nZHyOhvsyPNz+aVcnGxK9V6w2nRDG/O/lyR6SspGkwFE/Q0X8vVJf
tMz8/d8sCM6r+Z8F2m8z59N//Pq8l87eKl1FhSOI+P2V0iDCuZPA5t3+/aZ42oQZmv9+ZqGCuAXJ
XCxYiGbmG5/KpPEhXjvTi1bmLs4ZGgIboOCcOqVE+KdOtM/Ig9mb1MjuVI+ujU67y9r+b0l1Dmh/
ndQh+UNB8XYwSheat09+lBxNG3Uqmk3R9/Xe2NTG1jDpJ54TUFx0MEoIjjnOvQFgZxG4rfPNNF+i
twVuV58XBq1PcRP3yJm6lbk308NaWfR6bzOZ83VFHYqwSsR1lXFYoFBvIEA43bXDMRpWdsby92kp
pLJBpUt8OoQZmmeepHifkYLMNqb91kvX4pFPGYgLhecCqhmXG0/NSqWw5Nr6XNWP1Yc8WPGyS79e
V4DmwoUAsbb4TKYTGi63cfA+t/7DeKiGt68tGQp8HhV9/RoxqxS5UURS4rsmT2+Vg/Pmgw+T3hyU
k7uEl0zsr9UCvR4SiQdaSMe4n38ppZU2k6X5OTOgC6WHoTWVMatsxNSRSPOPWb6Spri65VheMiBz
AYVi31W5YfB5V2tN7rtOCyfvZkTqznjHBiW7Ycrc2wpzNQ/xzHUVckG/WYEefO3/dB5Vuqfe6hqh
x6WASKMocjc0Ul5+35CaRhqRfHXxQKN/iCnvTXeO+vaNemFFOAeKNFZNpWmhG2b7ZkT+bWUUCwt9
8X3hCkS7Jsnrju831X0T3qNceHuW1r4vrAK/nNA21EN3/GoFB7s83v789c0xXxeOTV87r3xKx5eL
EBq210yDlrh5tlPNTfKBF5YUbm8buQr/2KJkK+YSAQl8DF0aqcsqgT4HI3LbbDwkPrOPofShQoBh
rRtv4VhwImYUEHiOa6BnGraFZUVt7ab2E+9EZLx1ZyV3dfUkJVV3bkK40cs8iLiJy9qNzdw/DBli
tbY/lo9oosmfnLh169oIv5h6FyOVmKK5eHsul8zzPqCVQIWL5qpQ3KB8V4HwqBCL9a1tNVX51pR8
46lQreY5Koz2KE+0IzuRbNzXRN0ruKSF7QgD3b/mhdFngTzJuqRU7qEcvsfSSlQ977aLSJe5pcdV
5/ntkAQXs9NGORij2miVOyhfq8ktm+2otJu6u3fsdi/597encmmzUAOZceq0h15RRtgBJVu1syu3
TfyNio5wafzSijX4x8LmRwiEQhwZQkioxM2fNFlu27lRuV710evC3ZD+gih447R7ZBNvD2hpcejv
BzbGUXOuALQoY5dzh1nl9kHxuTL9h97QVu61pTmbaUkIiuDTVcQetioLh8mOqsrNHb/77DmB+ilW
GgmSIkleueKWNgOYeoZDWYZWTeF+8JH3lCMtb9xOA8Nvad8lT73rzRrF1dQHG6Y8D162cue9YmTE
HYjCFP3i/zhEwVWBCGobXcJoihY2upLmIUC6Nvk9qcHBx37Xdt/6qP3UT4ewo+u7CO9SRz+UjfX5
9louTfTZDxFrX03Zw8wy8UOasN2Y3WlEXSkvv902suRMzo0IU1y2RR0XUdW4bbObpOd4fDAslJ01
IFduFDzUa+d7aYPyaOa8gSGjH3Me9FlIEcaxERcjg5JRha8auga9latmzYLgn6zM6xQ9zRq3KpFN
nQwj3gzeyjETC4bzy4OwHYA8rIgQ1IsFQ+AGcq8bY+3W0iek2vMZO6Z8csofipbd6d5dHRYbBczS
OxbrzOp8Xs4mz7PqNMvGqXaTIUPv9z7Tv3r9gwwXRI90bJtsSlTLb5sU8///jJSej3+AvRQnBZvQ
dDu0ZTVultQ7WblP+x+B96nwjqW/T4P7Lhw2kfSrztfGuriMZ3bnv5+N1Q/HUSn8ELuB/oye7zcv
W0stLx4wJPUo3tDpQMvDpYkgb+peKrza1Xi/mI9pcGzUw8r0zdNz5U3myZsVFACbi9NnZxIcNS2H
OO3Q2nW2kXMy609q+xHMylapf+fWX4r/LHUvNCCkb1ZjZJuCsaKwAaHjdSnTTyVnKjXOwghNUbtt
ypUNubRI598XzpodjX3o63xf07ZIq+trLMFLF8D59+eb9WwTIIIeJ7ES4Z2gV957ETLxpQ4KsLSU
ZpsOswJ1MgauNCE/e3vh1kYmHDU96MsosRlZPk04kW6T5iuxxzw34s5gYXj3kBUHoCbsPmW0Oc5p
wc4w7xzzq10T4pxC5edbx2HROQuqa+435xknjCOCE00bI712lYOkdbtEXSvOXR+i2YADH8U/l7Tg
0CfL1/2h7DAwIPN9VOVqQ9x7exCLNuZXCmQ0hGsie5jeJ0MM7KN2++xYxvtEPfZrOkHXq8EweKQQ
dPKuvkLbo97gdbqEiRwdqmYn+9yG+zheiZ2ud9WlFeG8pOqgVa0uVW6qf4+0Zyfd356o69uc7zsz
efw/MyUsRjtohM+FwQVRfqdKR/RyHNR8MyQf0/puLJ9sZS1cWlqaOTKjX4vJuyIhphyCvpJq1+7Y
FztJO1gwhtdr2LkVIyLmXOm0ge5gq3aD4nkyjk63q5XPt2fu2tPwXJzTlaS04KkXc3FeFJUIcXPe
Q/L4zd6othS1oTvrg124Rty8PJx/bQlnUh7sAEhCSoTSHC3Y0fRDZO9uD+f6yXE5HMG5gNIfJhM6
MTcbm23UQFBnUUgy1I0KJqeq1p6kC1HChT1TTHaFnepPKtMX+J89vGUoPciFv6mVXWPfWexEKflQ
Dg+DsnKglo7t2bKJMNLIKyFiHAgnNTiq4mcV8mDn2KxJ865ZUS+voc5oq8kysEK0N0Q//OhjUH3m
Lrq9ZivbwhRChaJRwxbSXOZQenCcnWZv7TX6oCX/cz5d89/P7tPBLA27HNkWtn5Qe6jQV4aw9v15
iGffr9qhmby6ZAjDt8HbyvJKCXbx+zPwgP4WcgPicue5DutNz8npQRoG+dNU/7y9BosG6NMhEUZh
QhYLFlIUaHJfamSPom/BISq+vuPzGp6SCxPSODG7UQ1y1EL5Ubv6ANH9Vl1xYou//uzz89/Ppl+n
7GlPA5+XVWlPJrJND7d//+JBeKU7AzlIQCu8FkNP1cZO8SrXivKHbPpakXsi27Bvq7XYfNGBzRl6
hwTAzCxzOZTWlkupAuzkKn20l02fJvc82VTqkG6aNuP1uIYWW3jSzQlDhgW3Ftzn4msgbiLS3aZe
uR0tH6PebyOI+33QzNZDbD32KTPaSSC67t4xpQBAyL3OT5HX0u/Zmllt6PmtRzavj6sN5Xqaup+y
9If9Rg4v3nEEBZQGScLOTGXizvb7KBzBjJG0jHnp694+jNX7eFjjwV/agiqsbnMimcq4WDOT4D6U
MktrXNNChMWY+mMSTmtEGUub49yI4I8LXeoaKdEbtyQp2KqH0Yw3dfkD+sei2t5enmvszDxvZwMS
vHJllV5bRRa2sk+B96Wvk40RHkY520iyK1sfSf80/HeCjM7k7cJ05YJbnk+ogqhUUcwT4xK1o7ba
UZt2DTnYTnX7qHvdj9tDXDKBNtaMfYOOkWL+5VHT6lyJtTptXdJ6m0+eEWxuf3/JaZx/f/772Q4P
+tDTa53vW1qwTcxpI5VPVrvPtONtO0v3J1g0HgkEwFBVCCuVlJbdqmneujST3U0RIllwgiZt/w4f
qNFgDF8QaSwecJfDkcfaNiIpYzimCsPfwRm3qrqpydHdHs5CRIofoi4DqpQGFjHx0vWD5vuBPLi5
XmzNpt9Pyn1f3lvhk1rtyrWYdGETwNjK+5BENT0HItGSFA19VKTN6Jr+z2ZbZX/eHszCHoDPARkj
Wr54jl5dfJE5dkZgDTjuXdcfpvS+mY6409tWXtNul29qap6zcNFM9EEbneAYUrm1EqmbmDO6ETT/
JSqGXWZ8pn9At54QlDTyYAvqDvZea5uP+Q4K163u78z6yZwbnNcq8Iuj1iFQhecSByyWgHNdzs2y
CUe3TY/5tI97IBYP0R+3B724cmdGxP0Y653Sy9GIg0o3L/n0jsc33Hn/DkKY07Aj7WL42ehG9X0P
e0C60d7YVT/fTRcmhJNLEwJgaS1lCNHfTrS1P0rGNgRP/N8map7IMz8UDdI4lSarEdR3A/na+nT7
+2urLfhRnYY2GgATJqp9CPKd1z1OzkfH2v83K/OvOBuFOcaaFYXx6IbGB2ixtkaXblLnQV+rvSxv
K04rIQNNSuKtkKs0X8tBPrq1vVOsrfp24Ni85v9+XxgHmAYltHu2lTIdBu0uSlaeCgu3wcX35xji
bJ68xE4BHVSj6097TzmU3aZYkzlZNEFrBo2sczVA1LfQbD9NgtYbXHPcaMW+DzfmGi3a4iqcmRBm
qdSqIa1Tf3TT6snst1P5+fZuWvu+MEtBpcUGHJQDIJKt1e04d7e/vzRFr+JLYE1RGRCR4vJArbBr
1Mk1zM+R/PdYdJsoWsF3LESDdDni97m14GwUSSTGkabmISxkF1DrRlJdH7XqCFE+6yHshsPt8SzN
l8FSA9may8ViOl+piyDN+0bmWfKhlqVt3a01BS69Q3ggWsCeKEJe96xW8jTkPm8U19ehF+GUZ7Ei
b4xG20ZW+GxF01FS67/mdp0pWgPULcUcjIsWgpld5KpJtTGMxi9BN7hOPaO07ehB9R8S/eB4e/WN
7dKvTh/hDiJDGkjmfoXLA5qGPaxfkq+6rS7vWrCK1Zpk3nw4xGjg3IJweOqp6bzCwkLf7/yn6DD8
9t8okf3/BqHBdsPOgz5EuLn6MUP9I9cVV053lrfN4rvIX3kgLm05mwcpJTiKVDyJL+fJ8jx9mIxg
cnNV2qD7vWmslUO6aIG9DCwHoo0r3XUpkooA0brJbewQ/rho8/P2oVlyAlSfDBIHhEGM4nIEo5Jo
jS4TWxpNtFfSRy+SoBR/xzSdG5kHeebvad4lXdEUozt5Gw+l6jcKr72u9Pn3hWWAlGaKSodBaP6x
kbeDsbs9SUub9fz7wmZNRtUzooz7yuF5pBTDxlBPjZHuC23FXS6tNiUCcvU8KuieFOJFTfW8sofh
3Y2jaR+pNSf77UMhOQduEM0l4NNiJoUYa7B6re9JQ8UHJZcftabfJIOxB5qy8jxeep7ToQMpPn00
oF7E04GAjZYYWtm7g1dnO9kZlE2e9/pGz2x5n6lpuNU6td5aUtUcSr1wTm09lF9UM5PuIOVSt2Mn
D2saXgtLefGbhKUcDRksDPANIvJw26Q/O+lzqT7Z8sqbaummuLAjXN7hIKWlrFS9q6XZZohPcvQC
RetmKD6VNgL30By+6DSu396nIlXKfBBg/gH1AB50VogVDoKhkHutYr9zY03fWFA2qdVmQjC63BfD
0fKTDRx+Wzn7ok+fKm2tk27hrlcpA1JRguKIHyG4EolOUUeyrdZVnD9nem5Qd5kNafcHz1jBHy8u
4twQjmwA9ORiNqGm65tuh6xzJ/V3YtebGRNTjNYmKt6Mp4OpG6puMKRcVjz5Lx1XlNQTRHFt5/bV
AamnYNrfXrAF7wvAlutp1tu4TotYWinRUTz0blu1W0Lm46RU20pbK2cvmUEAk6cC/evAX4RtIWtj
mpd6ObhhukvDu1r/rLyRavx1552bEM5VVYUx3UOYGOA3lreS8mCtZRDWRiEcKS1Sx3qYMKFJhzH8
QCOcsraFF/wvaRC84pzwRT1GWO9gVqN1sOLqx0je2W/UQP9nkv79/KvTOLsHA9XKClnj8/1XW39q
4rc/q85//Wsh8Ozzutmkg4cP5S7fR9KHzNpm/cpNvnTyzibo1QGdmZBzv6PhkzXwv1bNZso3cExl
aw0zK6sgHu9pajKnDqrBba1dH0U4rV+3j92agfnvZ6MIlaDurPk86MMf0l9J9vsdn59B86TswPeI
vz9oCt2uc061RMd+Syun9450CWXwfy0IA1D10pfrDAthsVXvtXj/ngHM7wyoLuak4+X8pKOqZ1NQ
924xlVs5TLdrtaqlqwIk7P83YAnnrLSTztY9bkfbekqS7QD6BWnmnTRscnsFEP4628JLY2aqI8v3
Srcj5oTzIZqcCfZwN6lcxdj73b0WvTjFsVM/Npa2b9SjH5b0SO97mm8j6+vtqVx4tc0BEM4X1imI
eISRFr6W5ZUalq4Kc6IDJ3A/07/iJqGYKyBLmdbWbmFqyWjiwWxwP+g+CF4SUeiGPziFq6Tob3l3
evAoVcOmKoNNbK41Ss+/XpjbC2Pz6M8OUmlrnp9qduEi47zJs4euPUj1yU9+xsGLFWsbc9BW3kNL
83k+PGE+E0KcNgi9wvWy5Hvd4IAC9dDU4wPM8ZsSJnp16t3bS7jgLcgfzWh+tEp4SApBeVg7pTPI
SuGiXTj+zFe+vuBR/4+0L9txW1ei/SIBmodXybLdQ7rTHtJJvxA7O4lEzdQsff1dzLn3xKZ0TThn
IxsIYIQlksVisWrVqqvRhbNm9IpedA5G71+z8cvkPGjpzivOt6ewhgG5kiL4Zs3gFWZtQMo07Qd0
WTLpexPRTef9qoGh9jxfGXekeWzA9nVbsmzxBEtl1aOb2yMEV6hlR6jvL67Uq4lxp+FCA5WmYfmM
YrojQAdt7keyTA//96KGu6iLAQgQnhPISq7HJ3Het8iql0fL/UbZs+4+1un3+5cIVYDwnEEMivYw
Aj4na3uHGnFWHbNnZd5Yd3IKcafDvBxeUF/VSVCkNOXVEW1Q+/5r38mSEGtbjDsCaXI4TKg55Bp+
sQXdgKYGimKUR/CAe81nUss4YNdMmotqQzg3CILgbXwtoJga9KDHU+ZIy/IJ3fy2bdL4qVX5UeOG
eiXrS7Z2IjnWAH2PTAA2RAuK2HTRopkWwAbuQSlJkJcgMlKPjuRtsaJZFqCAJvJheFksSoUyqlRR
1RTsSH+BTKD5F6Vdt/VqxVSi6hsXgY3eP/qi7T0ibLPSzhk7Zkma+rViPpZDGiZdtx08bVNXLQqw
7iaTAELjUqZw3FPO70/cnB1Z/pMoCkh3/iI0eSVBOJC55pBCHzCrCnQtbr5NXVnN4Iq6XUkQ9Dkf
3BJMLZhDWjeg6N52va/WOxQMOPb77R1aUwFEV3lFEK5rEPlcK3bjKs44kIgdrfHotp8Y8Ttrd1vE
WiACxDP/lSGSO4xKz4bExIVZN+DPjQNLOWceiGHtzyZ5zfvPCfts6bJbesUkgIIbr2YQ37sI/ggT
U8veTmdHh1/gbkDqaLSb27OSjC+CTmmrw6DVGD9zP5nGphl/3h5/xQRcfr8nWJy4p7VmR2Z1jFue
oNLdTZo+Y7H+NynC1R/FfTlE1ICUPGjiB/BcEvDE25JgiWythKs/1RWWdS7m0vftV2aUz6RK9rcn
IhPBf7+4AZC9Zf9ZrioOG6SH2+D2+LLtEM48+gw3ZmlgoeYGeaNQYY+R4s+y0yibhXDuCSGtylRI
caJdngW6rCugbHxudy5WqSs7XS0i7grh6YkKQ/QDHHGTfbm9VqvW68/REzsc1E01232OWaQs6NVn
HUX06jZJPicySI9I4Modi6tDIhzyEngSw8hxCD1kh2iU7IY5y3wXHXB1g5ph6pIqnFN9R9T0wVU6
X/ea94yqe6aUz0Mf6UEfO99uT/62ogAler3ESamBJ6PAEpd5GBcBeP/Tbyh/vC1kLcp6MXF0ALiW
MrOcqlmKE0U6TdvA+cl8UkXdJm3o4MdVNvvwxw4pNjuk8Vz7LnVHv/MsNMFGLbLEwK9rFdKeJmjf
URshaJUW2x4bGN57pN6m5VaR4avX3s+Y7R8BwhvPqypthg9fHROjPjjgLaOmAppex2doNGbqyV4x
vW0/gqEQs9TBi40Y5q5m6tvtVV/f2j+fIWjbrKYzssm4x8ru2eljP68MH4hmPKAdyf6un6D/ShLx
8kVsDLZVQ9Jsfpnjp1L9XMT7MnqSVmitXv9/VlZ8WHoOqbuux8r2+gb8CmiVjUNxe9XWr/8LGcId
A3rUoSAFXuisnACBONvlC8tfqPrJrJ5rdTdE36d4Cm8Llc1LuA4i3W0rBHhw+3vgKn/JXTzO/+rq
/LNHwo3gtMzWay5CMbRQq7s3y44eprLZ1oOzvT2b/89x/yOLa+aF3Z6jCVAJZuGajl9a/Udunh3n
y0BqX0V7Ba/6t9fP3vSRWTtQyUhUUaL0tnC4nSbqs96AhjTarmm3qncuSJh2khmu7pcFvCRAyIjK
iSANJTOquWhn7JfTBOhe1XXB5vYa8sMpvKKRhf8jQZiHSyw9ySNcFVb94HV7swys6pQqWxaHkfY0
NZLM46pNvBAnmCwD/QI62xlwB4L8svIRdbs9Hdn4gi2qMnR1ojYWjKW791Zm0SWLJcYDAL5I1UnD
YsXaBkGt+jONfhLqO+VzFPwN0uNyZwzhLssc2qNZCaZi6TFq0SI/lthtiXIZggFi6MDd2N2Ek5pt
uwhQ6ddRRkEu2Q4Rw5Bm/RgnHRasRAuPQ5/IqLrXp2Dy3pOcDV8EFlV6noyTh/veqPek7/3O3UWz
DFu0Pok/QvjvF1bGGkvPyFru49b7Kfk8WH/jo1t/xhcsZq/lTVeUGH+ythZ9yP+iSBOK9Gd8wUo2
qDbEHY1F0pq3VHl04m96tHPyWXL0ZHshWBLHQ67ATfkyRWGCpp9o5C5DBq/e/5YDQwjQELC1gsYS
5NFAAYKQvTuGyvArLXZWgnog56OE237bkKza9wtRwtusR2aWDhYCAFGyn8z3tv/aoVi/cSRPwPVF
+zMjQbcKR4sHJ4dH00Rf7TJQ7Kc0ldwhskUT1EvviiQtbLihQ/vM3BDQft+MH0njBvadTUz/8+64
WDRB0yZWgHLrd9TE8zM0jMwDKa3T6r6gySL6e+G/RUFOPlTKiOcNDDxLN5Hx7BafSvbJ7iQcKmtn
HgUPFpIKwPosCnJGJy+rLhlhfOMQJHaqbN9Xvb9LAYIqO97sZQnBRdjVz2n+vSt3mdP5tD+0zpvV
/IsGXpuyl0xqbe0uZQo6zUxDH6nbV0fb2haFT9Kt7qA/9Pvtk7Omb5dSBJVGlidOtQ4z05V3Nu2S
HJjuLdU2s4wlQjYdQbHz1k7qJmvwavfIMW+HR8bqbabFpp8Wk8Sr5X6J6CZdTkrQbMfprLxsMSkL
jPZpQNLHeQz1cTOon139fHsBZfPiC3xx32gjyMrnHvPS9M1EAWDez+OndPyLIPfljARPrOjUxpgy
aDhKs5xqY0wIokqeOOsTAUkzL9pe9gnXmDp6qYsbobPtZ6uqDpo77Cg8S3BL/QV6zDJR+PN/ZYlx
x7Ij6LnHvaX6IdqrQDSjS8z9EMArEYJDpoBDRs87hDDcfKe1L675F37A5RQEk9BFNJunhIdIQPKj
sn+aOpJsyLpV+7NIggGYx3bskhgSnKMx+9q323orG104+B1QUkA+wJ/My53dhMXfXMmX6yOc9y6P
0siOuDqpe7QYt9PPdfWdxhJUAh9ledL/rJFw0q3Y7hLdVqtjVH7O0y8qPSh9+L8tlHDA6eQ4gKzi
6I3TNjICWVZ8Nfx3uVDC0UZD9LT3CLa5S9MNS+gmSr/EgDgW1ZOSfzbHfAvYMdoOfDfHx17/FHs/
DWObW7InskwfhLdY2YD+wolwJDsgKlq0EKuPt9fxtn0BKOzaUEZV1RkRf8Do2tto7mm+HeNXLfly
W8rtaQCvfi2FwD2byxxSDLz0jL0xSVxA2fjCsddsOmR1hTeSzlAY8ZDJkJKrCm0AWQwco+Oi/cv1
96NSyXazqsYzL+8BdjV8d6y/k0qXOMyr07gQI0yjpJo+2QZurab+XNN3Anb+v9iHCwGC8aKTnjAw
gMCPrXBXtT/t8uv/JoDP8OLend12aPsRM8jHjTaD1V1ifVfVFdRnaJyJ1LUqgq57LQEYCoQvwP8E
Se1n9k5TwmyQvOplUvjvF7PQFRex7oZfhChLGLVwsL6VcPkzR5ZJlAkSrJjXF7SPCZYrika/iU5m
cerB2jkNX/5iW+A+mGjTgT9ije00tKkzJzD7swIcsQn9BXzqtojVI/JfEQBLXK9ZmaoZJTNsvuoh
tOPP5L2WBetXj8eFCOEU5k5PwLyIU279ix4w7c/bE5CNLhw+4ijuOE544rfRAVC5VGJoZcMLR69W
apPpBbZAcXaFAY50yfqvqtLF4ggnj7SGXlMHOlvYO3dbfnszZJkh2Q7z3y9ORVT1ObN5WtrKgil5
QTa3lN1G64sExk2AeoDuE4OD6tQCQmRhEshMp0OQShMGq3PAAUDTOMDSYcuv58DggOZZyhAnyhMf
rVZ8e3ii9ssQa1uNousV7TdaeXDa77P1mJLnCnV9ifcM7KNkt2TfIdzrxtCyrOkrfAf5PLVbGx1Y
ZAqxtpYuiEQ5Az6aTIt3bpGQtrD6IQfQR9t7WbExm5+3T8zaJC4lCCemJHM+el2fH2fjV1S+mOzB
ADnFnTJcBN1AgqGjlyBv/CMcGysj+tBPTXlOK4Xu4zKynxDtcR6qyfYkd4vGN//Kbf0ty/IQFwN6
dwGFHFNQnGXlXJ7zRg+SBEU9YwDekk2X77vmucsMv1TSoJmqoGzTA9pa0Kzaa7R4NtPKJ44eNDQF
Ol2VLMEiGIDPsuF1AF1kcIIJYQnqrJsnperZOWoc37DbUElOJYC9WvKzdSUv2oUVEWQJVgRdvFzm
5CM7u+577KU+WtIFcaL7dKaSWS2UR5DEf7+wJpNqp4wht3u2IxJOceJDVcNBWjS0unguKgDxHgYC
Uax5gEnPra5k7JyYP5SKBbn2SqPIn2ZlU5Sy/jaLI4c5oRwbamrjbyDJvp4Tc0hCwVNUnUHP/cVq
6VOfxhIllYkQzhwoi21TQfLnTNrye6q4+44QSZxmRQRIX9C6Dv+jRvb30+hiZ8ypZxba71bnNlWD
6t0t7uxID7oXsHhfCOBKeCEACQddU5KyOusJ8dPhEVZjOw5eaMnu3GVyU5Ak+FcRkg6o3EmxIei/
q8VgPm198I34Wd1s5vIBbSS2SdtujCzedV7ip/W9qTqQmrgqWuGC1wR/xAorZpVOX8ZDeTbm4iHG
ZDtV8vJZ0W8OeHdBHgj8KLixr9fSySvNmuq4Oo8j2fUJGrmSYfZ7dMbx88YiftnIWqOvqAcvdkfP
UtTiAZEhrKmruFGcEEgsFB039PdR5n2vCUDjBwOstbz4WKzncnokYhLLKs9d+zHFLOw9GSPVipVD
q2xU06MyDdhUcdHatG9LFDeXZwvPXfXN32j0y+1ra5HlBAUVjA24JNBobUlXlqF9azqWanmm6E5n
8ia19N/Cap5aNFXVBjvQ3HCUtYVan9UfmYJpSMfWyFD4hatyRPGneWjVE9WKwBp3t+e2KoczT0Dj
0AjS5b9fHN+8rzowK3RQakCfhnGuwygBNG6onD7IQWZ5/0XhobqWo5VR94k6l2txcdNlGZgD0/M8
MKRbsnAAIompdxMUYsfgc+KsgotTRSL0WozSpYXiES/hvaymTSkrUlxT6svhhc3Ro3juQNKfnKus
Ll5ry6weHVsa3lteqr9B12gtw8H8C4aoesp1BWj/+NwO8VaJixAdUMJak7GiLh0llIvaqMNFB2a0
gRFPaG2MJZr/jO0Z9V+bxNhP6YcTP1rWk+pti+z7bXVbrhyMgQWwLae+AC2FYG8aO+9mO4IHOE1R
0AFzfXeHEBetokDyj7iICzS5WATRO2XXDWi9CZyLubWGL2X2nJjgGpo/nOHe8K4gSjg640Crtq6c
6pzbvpf7TFbPsbJWGnCJaK0HzDWou4TbIDIy8KkBDXtOcjL4rmJnflMXEhdkef6hNaBUgWl24SCI
9GBQq2Rq1bY7o3eOWm3tGvXsgSujv1uZCsoUuNeLyl54NcILqQG0UKPDHJ/Rvl5/qcciDy2XVpJI
9VKKg1ASwNxwdkAYIKLhLDzC5powcorq1tqgp0LdmJt79fdahGBYXDVWBg1kPScrPuTjsdn/b8ML
hoUo6cRa8Dieqt9am6V31zjh/YhyEY9ncHnGWLC/ZmHl/dgy90R6Fk4vUWOGd8/gSoBwKGwDzKR1
VLunGS27GxctBO/N2QozECxIjX6XJl4b7mksmw3QOv6/Xg4/ab6bRhe+ns7fGuggo6HxsxACo+mg
TkXl5udiepqKOPWNCfFu/X6dvRYjKNQ0DuUEvqP8rO9YPG7Q6PpujQVKDmU7CLDiwYlIyfVVaEy6
OteDl55R/Ou7+14d7r7SuQAeicQJh6Mn7rhFSGp0Snq2slcUbSXaB+2Ot5VqaaRwX4BSG8yVvEhD
vM6LRivz1O1T7EWL8tegNIM2DisvlRjDpQG5liMcv0Qj2YRuNOmZWJ5f/UMTGeOoTICwGW7qNFUz
QUA14p08moFG783JgkrSRMyDd65CK3Gxwi2NmDFpvT2cwCSGp/LGnWVcYgu3BBIsldeK8wtj0YYo
d71ydLNhPJndpo02kRMOtcQpXSzTtQjx7OGllRR2AhEaEnOvnox8YKFOwvDCmUta4kTugOGJ9tj9
IgkqAarH8u4aCi4FFhaeKDiOF431MivNbTS2GE/0UVHRQBbV9XeeCgjgz1BkNmGpFlV5ozo3DTXm
/jS99fZDT85keu9k7RmX5bi4KWCiUFfKSz4X9VEFxBPbHXQQEODGGKynvGcBWtZ+njv0BQe/saKQ
rTmZv0qUaqmK7MJd5m5/y7cQLwPvCOeVurZfBZujxGW5DraOzK8sbWMY+2yaAqTwgsF8rOJP/fRM
2wideXcEnJwj3dvtoZPZ6aXO8GXAalu/OyOID5eMxXgAJr1+dMooaEHp3MTZxkG9XTHe6wPwCWt4
cKJvOJZbhIgy1CSoMZv0o/Wu9nvVujeKIQzPz97Fg28eNPTBqDC8MYwhYPVxK+sEuK4y0BewQ6kI
94oc0RZTGtdlFmYw4IE3lH6JMm5CQ9NDbUIIqHBlb4vB8StpPcTSNmHtLiTzt87F5Mg8pEY2m/qx
UR/r+dMQPbn07fapW9omiMA7GdPTOXWfoI8otmRdGev6kTZ+7wTpvLk9/oqi6SqONG47kBDiHXs9
BZCWkKiCy46kRtiyffbUMHQ+kFx0K+vEA3dga4Zvg5JLYRImUYyYGoV5VOrhgSr9MzXGT4zN29tz
WQROOMM+6qxdvC3QG0l0+9M6VltNrU2AxL515oNl/GpRDkO810bfZgyAJFVWSLyyO8A8aahTxjFF
lZEwMdbOReEVhnUsaRzU+tvIJPHUle1BLEuHKcA7ExkMQcPm2qlHRmL72MRvQz/75UcNSGdlnW6v
3Mo8YG8507EJFkXNFOZhGbPjlJliHXtvqyuBIZmFbHhhFqnuMQRtMXyjvlmIvqSzJPWwJgAtxpGg
BpsI2FmFK7ZmHq1VQqyjXZf+DyeVYR9WFJhH/FR0TOfJFHGfU4/0ddFl9jEdzzUl4GvQNp5zty+F
xgEaVBh9j1HRLzYP8PIZeapytI8qkPReGWTRj7t32YF3AIVS0fsYXJ3XZ33SC6qNA3OOprbt4o0p
I0Re2QXEQLD6qsdbA4j5kkJXByNGKO+YoxYHacUwCe+dAJi+USsEIwIh2I3rCdidx7IRDKBHg2ya
ImDZ3ZfV1fgLR5DgosoQTjiq2lP7Mysl9ml5mNEzC+ATfo7RT9YQ1r/whsZpbY0ch5z6zJtfvLF5
cfoPR9bYZqmu14L47xf3klm7cQ92dnJMorB8VMZQ1q52bSac3B2dunVjybg66k7cRywD6MQrAi35
ZpvnqPe1RpVcHEuNQigKMvDEALnFgrKnRfG0lphVdJrNoCBPsXm8W6EwPjJuOrqygFdSWKisGnXW
dG10QmAw7feJjBRs7fvhVSGIgzgIDragsO6ARSoNGp2UoThY7fiYglhS4pdLZIhKW4AjJ2rQ0O40
oZ52ULeeI9PbpQQg0/Gedx0Lpxpu8bU6eXniKYWnucd2A+x1K9NWbv2vUueIElwOz5XtQlsNnRYx
giLucUrDQR8DI1cDo3tpDScghhZE9z/3IA/eCHqow99dkG+2Ea1Yr1MPlMvu1m69rcSOL0/f9fjC
fGxvzpqiIpjPjHY5G9J9Uu+/765FiPf1lOWGlkKEbm+V1q/0h9vngv97cUs4LTUnIjPsxX1K5rGJ
ZidVjvo8ouUA/M5y70b7gbx4JLrbw0Wc6EKWEAUZaZrV4wRZbnNAVNgrZGiBFfUFgkVHGh+PR6Qd
BeeAOL3jVYpFju6XBPT8anw3NyJ8zt+vNUA5V+g91chEvxOnJcfmsTS9cDaG8PZ2rJyQKwF8hhcn
pAaooqlJQ45aku6iznlEzxgr39T6xtbbPTHc7W15Kxp8JU848LYyZpmdYkKZpf6I025P43w/ZdnP
22LWNsYE5kDjjbkd8CRdT6sbWVHTHNNKsjewb9iS0O3q8OhDgncNNHlBEJ3kJgVWoCLonPCtQPF9
cXfaD/sOcBGYl9CsFF6VoFgD1RpmuwU51j2AUlum3+3VoqM4Gm0ijwHanUXoi5rd1NmNZx2NetNr
QZZtbq//2jbjpcQDzmjwvYhz9iVwB1Flm8csKl5SM3vWjW4XMU8CM1jbh0sx4gGP63Lo8DwEz85G
/VeVFSVyLRFsFQB/f2YhBDktkIyD4dAzjwUoGRlNg9lJgsjCRSUjEFxdLzAGwFq5SJCKyb4WbFFJ
mSQWahLn72rqfWpQGNQmye72tqyul424Km80AVSGYNz7qu0ccF3bR61vg6bcDpnzNxvvIcLFEzMc
HnZ98MBbQSvQK0Gx5hlNeRi4RMNJZkRWp3EhRJiGqeaZOfQQAj5mpGbecnpv/o0/9S8ECK/KKinc
NIogoJtyVFMk/l84ClcCBO9NbUoUb/BlApPYxvvkePe/Zzj/GHipeXYaUVvBzqpllpgxcYyjUc4P
A1XCuZK8vFdU9kqCsNO62XeEN1A6EuV9asI629+vSjCuBqwUaPo0wIgEVSqzSldbah8jMj4oaCZQ
jszX++3dRwLdFkwUUQDHCG4dQZf0hnJOb2Ifq/jZfEWvufuHRwQULR3AyIVsg5B8y+2GjL1e2Mch
+eK+Ksb7XwwPCCHiOBw8LN4TcamVxdBBjxAuNj7o9P328CsG0NEA7fQ4XMhbYDwjw8uzuVKUo/1h
W32gZXZQWVNQerK0+rJoFiAxXcN1zSn4gd8S1qnUnGyerU45qnQO1SEsiieVvdBxR7U0cIyNioC4
W0qujxUV/s2ajiC1hwYijiB01mtVYensHYfondlWaFbVPovufggCMAbf7f8JEa7yyFDReo0LKazX
cpvdDY0FVzAWDohIzsm+0N/JUJV4Btvu0UnRC6+rP6WxGjZ9/gmErpInMz8KwnUI7AOgPIDYOCjT
Fo5KOtTpTDviHWfUyzved9s+kOzB+JJoMkD8ysZwdQazkmYhOyemSlSbtjUuFzju/bSr8Y7SapSx
Nfrutnov7xGwE9ucBBQMl6hYE4wkSMHj2iRTe4rtxj8Mqqxn59r4pobu2UC+AJkoRq1GxbLmss/b
U2H8yHdW9e/9n897j8K8o003WK+vDWSHrjjjWLjNyRs/u3Gglf/j+IIBJtVcGnWD8SM3cM53t371
bAeGF+uO78fbSbg/Bm8e55F40XlSH2pr29x9hYNzH0uP5z8Hoopr7+UEiCaH1qd+79h56NUywqXl
5v52z+GlmxqiqmIqX9EngnB3zk5A2HtxqJK7I4bX4wu+batGNjGtjIGyJ/2U+7RgEgHLQ4aVB6EC
wnWIbuties5NtWh2i7Y6lV71T9tNgdfzWgHz47aWLu8QGHRuoJDjRQpFRLXGqCJQiz5rTs3wLTWN
YAIGmAAwkDNZwmm5I7+vDtsBO5wHBBj//eIt69V1PFhVi+Pc75jnMxkjomx8wVzQpleo0WJ8I9qM
jk9/3F4o2fDCgRgtF80ah6Y9KcgBWx/o4uXfLQCARROvPQuh+kWvLntoKkZctT3lIA6vHzR0pr9f
AC5vFPb8PhFirqQsepPOU5OdkvxrGxZ392WFB4LThlQsahh4297r/Z1td7LzqkpOnbtp0G1Bchus
nIer4YX1p5EC+SWG32TWB3soum93r87V+ML1meWNQZQB4+sggvmncuPt7fHXvt/y4GjYvCkWgs/X
yzNNmj7PSpqcsjg0p51GwlGXxB+X0SJg1jRgHzm6Fu9I4UbovNyNZjVJAFk7ubQM2joO2gQ8x64D
EFDhD7LC2pUzAdwoYNawUugII76Lzb7M6tmNk5M6qH4RP9T96faiLQV4IJtB5hhPFSQnRdTo0BBU
pyoWClzTN+Kb7d2PpOvhufgLkzTRNEGgB8PPybi1xskvtRatWmzJ1stmIZwMnPimRGChODG/TDZo
PnR7kbjmXzt+17MQTsYMPkM8ZDB8Zk6+ZX5Rwqn7Cqzv3eYDUVRk2PFWgjeOXOj1YgH7BwoLmo2n
uqx8J6N+LbmKVpaJ5/hQwomI4BJnVGboMtjpY3eyA7N7y/S7PX3ewQYpUHS2xYtCfHM3CrrN97k6
nDT6XOZeEEfF/fvMHxNAbKi8IaLoFyObUU9T400nSh+jXezdHRXkj4k/wwsOZZyMURz1GF6337v8
ZIe31WhpoOCHgWADNRpoqgeP+Hp/62piimWX6gnk9cpjqWq5j1CXCxRSW0t5PsW9RhIXPY/xorQt
GMNFVyEzw7srZ8Z8YtrD50zb356KeCJ+jw73Dg3CEbWDd3M9FVubhjmp2Hxy88l9BXF9ddCUrNnZ
TEUT5ywlLLgtcDkdTMUFzwrPrwO2I6xd5zoz6jTocIi/lm4YMclLeDmf6+GFuyMGcj5JagxvTGgl
1X7VTRQcb2NZ8kc2C2HZUjWutciCmN4MKtefPYmGycbnv1+YWzw4Iq+hGL/wkAafnppM8qoQVRie
JaC7OHtAIaN6Tsy6agSv634c+oPGTpq3cVUc8re7d/pShBgJiYxYSWuENw+a7tcsiCVezsoS8a4R
KLfx+DEUazESz+hYauT9oVN3bvHsyVKua+MDx4CkBQcKANV5vQWdUmtlS+P+gAgnmOIS//7lAULj
d42fgdOgCS6IDiol10CTgAMvKqSoBc7/vb3+3A27vOywxUjr4LGOi98EAEvQ0Zb2DbUAnzhY1YNC
UAXqE/cBd12qnG4LWlkpVBFyHjp4s7xf0fVKARic4UST9kBtn0QbTeJ6yIbnv1+chdRx0VWtwvBD
9q4MH+a9pAi/1+ni8/lRuRx/on0xDBhfVb9p9SE53F6dFYsEeANisoiA8+plwVtWbKtxp7ToDiBu
+WBVs3UGxVc6Z4seBBK/Y+VQX4kSrr3cyA0kE/LuQNlW639kWVh2kUSGbDqC2pZWX9r2iOlo8YYk
GyULPeYrVHK4Rf/89578WTTRdqBLB61RKN8dxnrwaan4YO3xZ6sJEvpLYw8tlU1r7bDA0eMbhaqG
RWXfZFdo1hjVyaGKHPKhuSMaQsZVaj7EGZmexoRNj5k2ZDL6hQWWGhPldBkA5f2HFU5YTqVKgL+o
nORQ16n5iq7mNsFtUjggzhjQ18Xxfg1t3G1JZrPnCksf+4XSTo0/uvawVeoOffRIMhdoZNLk29py
Isk9sdxu6CzAzw4veUTJCv/98nD0BqUtw7p4bN+MYdt/sq1kU5eyLj3LDYccRH1RssKtiPh8qdvZ
tdImSQ52+5yM8UOhVJsB1JkUPAz5AdhfiRr/hiMK1hF+uIogPVxdYPUFP8TLWJ4lcZ4eWFuxnYMa
WDR5bzX7sSoGI5x0cM+2rgmyRjZ2e+aizDjTtGiLBjLfgBFVf/bZjFZbSqV8KhCK8JPMS4E+zdnP
29Zj5UhffaZ+vf4ayp0IQ6nNoZnil84sfipo9KH3zsNtMSs2Fr2jcBuBewt931xBTJK0ozfpsH76
m6OFd/fZgpY76FPDS38ByvFEh3mmrWWPtV4f2q1CTl51uP/rUfkJjBTqIZZJ51jXcmY2rD5kfWBl
G2sI7h8fmWB4SnAG8J4TTHg+9I7K+rQ5mPQp2Xf5Xyz+5fCC2SZJY5VGg+En62Tl70wS61jZW84i
w/MdAGAsKj2nnCotVdTmUBsbNwkjRxJ+lYwvJp9YoxQ0Jhh/SDcm8QeJn7RyAi4/3xEOatHSqhxA
UXMwm+Yh69CD0WuDaXb2t/d4aeg0eMGqg/c0Yu3277zehaFLWD21pWrVh8Laz9Ty5/pArTrwku+3
5fyOXgmGB0UYtgkSExuVkWKetjCIzSKtLQ74GiNwW9cItMJOA6/M9G2sUC+oQDMVZrBcT7FX1Bs7
G3vYJnDx/gB6vz468fjNIFP+a55o8ooeGsOpZDHdaX3kvrLEGbdNgptSjcZc98facGSX1sqOIEvD
K/n5+x2Z8WubNCi5qUZukR36bngw0d98zzI6b2pifL29VmuCUOuJjDOAQ8biUjDzMnc82mSHpir6
z6gjUJ8csNu/zVolq4tY2X7sOvCb4JUAFlXMPxvumNG8UopDOu679CGqnnv6NlWS1+nKUeFgEoQB
eZEH2operxyyFOjamTvFoaLPmrtNZcXKawt2Ob5gSRjaQdpuifET9qZ7n1jy4qaS4yibguCwGKwb
UXULEaq2m17tenN7y5d+GKpg8BwCRQRcMUuE3Xh5p8etbYwHavq6+Q0ZU1UPo/j7/OO2nOU0eLWN
ylvUGgaPml7vRDvT3LFAVXMokz0N01piTVaGB1aM98wGOBTJKWEjGp1RtzGb+TB2v+J9fW+VAnpt
cJcFFymw39AlQY/G3upTNfL6Q4OeC8Z7cTce9D8CwE8EaCviTgt/oAdNom1lw2FofujOj+zuCxXI
fkQX8fCFr4RQ3fXq19OMfKMyIQgUkSDdgUdfImB5ECCAu/IAoiFXYQhaOjhpBEgrGw9WavlRfXDV
I8nvLR3GIpmgywM6CdB13KsC6iJDXVjiMGodWvT1hP1rJVHepU1CUz+Q3CDsB3oWJLquV2nushj1
Rrl9sJ4b9YtbZWHqlaGlvd8+CgvICp8HHqY4DVgy7uEIcohJ2phR51DHB+1fMEcr5rb+1U8/wD60
j0rJi2LlaEAapzZCpGCJJRiKGMHZCdK6GByph7L4i23BZJCPR4IQl6wYWJkjzy3VsWgPmWb7nzx2
L2cwlgvjI5vDXyocTHS9XD16ndRx3LYHYKkDPUQjJonycuNw7SHw5CCUytVRWQ9U7rUA8Bo5FOXQ
7cGOB6A1X1v62pRP7ln5UqVzeHvzV3bjSpagY0WuxF5HIEspEaSjgcLuxZ7y5QKvBWAdHn/qiqRt
5qiY9tTM7cFSX7rG2Ltp74+OBuIUWSeitbkgKA9mHiCzeRmlsG51luMJUyNi909r7yJnd/9S4XkE
w+WhdgsJgOvhIzzElShJeeTD75zQbu720wFGuhhf2IpSi4EbI0l3KOYnJQkyR4LgW1MruLeoFMJL
YBkwrSoD7a76tD8k5s9y+tbEP6r6e6Z+5OMvS5M1OVqQPfJtB6IfeCQ4JGD/4Rb6wp+2emWYwbfY
HbzR8wszVJN98zaBv7JV3+0s8LKHInusvjMWVFMwkE2SH1EejPcbqkRv79ui+Fn8FEEvytLzOl0x
usPkVOjy/dIrHxP9SJSXNOM9Jqz2MMevOj3dFrtyBeEAgx0DyFW4lSIVKkjgjTpPY5ihr80HUBbA
QtwWsLafoEFE3gZKwxNp1ys8VqqhmKDXOzhOGzK6r736oZ/rQDf3uUe3pfvttrzVCVkcRA6uCV72
ci1PdRnNGs1rDsSyXmuFbMZqOvd3M37w3cLzAtEIMDVwK3gtZhiTgukVnl8gL1CqnSIDFPN/L1pX
lI7CM4OHiWCH4BqYMxgRlIjUB7V+bmJ7M0yfO/fZrl5b1m7vXzGA/zyb5wg5qvF6KkVlki7SdTzs
Y2aEs1nqfjwNDH0tHRm5Kt9sYVYgQuR10Ai1wOEURFnEKm06Dt1hAEfV1yIdm1CL30syGBudRTIa
8pU15GA3HQk84BngNFxPzAb4w8lBHHZQGGCaFDzkj66+/z+kfWmTo7jS9S8igkWA+Ap4q6qutl29
zXwhunu6AYl9EYJf/x7qPu9tWyZMeO5MxMyHiiAtKZXK5eTJZAJJ3cMRE/YO6vDenILnUHGkE+Ym
RExzIjjeZF0XCGr79w9p4dWg72V0lFcReag0Eq0RpXkyut05KiM8TGHSrDVXzRqlng1wddADKPTt
BHKPZUyWWjGcuzjfgmnPd5l81QXbi9H7yN3yg2PVta/H+or6La0MuEQkVd85EtWVZWi9iYVJ+zN3
5f4vzVmjxVgwCAiVMYQcQQ4Q+rpyU009HjGuYxJnGVm+23/DOOIgHo3Hz2eOcZCaBPZ87lO61rVG
dpGwKuQO0y/Gj+n7o4ePjDPac2Gm0ft2AzufuzlphRrrWQj+DKfrGYmylWf3dpeuRShuQ1+2NGph
kMEXOQRTSfeY2/0Bo5VWIA/mbH6vtQxyEI3gViKevYFx9rUko5W16TmL2hLzwKQASXxEAnfqX12v
PBDjW1y3YWvGG9o48Usd8fF7nLLiB8Xkha3HncGXoCLZNQ6JZ1oX4ZdlQcK+oPHWy8gayuv2+QLP
KI5zRmKjNqY6CLGZDWSc4vScsnwXkyagxq6YxoOg8uDArQa68v5ZL9RaIBFWeGakmxN9iib1os48
kHiyM890IyAG90vzxQ+7yguZXg0bN4sH39Q8K2TUAcIptn42NZHwEbjYDF3arzzgC44JftBMnuUC
CIj2auUpmtoaNVW0Yp0Z+zxmKDjpm5o/l9ETHT4kneVnhr7pmh+es1YovLXf6FCGMXpnl3Rueq6T
yRym2uX8bIPCdqrkV5Bzdn4y0MbnnXUqrDZc2fuF00ZqDck1zCtbcAdNs6pyzFZmZ4zf88f2eap4
kHh7kdghkV97uiXaB8yUCi3zKQNJdWF88zzQkdohSnDpGJj5t/s/6NY2zmh8jD1G/IYOLzULy3NQ
WUyR4JhJvG3jfbwWhC7c+qvvK+9WDQ5HT+c9P3f1ibeF3/a1z1e5W9dWoShQxW2Po7Gdn+PU3lT1
d2OVHH1lHURx+mQ+OrE9tvw80qApD9LcuWugvMVFgOVtdinhVKip19hCNJg3Iz+LfxjdesZKWLW4
govPK/a3hTPrZWAhOiPmFEB2gkZujeLmhgcbXJ1z4RhVUqgUrJpyDoPtZLGjEX5Ox6fBq/zO3ubi
Bf91yb7IeciLwO1PZPomozWCvIWrDEKRudsSRh/xo2LUCtuUdkMrfja9F5tv0ykPXLhi+kd0JKz4
E4ui5id4DjeQK1dEEVOg2EBqHFQVxlHYcz+K9jzyK/FwRckCd9ofQbOzexE79qZdF6SCIGKcaPWh
PTx+9x087Ej+InnnqgUrOTSiNrvs/e73fDusKNziNjkWjgPtOAgw5r9f/Ppm6NBTajf8rFkB5jpr
r9Z3THor1ibXLek1YkskUQ2kUJEvvxbjpKSuMoLHY5Sh66Em7KPj/f5GLa7kj4ibmlhp5KZwHHaO
iw1OuzRPNA1EtMlWXeT5RBXnBTzh/13M+0t5sWcsGqMBs+gBMzD8jm0zsR0x1PLRiZnzNb2UopiC
pmprWgjKzl3qD4NfrhXGFleBMAwBC4BpnqscCdfpoOlOws/RFFjIcEm/yA92eb5/KosHDygR0jiA
FqMN4vrgwU1con5p41Qwq9iJv7jyAMqw+zKWbDL4zmZScEAkIOpaBnyj3hrtqjhjJJORbsUavnFp
py6/r6yhaNDINhltcZ68zzYYRFMkBWOgyrm3NlXnPchWVAtkjEhEIe8FIIu6XVWeR6lL4/LMsqT1
3YH8lSUU8zfMQK+AM+/LvQN8EbeSXVF1flcTv7XYpnUfbYOC8qF9DlOBYXKQs1HTNWlGOHUYCmdm
tGncLWUr3uSCWnjwaODQwLNFWKZsKeeyr2s7z89mVr1WUfSTe90hl+lKOLOgGXPXjYtIea7IqqG/
mbfAvrIWYpKf3+216vja1+e/X9iBdGoa9NI1+Tkxj9w9rwG31z6vqLUlAYVokJY7e9NXb+Nkn+/f
mqUjuARLKb9+wHyoeOxadrZ7uBqfNPvTo72GsxJdSlAWMKHZxmzrWQLZ5GQzfL2/gAUvHYUgGxQt
gKSh31B5uloB3nxppexc54kPBtEnl3815VFzNlF1MIe1iGzpOHAjMH0IkyKQ7VPSSGzkuS2nBOA3
to18FHrvr2bpOFD9myfFoOB+YyhjQxe5FBleyLwKC/rcFqfJfLsvY8GQocKIqhlISPAIqzCytq1I
k4Cj4Fy5XVBhGmokPgHyGXCuhfcl3a5mJtdDhW7uMp2RVNdXQ5DGg7sPs2/yZmcWn3vTAFn/7/tC
bk/kWoiiAKPTdBiPihcfGM8gsz6Rci2ds7YMJTCKZKS1REJCJgYM4vvoeYFTVg/bwutlKA+x07aF
U8Twjaxmn1SHqXzW17iEF9eB0jjart8JFZWiqTHGE7gvcByutp0mwx/Q1++ZD0epWMeFEMVhkbFX
IdsLIQP7mib/NNFK0mh5EYgf5ito3bDnTIzYtS6xT5rJgyavwUyAMmC35hctJDrmdfxXjgrnhT/f
g/Mc7l33jfU+4WFR72S3pdvBDdqvGPtqruF5F4ra1yKV87FNMaXoqmbntGh9NiaA8B9E/qIxL0Bl
sDS2GVhwefewObiWqhyYJYepGySkipnULKzGvZv55PFCJwAyaFsE0xymtt2MCBqbzo27UsN2DmDz
j16N5OfjZgAjAj0EYTNwUC1caKQp+yTVMoQwiW9ExyhZMWZLdgbpXDwyqNMCD6WczhQNGLnE6vys
VU+Rp4W06Hf3lzBbqmu3j8BGwlUxwPsB66xIkO5oThiUnJ37LsxIFlD2UnVPE0sDL318MXPumM6p
RTiaKg4kz4ELd6ohPsdGubGSZ3dyVhazsF1XEpTFePE0Zp0GCeVrY20qd3t/rxY+jyrOPNiE4IW5
KYForGZjJfTkXLSHMqj4w8EEihAgwUQzDXQKuJzrl6sgU2roSVad6+F7Bi6+H/d//YIRu/q88jBi
MmeVtBU+z9MgwvVmzhA6j85UA34BJJ6gUkLQNRPkKQ8jEtgioq0o33QSlkUVYv5EaLN9Zz7sXl/L
UZ5HInmVaz3kuM3bUOGB/Of+Zt0eNRJFKA96KBYAU6RWVz0nzwCx4+lb99NxnoHKuP/5ea+vbx2y
njPuBpdh5sJQFLVn7qALdB0BVkf/cvRxy45a0uxQ4PrrvqDbQ4cgxKVgJYXGYhT6tU7FNadjmvfR
udWORb+Np62zFlAtbBVmPCGmAvwN9lZdi1lanqwA+XiL5ab6Ua51Kq59XnkqSEHq0vTwea3+Sn9U
3QrM6tb+oXgFgBVq3POAHxVyXzRtYTZmm71h5JZlvSX5Ny97c9Iwetx4gBMGEecMd8TdIMo6bKDX
3cHu8rdKy33b0XzX3dw/64WdAuMUelDwYKBeYisXXBArdXpCi7eP4N/2JcZU/W/fV+525QmiZVVU
vJFpQ4Z9MawcxdrvV+400P0DSiP4/abcc7mlK9uzcBWAZMCzY6FZG9NVFWe3NmodL2mZvTH6vdYa
32YAk6drUx8WFnEpRU2atoUsmtyosjfN88ufzteHj+Dq64rd4KSlZe4U2RsYMSa5acnDTxBoxUD1
NHP5ITmmAq9FPeB8vTR7w5zVmoXjGmPL4hlcfF85YsuIOp7ZSfbmYh6cQEAQ5GuJ/jURyjHLSUMJ
EliCN5NsvSRM6c5Ym9S2YL0vd0lF+DCRydIF6PSNU1f8M2KQ+ZnUGOxht1W0gYs17e+f+rwrymsB
+kwQuKDfDrM1VDdTgrBCm9A49WZLidnQLIzlrrR/tTb3C+tbMz1KQgvID4YQAB8IYXCb1UeDm1HO
MA0+e2u072k7rLNk3F6SawHz3y/SV32fZJZZ1VCz5uTUh3rY3t+wte/POnLxfduWcTlKXPVo2mPi
6SrE8VbHrn+/YmnLmNVT72GD4jysrFB4r9mjQ+ZxBrDhs49gW/DNTcXYFpE9WCO6S85IkAN8V+YP
G3N8H/l3oArQOgJ/83qL3CQu8ziPnbPZvFZ7Z61v/vZZvfq86utPVdWQgmv2uWyqV0q0X57LnkBJ
FSKlsaOChfcP/PZGIgYDzwdY5BHnw75fryars14afTSeszD5USVbUQSjtyJjQanQiTT386AGi3BP
ecBzkEt7rS30M6+OUm6sNWja2vcVV61uUtfMNHw/sc5VdzStlROf9+DaingIhGf6CvT+wU+b5V9e
CjaHZJkjzkV5svS4Oci0eQUl8C90C/6uZfPUky558pK3B48GXUngkgQGDqoGlhflaBJDaOOUmP1Z
75hfEt9uEl93v8Tin38hBzhIZGfmeY3q8hqrlxrV0XCdotG6FWFehxWp/NN9KTc3H6sADbQ5O7sg
W1VjtEj2bp2zElixYofybuKGVvWo8YKIuf99ZieaYS/KG4kuzT4xwNJ9xljtKUj7cEy8cUUXbnRt
loEyC/hrMBABeexrXWCCZpiMRQC6jXZ5t/9yf5MWvo7uUswxncFit2zZtAVnlzbm4xnN4GIb15v/
6fOW8uM1IUSbTfj8QF+MXc8edUPRhXvx69U2D1ZEltMIfL7TtvHGJo8fLz6P8iqYxOfeJ+XXZ1mF
PgLHHM/ixSj3Ij7c35wFBb36vOIhZqYTicjF5zEBgdIPhH1IH+XoAkodoT1ogwDVRE+YOunC0VI0
VJa1fk7byM+fRm8Nib6wBggABg23GRdBrXd0pTSrYUx09JhGfqxZvszrQAxruYoFNcWYTDwWgGaS
mVL1+hLYHhIIuM/6OXfCSoZ0rQFmaRmX35/lXxhcKXSvSiS+3+of8/RYlNspXfEM39lVrow6zgK1
+vkcUGa86QMEhThFU7E1nXncTwdNr6qt2ZpZGLUiTmBr21PS0h2h/Te8LcM/tTkxOBODXnOfc9M4
p1paBIRwg2zALpqgy59y32tbdmBJnAXAkxavSZuk/yBq9aTPiT5oWxNcnmHvDs4TnVyxFYlZ7JDb
w7iNscz+RgN79jEthkoCxT11r670Wt/Q3DjgdLDP3DLb7im3q9Bz67CzxtoOHH2geegWY7uNWn3c
sDHWToiVrW2fGckOQ9izsNKHJPEtwIS2mL0c/zBlMpwiaf+ttUL6NkCJPtNFP22q1gXA2owD3ZDZ
fvKaifmWyYwX9JRqftdMXRU0GnG/JmWSbUiSJs8NZ13QJFl7qspx+icmlnguE/Rp83zqA5oaSUC1
Vt824BgNgE+t33LK4qDJytanuSG2GBDQ+h3aan7qgwvKktIhZ2lV0+CD/igKxrF0PmKYh/GTUypZ
UGVjfYLt12NAUmxh+1oUeceBSbat3fhHRyK6Bq6+VUY8+ri5yMpB4RFMXCtjM2Wkq0RKzhYBNwbm
HqabyPl53/bcXqhrGarCD33dNADcnI009F6T+mHLic/PSSYkOUAfq/ZTU6uyylK61tmR2lMblMCA
/ovfD3za3HCOWWyqYdNI2RRdjKOL4ThQ89yzlRU42OTr24oVXAiY/35hEQSavGJD2uQ82b/AauQ3
LPZrjl6ftVTQoiDkLtGqjXDxBu0mCDDtWVSTM6dvg9xZEaaWf6Pm2uymJaXChGHAa2YzegNycERm
DgPiX3Qntn7SPDGAcVnz+f6p3IQSM83MPG8FjZBwu1TkXs0xNaRppHWepBVObu6X8rUmB6P/zPiv
+6KWFBjwSgBvgXVFxV15m9tSHzq9H4yzVX+S2lHs7n/+vZiinj+mBMGzQ34fAYsS1GWmTA0jEsa5
z6Tvjb95PexQQwoS/uTRf8z2idUvgx4HWutuqupZdp/RpuLXTrOZirNRvA7da1H/tCYMXF5xepZO
8s8vA3/9tWZObU+t2MPKU3asJ38EOlKsuM5Lmzs3s6JBF88tmLCuRWSOZDkbGhMd8Xt9fJ6O9zf3
PcZTNxfuAi6Y46AnVAVl6Hqvm3jSoPOWHrgl9QszCyRo29g+y9rAHLOw1j64FCx3cSiGbVbRrZH+
isAkEZd/l8XebPbamjt2u2j0PoOtGxyt82x3NZXiOhN1WgRjJ501gc9Xx9PfXvTr7ysmtzJEylqG
74/178FyN8TsNmN2oJ14OGK4FqSeXh1ZpBogyMLTBN5onk7+/QNcXAr2CVA9wDduQDXJXN+P0St5
IqQ8gkjqrauqw1B3fzdyDfewJGpuNYR1BJnSDfFoj+ArSvvSARPR8Op08a5tUMBtvSwwzfjz/WXd
3ixzpkj+rywlbVBG3HZZBllJ983CbcZk12otxl7SMmRsAWnE8JqZpfL6anFvGEiURvapdjHusev8
tcFwS4sAlTeq6LhAqLwp3kORMMyFwHtzSoj0dVj5Kho2uDz3t2pxGUCFzjOQ4NSq0DxNk+PEwZ57
8kAzrPsahr3cF7C4jPkZwYQizOZQs1IOI21kdxOW0WeYmaCHnLWfek2u3JVbHAcm7iD/9V85ShDm
moICuqnbp5RGQT5DzXNjY9VvPbpPs40QfTDqpd/m3yz65f4KF7Zw7l2GuiF3gE4w5aA8gyXoSHL0
Ux0jcvI9Y3v/+ws7ePV9xd4kcSedWuL7Wh9YXkh4kH69L2Hhbl5JmH/BhY/kptxL4w4ShmZr0L9S
AF5/srVmh6VtssCIidcCU16RZLkWIiKw0tJ+0E+u+zFLPq51FC7tkgVqAhRc0dcMb/X681rs1Elv
Cf3kWZgjJTYsoj5bq2fdVAWQFL4UoiTWoqHSOj3CGtKpQADxIxvLwHWORr1l6b6tV47ldknv7G9z
Pz+E3lhnNCbFtc6jCZjwTTocYsuv85V2hkURKHTgCQCnMlVr7oldJMSopwlQpB3CN8H3ab9iAG6V
CyUNdP7NE3qQk1R9yRikCJXF7Qm4UCcwmi3XXm3zVMhHx7nNKZJLOfPvuFDiBvo1ce5MZwO8VP9M
7coybtV3HuZlgfEOJHTAhyvqm5YMdINaA1aQOpiyEI1g9+/g2vfN659fS9ohddG6Z55vbBvsWBlZ
M5ELJwE/DfXqmQ91hgZei5BdYibcYdFZGlP8veVRdMqp+z0DAcHXXGA2KLdKE8QnQHH6ea9N27m9
2feY+RwlxUGYeiBq7VdjY67kSD/dX/6tIl7dLPWZaBpXGHopYYLS+qNbON/pUD/RJtncFzP71NcO
67UY5RTHBjjZYcQFnsSzFe3S9qynH0wvAbpwLdW1KApIODSiA4EFPvTr3Z5MzYitjusnh/8e86+T
mYeDFLs0PhdVtpKTuj1ZLMsBVhJ4X/Rxq684WhVbkDAW+gmcDGGhf49mFxzelfH9/vYty4FnDUwF
OjQ9xci6OVjCdKfTT1m8M9w0KNkmIW8W++e+mEVlmB34/xOjmNmRjGZvdq1+6uMkyLW09Qtb8wcj
XlnOkpwZiufMtN9AgM138sJk4JViTlynxsml+9gMq8n3/oVaX0qYf8GlBHQ5G8jlGafOBQa32LcR
gJcrq5h/parTlzIUw4cR9lORT5DBie+OYb5G/rK4S7CuM/x+nhKnROjxiIyqEWXGaSLfMWUSHrsn
VvR3cQkgsZxNK/JMav0lj4fSE0lhnKpM+GJPkdm7r1FrAhSNMgud23nXGqfB/tpvu3aFDuu2w33u
nPmzgPe/X5wzyZymNvsa59wWzzXqx12P59Ryh29uLfYORb/wVOwi2X3NezdkGgblEnejg1CmcviG
E3R98QLTDJgMEwwd7to0zHi1Aqle3ASkA2aiFOyxWn8GnX7a2JVnnESyoXGIPop/scl/vq/a8BgT
PMeIO8YpNXYsPdRrFnXx9wMjg/YPpN5vJsKiKpHFIjLx+53PtPv0+f6vX7JthOJ9xD9wuNTX0Zm8
bGyK2JwdyMMkvWB0dv2QbIZBhPclLXmRaDd/Z2pCf716ocy+ta241WGtR3ZwvXxjFPZhJDQYDK33
R4lmabpGGb+4uguZymtk57RNRw6ZKJD5mneYimfTqn23+XV/bYvG4kKO4sawyMnHrJ7001h8AV+F
bf8dx/8iawFisD/7pwRcwmg7KBpkIPv0oR/GD72BoliFmku0hp9+L0jdGNcLWbNOXlzsnPduNIpR
P+kyDefpgvzFrTepg7kEY7WZMEQlBtFk0Xwr5ZdKRwzwdn8/l84NEy3hPyANg+yl8uJ2ejFZYOjB
ftrwyT6Cix8TeMXaWKYljcRAGDgrKOLjf4oUUrY2qlJY5ZB84Oxj033QxKc2+QRymI3eroQ1t/zW
MJaX0hRjzGorknKANHR4PtkYUJGCbEaSOoAPszH06lDbYl+mVUibJtDp9LeUWdjV8V63jLDPp7/i
hgZdXa+Yx9u+jOvfpRrxsYq7xJrP2uWl73m/rOjAXWT5el/P9gn3fN1gm2itJ3vxhP/sveonJtRM
06jGzTTJGFYJ+eIMWlil7SZma8Ml10Qpl7MDINbJOC5ON26L4VgNYVnvrbW21sXH8OJ8VQLToRin
GlN69FOEqXrMkNvIyfwqL1+MJvLHGN3HMbrQ0vFsF9m2y4pjK52nsQbbBcu3LG72DVohWMJDK858
xmQT1Hm8v3+vlvJFmFmOqBfs3CBIUNlch7TyWubNKp89lSXmF2pbgxz65mVs0BGfRy9JDd+zqH2J
Euh92Uvv2KXoOXK4sCmU96kD9ddPTbvhT0zb3P/84mUGUdl7Vh6oGcXUO6jXaggHYLKy3x6c9Dzv
/ZShot/9bcnvSbKGDVmQN4+TAmUtggJgE2atu1gO58JrNY8hKRJteLnVf1dyN1pb2/gUr4EMZ8ug
WGMEUzNfowVSOXCXXYtKMq57TpJj55zxd0Mnn4F/pqDpmUY6OrVEHgKquZXauL2/pQuvGuRiebAQ
qOOqcyjRQZM0UZ7oJxHvHBbaSWCtTSdfUIorEcrdROJU2D3B0rShCIz6K5B1j6vdlQTl2Ux10bg8
xzm5YBACAww4lMT/KEJ5LbNCGwZzhIiIv7XtU/owShbzLee5QNBqXCBXxQmZcRxnOcsQUzMzFNMG
mJjw8ZMGqxsAoHMj+U09uhN20nPPmk5FTf7mQxYCHfirWEXoLSkUNRCuo0qB8Tdqzpg1Cety7k4n
zXvynF2tpf6Epr/7a1kw92Bi/iNEOQ2tgBVGUXQ6UbfytRLjODDB2njh6YrBWVvM/PcLA5AVQ8E8
TrAYsknawMvRw7giYiGZMo9AQc0bCOm57n0tQqIAU3bEm06xcRjlE1wu8WWwH06GgrkacE3UKWbA
xk0ytOmcxBX6dBqNXdPsmmIHaM/9I1nyJ0GNjZ5vF1BGMMIqe8V0q8VzNI4nZpr7SI/9lPcfe6B1
BHM3ogTe3DB3edv/7qz22WUkEE0edNbakS1YG/wM4BSQlwITtQpN0T2hUVJb48kJWMYDMpXB/YUu
6N6VAEX3EoMIQI7d8USAQc42FfnRZrqfN49yMEK9gR1EawkaNgG9ULYzauNKoBIH3n3wL/oeX7EG
S14CmLoRc4KiA+y6ancwCskdCAC1Ea6MAO0t29dWHpTuM7e0LVpd/dF4daLMb+yj7v58fAfR4wpU
DAAYeFcVle8jkyNpoVun1tl29KdbJUj/b62VEv7CxULVDPVFkASgZKoyAgkgF6eaG9aJZS9514TN
mIIc5ndRegGqpv9iRTOlGWajOcjyKH6/CQ5ka+wtcqLDxyn67vQfMwPoMLYGkVnSPaA8gfsBqmQh
T9CYJMkyCTms3RD7qS19q/fRzLGi40uX6EKOCoptRzNzBRqoTgN9ddPa7x8eaADtvhSgeHIoNgEf
ZUGAzp/QYZutQfhvycFmASCImFHDBFgixRNNhwRke6VOTqWZ6bvW7hu/MvrUR8U7f7Fi5Imiqa13
tVN+N9vB8BE6VkELLIHvJWKtUDTfVcW5wzU2cI3nWWRIyV7b+NyOrDLRBvtUdi81BncUL0a3EuIt
i8CbOxft0dqtWKW+62KgDir75LTV94zEL9QrQU5sb+4r+qJiAEv7/8UoVmngcTJ1OsSkBFy3dAjl
v8hnYq/+SJivwMWTm6e0Sx2ntE8Z5gRvpPl2fwELLj3oEGfeNhS2b4Oj1JiStKgMcnK60I6eSQon
Zcv4M2YxrsJpFs/kQpaig2Mr8VTgkToVvelnZkAr4FzXUkaLJ3IhRNGtvm9G1r4L6YJf+uPobFwj
dHrYYJ6Dc6o6Dg5DcVukCQwOztoqtRfTHQ/3T2TRpl2IUBbgDqZeaHWKm5qU9Bm9tW3gaKChbjGN
zK9IIbePy3OR8ncAccbrpyuvD/BardPrBeR1JMQAN98ifYBRgWH7OPYfG2ZghttcuMfQCsXIuWMl
Na+qyEmr9xXb7++vY+ng8bThJUDsA3Zw5Spyy8ny3IhhQjNf+56v0YcsKe/l55V7WJS9M6bzsQiy
sTlmdb9QsgITXIh54Sz+WYFyP2icRxjehhXExQ54+bJAhWBfaBs0Zpe+XBt2t7YgRc8w0yOPwRUE
zFlFkQF/HQwDwL7d/UOZP6Jaesyesdy5XDkzOl1bL1CEka6wGDml/E1oGC+K1uDY/mFaXyp65DAD
98Ut3R2U7oGYRQQ/D/i4Fod+/8YDoRoB8sQEBP+LI7QwHRgGFW7uC5o/dLuuP4KUzYvA7Z7VJgSN
6MV7apn82CdgjeNJ9iVHNiOktbXm6yzqNygAwCJqzP8q97T02qHikpOTlEeabNJ+xWdb/j5BjIrk
B5q8lNtZcjmTWE3kZCe7KvO9YWXLlvQNtISwAOas4+r9RPG8pllVmSdr2PbFFiUJnq2EdUvHfylC
uaNZMgwZWoDMU4IRDlMozacyQV/EipItbRQYHwxwGmAgL4ps10rWTzGoq03TPPGubvzUsKbA6+o1
UKCyFgSnmKYALlqUY0GjhwDyWgrPU1mOruYeO9I5h4SNjT8lUxQSd/jiSeasvDrvCbULjf6PvHkA
INaEkqEK8I1R1HR7lP2PiL2TT7adxB8zszfObm4Zv9PJ60I8H/bXrkZmfipNs/H1Mko/AAmUc1+0
RnOo+pR+oKk1hAwk5oc60fug0tDhjG7VPgDASaI/hLtB0jbDS2JPxkmSJvYFqrWB60Xet7qwhZ/r
Rua3erqWV1DU7319c2nbQnIPRlaNH5EciXOn4/SYirBva/z6DXc/3bcKyzKATJxH1qOSc3NFiROB
3JMeae8GsSe3ef0Rg3dX9E+xPf+3EvAUY6QJiPxVUo1Gj/qhrhk9WlPjDwnZRzF5RY5rm/BU8w1X
W3lY1dD4PwLRyQjcIxImYG65VsWJwrk1454e9VL7W6QWGDwAn+f5aZzM1s/y5AO67ny90ZClI+fM
K1autXLhbuQrxpYXEddTe6BH2fVPgsfPne2uZBeWbhtG7s7jQVHbv+m6G+Juagxo+TECY8mT5pnN
myx7iniI04OVSLKyp4tLmtkykIXCbGx1dlpqCnSRJMQ7Gqic8ilggPzd18U1CcqmZRX4RGrg6I6W
3JrORn/stfjPmSBgABckyFCQWLjWiURK6RVJ6R1FLnxt7P3f93++mj77jwBMzpopU0Ezq05cGDWt
KQcq0bhV7Jz4qf/tFs/oo0up34yb4Uc0bqoSeZpQ++u+YMUJe5cLzCpmzs1WAp0O1wsz6WR2ZU3p
MdNf8+iLaX8iovRrUNKN5bdh+tGvqd58EKrhRYCKVDRcFvS/K0Yj0TwMCsuZdyxQE4tZ9GJq+VOZ
U5BRNKPwOx7ZGy3qgvvLXFKPS6nK+XlNkeStFntHmRuf8rH/1lfNWlZ6cSuBYJy5POecneJRFBFh
aY7M+5Ggz49HmKGdM1+b/sq7U0/OfQsKFPnz/rKWLDBKzqj0oXZwmxAa3FS4dWLDAhfPhO+c5oD5
4/+TCDUXVHftkFdIsR1jxn54vfHW6N7kJ5H7WL7uP4qI2h4yJBTNGWqoaecpqTj6qY4oYP607OpQ
CJ4ESPD8Mpgn/Kgi+u7+yhY1kQJfOE8tRHJcUf0KWBmov6DHyI3kxhPdGHrolQSbHMsDvev0TSxr
sI6RaK2wuPSkWcjr4uJh+g2glNeXLsrqaDQlSU7RdGjMQCZhZ+8afnCzf2G2kJHEjLM5+Q9o0bWg
SQDULaomOZnA4FjPxF5JOy1dK3RyoAcN3dsgSVUuc0HttsnGNDmR8lnLQm8taFt4p+D7g9Idg3eB
XFLpwJg+IFdXx+5RCLmLhY4qj70p5KmTjz+ICKRthOowhMjVKbogOq0xajE4x6iK/dJgB11Oh568
ZFl4X+kWdgwFErhLOAw0U6o7lto10Uu9s489c3xwX3vjWkZowSaAf3emy5t7NwxLeQmbGNRXEzPt
I7GHY23xT4PWfOqy8nEvZeaQRPcviNoWMNeE990EaM+RDc+NdTAf5JSZ7cHsmKBEgPjJwH+vVTet
jbxoZWofhRXycVeusYYu3P6r7yuqy2JemTaGTh/1YVP+nbd80zYMLAdAiCP7RNewpkvnPg9iBKXa
/MqqdT4UW/hEmUeOZBfF+4Kv2LJ3BVWeVeAHgB6gyD7c+uLaVOYVetLJ0Zhy/VVGk/cXpkWjj5zU
4ikuYWLQYo8kToGQwMoLPUDzqLcryynd0Z7ixW+sYld7jnzxhkJfUfollUQPEwqDaAtFXn7enIuk
LsaS1vrkduQYDxTUe/rejssydLVobQTtgmEF9gUNWch4Akmnxqp5prMqcgpytMBtDyE+0hZBgxDI
SHeuuVZlWLJOoPvDVUZdHSPqFTMOFq2xysecHE3tCG4DJEhjn5LPq3zXS6oKiBzKWIBpYHqTYsUp
LVoSJ7V9NL23BD3Lpv5h0j9z8lJqz/2aQ7h0Vjbs0ntfv32DCKkSXjq1l9lHOx5EoOmgvrHT3gmd
2tUfd8rcS1HKFQe0xTHLnMOEyDdSnT1nzSNbVAd08c7cmNg51acAb4qgQ4NLN2S03hCwV4ZZpY8H
5gLvJoTtviRJQ1eu4qJQkGAhYAW7wC3cNs96KpF8PoL1KYyyGCDoTUroS1ecE7bi/y1pBrCNmNxN
EOnfzFmwzaoteEvtY2EWv0lSBYWLfpbG+EJo930cik9RDbT2/RdsSUEQF1MYGQp6PzWW08xuHLwc
2ghSC+DXjoa5x7j7FYuxZC4d8JVB3RGgorPn2mIUUV7EQ22TY1u8gmnCd9ZmHC6uggAG48xoshvc
RY98vSVjlxwrM9TLbW36qbe9v1EL8YALAqn/ilCsHjPSxp1Qoj72qGSMueZrqRuK9rdwX0XxXUzx
zpPf7otUEYrvr+Z8eZFKM+EEqARZVdq3fe7hGQA8pvs4SZE8pWiN2qEXjoR2VWJ4iRNLf2KT/v9I
u9IeuW1l+4sEULv0Vb1Mz2K7NeNZ7C+C49iiqI3al1//Dif3Jd1svuabXAQJAgygam7FYtWpczbr
CDndNhi6z229WOANYL+4z+djnm47j+7rFhTxLE38Gz51OUr0VlBEYxD0HxRG+89vRvshCH09+0K7
x3FHu/XRdHwM5p2BF6B9CJE186Pxg3SafxlCZgjBKprdLkomzsiqKafw12nDIrCslBHorHS6VKrj
DwwAbvoQAwrkAM8itWX4zeAcV/K6WPA6fhiNzR9WyyNm6kgglMfkL45NcUrk+Bhl+sEn0+ocyfol
8G/B6Hh9P6m+D5oMvFJQABRdS+fHsCtomRoWgiSDZ89tPn0uiA5Zp7pET00IF3cSG1A6k97oEueY
txbalEZjTz04S4SwuxSwx+vjkZHQ71sAJxuoTtFtcaE9adtGkaTIBh/TLvU2NWgcbKO/p6zaTYP9
3SjsT1nZ7KwqexnWSlPvUo4UbhPPSoQnWK/zkfK1NMypJbBdCzxKC7lYo0cAXTvmtHfB4qO5HFQu
DulSqJeAxRDOWlo87jp9X/DVPxrEjIbUvpkWK2LhfHN9TlV7BIcqfM/co0gs/n6ygFld2Wbndf7R
a46J8amI/8XnhYYPEvU23gJiVk8+Pze2TwuIXh+d5abZVjpOjXfMthw4gxfv7+9Ls2SunZ87DN8v
SrdwI6dlJUhLFu9LwEyHRTxL7BvQSC1llFHW3HQJYXjnlkk0+dTYNKQsbgqrpHs/96dNboJWBrRW
45vXtiwO64Vturaab+ulDg9pg+ShHfLgW13Q5Pb6PInfKY8DAjLgaxB8cBc9UKlf1mjYaIPjEJab
fAUfUBFzWqAWmN45TMdfqdrLoo0RrxkoViEaOF8VUGCRtkuX4MjrgxO+LPdZEVv24fqQFBsYFSFB
fCBqTxfhW8hb0+QW6gtl8QQsZmSB3MrRVel1RqSRkDQfIFeDV5FFyxtnvVlG1DFCzUgUZyQAjySu
ZGhcYSOLUOFkE4NlObA6HvpHgKGfl7DbugXVqW9obMiJuiRdzbldA/84V8lT2i8PQb4+X18Qxapj
GADQgCsWVSW5S9bL3HRwWsxVQZ+t6qX3n/rqJXu6bkQ5Doj7hEiiCvodsWAnc2V47cAA6MI4xgi8
pR8k+xc3AKqZeCvjGkBZWc7SpijMrcHYescFSnHLtvY0mSRF1Hf2felR05j1xJG68I4jr/eVX96P
3fQ4V+V2tL1PIOH8EVj5NwCnNWbFNpWPP7YWHr94TYtu0/NZA6rFCjPaBMdu2pXVltyWb0YTgeYw
STTxv2ITINT425K8z5jBAmoWXXAMGyOmifeUuPyQrvYXZi1/Xt8KOlPSA9u3E4Pm6H87wrlFReFu
14BHGYjwsuWP65YUm+5sUNKqmZU1GzWD91zcLcD9oIm8/n3lSICGF8q3EFeXN/VSjY3dJHBlA3Pv
Gr8Ga+1u6N1Pc2r8m41wYkn8kpPjM3uZTWbhNLv+R1VBfjX8GTjztnHXyO7+ZLrygHLiTsxJ12eQ
0DqrnAIuwQPIzRcvBo3vVDhotKb8M3WSg3ZJUi7hAqdT54fFA1/ka6ELAnSDkA5PyhbW4o2Di2Z6
9Ps/HEcTImmGIPP440YYfUoxSTx8BskkydDPXuh4NmTM63tsezJRMt6sbNqg7ZYa+b1uxuuNPzsQ
vwVE6GGszScS9E9O0PziiXFju9nO6fxPtTXurm9z9UBFUQPcA94FIqCY0qoPrNk/8jT8zBr/Jg3T
b3zSgUV0ZsR6nuzxNKe20xkLwCLh8JCH1k9AslH1tTRHSWkGTeXvyAO0D0vbwoQUiRUYg3/M0tc6
+87T30WmKdAo/QKAJAJrAKCgTJXHKBhB6JgGR2p8cusm8lwWBeyrVXy9vjAqUAPSzv8Ykk5Rzod+
cjjwNcnSbptu3gRgk+rGL6JBx1pe0zLuBz/q6up20cl+K6cRCFKkp1D0Qr3tfLU8CmFTnmXBsUo+
reVt5myYrglceYBPTEgbwspNL6t7mOggxTHe0OZjCkF/HS086CG2grjkQpbGLsB0m4JP7pgl/jfO
xlfLTnb/ZoUQkwgr4LGRAW9uR7lpg3L5mJJvaUrnyOBNv+mqrIg8NM32oC+m/vKlrI3bce3385q/
XP8Fyr2IgBvjE2GE3BJSWBmeFy7zj0MTNe7WeyuAONC1zyjCIzxO/jEiXekJJ5VvODAyWYTTLRn5
H+gFqF7r3p8ejZAMP6o1nUDa2/Xo7UxWzRtcWSeBf4IaBdLCotXufDMWQGRZrOT+0URrLq3zG380
t30ybEyr/QqE5c1Cl588ZX/ac3fr+RnaR8a7oBzj0RrvyiH4fX3OVa82kFSF78AYnA5xdk482TSl
K4SnEu+4GgM4h2k/PqR1Vh4J65bHjobOTWqB+/hfGAUYB8QeAG5dgFmMJcvJTHL/GBR3mX0fNFtU
2h3nsOrYe1SLDZ+GFgyAWgCKlU4+y6uqwI/wjhbCqyjz+L5wnSFi1fi4jivZLVa9T83hABqWx48P
EWAdeFQssdD/PZ/XNAwy0q4pbojqe+/85N0nb2j2XnhYdIG3yvWcWpIiR7YmjdcshnfMS1DjblZ/
e30kpupYolUL2xVtbSCYk24hkhTrWgymd/QLXnJAirNgay5ts2sz9HqstHnBnZ9HVkO63URJccdL
WjxMbsfjYRrH257R5dBkNt8sxuLtmsLTZGhU/v3kB8oPAo8yw7MGrPJis7u+rjcuCHy59y9c8KkV
aUVpbuYGYM6o0KMLs9/aurytchS45OHhPRQd5Mu+6BySUBuXPfj1vndOcgfatbek12UgVQceHh60
d2BYB6pBGkYBqKRneIiQQrcGoxHfUL58br3kp1lNb3bLP9hP835zndqTtqffh25vzCaSjivZJmX9
GYwMmuhW9fTEYJAdBlYbhJuSD8Mruwd/XeABhLRhybZr9pOHfvnIau9t3TtKuUontsRhOfGX42Jn
i1vBX3LgnNG85ZnNxtKF68oTh6SWkPVGICvXdaEZnpRphoymwW/rhEZQ4To0zIjssbi9friVwwGs
EHOHbBqKeOfDKSFcupTu5B9re/7JF5SQV/8JoA7NCmnMyDc7+qDY3LQwYzrLsXEy8I0EOzSQfL0+
GqUr9EEKL7CEkJYWfz9ZnKzK5zazAagyk/lXWtQPVuFoUCfK43NiQtprTV+hhb4RJpAccjdBvjOM
h3aGtoAmC6XYA1h8lNyBpsD9JVM+jXSZJ9TGvKPHsmjB2nd71Iwb5/n6lCnGAzMOSC2E7sIFDD0z
86TpOPPw8iS3yB44kYccurkMe5v2B3vlGpSd6jYRm9pHp7ZogpMLqw3NyWAEtXCj1qNjvXL6M33w
inXb+B59RN82vesLakdrOJANK81jCY2ExGM1+PAK8mPISXkLxmVd8lKxQ1HkxZ5BMhkTHkpbx2qH
hgumzaPl3RvJN1Dbb2yUAP/FZIMST+B3kcAMpdNGmc0soFBAa+pC/ji1i5uVFM9r5b9gFe5cFB6v
2xPfk3JyAW7t/9jzZXUW3gT1yjgcY5ojhNwGQx/xfMP8zRKwKBs37apxJ4oDiPdVgNY2lJfA1ys9
8kok0bPenxGLQEoI3IKaoEr3eWn+5j73K0LweXd4m++I/28+j8KFYCMVHXOSbw+qemyJgc+X/n1Y
f0Z59vpyKH/+yffFWTxxTxPCpaVL8P3i1jL3Tba//nnVatuIdNHGgurvRVs7pEcMhqDWPXZF2Ued
F2yztfsG2o9dNY27qjZ+mUHuboxRFxmpXNWpYenshFOIhI+1AATC2WbKh83o8o1j/ZyCZHt9iKoZ
BHJF8EhAOuPiusqryfGAbnFx07+ACyXUXFOaz8vX1NSU1WQ1+DwjUEbPvIh8HK6Kt5ZI9MLxwbVL
7xGvs/pxGSb76Pgg2uoALb1xl1zXi61aD/hX9JQBFkYu8h09TfHy4IZ9tMqbYt1PzcHqDigEXl8L
pRXg9gH/BkT2YruZYJw2i7G2jhyJgdn2b4MSgu6z0W1RzNK5Z0WIh8Q1WrRwE4KwTcYRMyCiwT3U
W8dusVN0Bkx3pe2/NkP9rQVoOyq8MI1aPJyvD1F1olCaJQBRgPQAyJDzA1vmTjo7+WwDes7vG+A0
A46WAZv9WEZj2gxZ/WaHyNQPRfjB5sP3IhHQdqIbDaqJ2O7nltF5li9el9pHMgxfaRne52upuYlV
Nx4ScmClA1PXpZhylc1NQQNqH6vuYCxLlBjbgX67PoGqZRNYU9TOQbdwwSs5ZiFwAWENkFOKrEJk
TuXPMmySyKq86rfVz/mhmGi6TWqb7K5bVo4OVzn2C+69i9JtBd49mxOcAbObx+88aOeXgHsQXrKm
VXMQlKbegVaoR0OAQbqVitVbLN9onGOS15+yoDzkJr1LaqbJ1KqcE5A2wHO9m5Fz+Cjgzy2nLcyU
N021yXUMUOphAEaPZhwwichHzGR+V88evr+2n5rlbkh+BObzv1gUaMXgnYauA6CFz3d1YFRZV6O2
ehzr9sWF6nKYJX82Q/DfmZFZQFfUuZKp9Wzc42B8rS0a7hfc+EhaUE/zHFBO2j8jes96n1zp1CPD
SqvAPvJ+Q12KFBMoPjzNBlPF6EJi5z/T9l53OTHSIX2dkSUFtDrzgBPEC9Q4lH7t7JZuyDekBI5n
srXQK9XQkKPDsxCaSNBVlZzf2iWFwKc7R1LuDOdA008s16RUlCaARYIFXOgARZ3vBz4smTOXBPjl
tXibkuazXYCinem6XXRmxE12Mn+emZbUrW3nuBhl8zXPnGyLZnzj27Saw06zwy18Sw650dCLDA5c
KrmgCJxNUto2Td2jj46fCBJlI7gXs27T+G4BssCU1Q/luiz7umpqsD8k3oZzSHZ0yZjjYC8APOd9
fuh9o9zNqekO0URIcdMNc72xatLdBYvZgJuvn6LVH7I7r25ixqHHBkWefN+D6eWQot1oT3Ib3V71
EJU5+kkWz4R7b72fSWfXVeSufbKZptqLEJCIzvNp2EzgpfhllBZgqDX57hrEeMOL0doZdOkeumVG
MIwiorNPHHQKI4FuRoJB6clNQDrJMpptnWrsb1u3zvZkTHRJK4XvA3of04riBNBF8sPeyK00T33A
ALm5W7Yp16yaIpTB59G7IEQ04P8kv9ROvAACb3aPTfdAaFzX9117yEpdI7FyFIheBP86wgoZzJhD
I9pH46l7LOyNN0cgtdVsvsu9B3o9gSfGAwDwW2mfj03HoMHVuceSf/b753WN+uzjEbLItAGtJuoz
4Cc4P0pNj9pT1wGcXzpP1sPIPh6TgLYCoJhQELhddD4vKS+tOSndY0//aCZIKYIlx1w1Y1CsNrwp
WhmAhMRUybFV3WRz5/ShAyxUuLXtEnKOLVpqjSgFEe2HV+TMlLQiNKVOE07UPabhpvA+tUhiWPvr
JlSXA1KegA/aGM4Fsqtg4coKH9d2PfYPIj3N6yQF3537pRoDZ1+5gaaCpdjFATYwioTECiBvJW0B
6Cqn3WA49hG4uR++v+yBJPt4Qv/MhDRtkMxJxrGwEZqa5nYx3cdwNg8CxXh96lTRaQhDgQfaB8GU
c76ZV1BwGNXg28d5Kl96k9+t7XrjlQ7Q/pRv+3TII1DFa2r6yumD60TCFUzbjpxxXY3UyscMbwqv
fAQjnDto5k7xfUhGwwtgZHi2yAW9YnHdfIAuzHHx0HIJebMW3JTX501xgPAyETViCDuAW0gqIdRz
Mhj1jKDHC8KfqdWTp8Eu+a7kYKl0JtP7+KMZVTRU8FwfD8ALXcap7yBsO6J5y7dBEm2522bUuB3l
gE4siDk9CRAmA3JgUwELA00g0xseBgMyqsO68YdKF2Yr18dBF5ogHReEfee2QqMeVhF+HyFu1vjG
LnE/qGol3o6ILf62ID8Ucm9BHgbKM8eFJT9SD5jieeKvwQwvd30fiJMuxTpAduP0CLo0cHBI5wfq
SlNbJIl9nHr+y0hMaL2AUj0qrVZnSUzKNUvSAnE0tK5QxrGPxlvPds5LxzB3m4FtebVbF80JVQ4L
Wxe+DS4OeczzFQr8Gs05K8Jtp+tfHAbl6RKKwEugua19RagIG6B2Fl4bmDzpGDnW2oJqbrKO/QwK
rYWUADE7pYsW0G44Zr3rbkGCRaBfvNqPdtYNX10yL5GNoL+PvJbNUeL5jZCTTts/S+D7gNJIxr3l
9vNbEczeZmZd8GDztrv1AqP+Ch34fGOmCX/CuuX35Qrf6mSdu1nshh76MQEPTLKU5d5KnOoeahOz
H/m88jc+dbxD2fbtF9doi/swTeh2yQ9rP9y2aPCE3kVQbEE3cJOCTH42N5DontNkW3nBPUsb5xPi
QSS5S95uCbh1HqkdovHBIO29GYxu7HZB+htxcLBzQ9btWzate9ZMy5a4g/vCJwS+g9dkG0RV/u+l
FmIvNbMiiw/G1nG6eWcnQbEHaDp7nDPbvgsTq9324JrVLJfKR0AlAOUYpB6hcSkukxMf4TQra9C5
hG4JQNofm3Rbsd32+nlSmkAbAyh3RYf2e+nkxESXtNSxIXx49JKdXzYAmWZRyX6O/Md1O6rTBCaR
v+1IG9wHCxlFW4Z7pOyZchAL71a+y9m0yWYembxHoUCXv1OdqVOT0uwBfgG1YzAgHMNpD/Cht+7T
cX99VOrZAx2VaGwXrarnC9S4yGjN4YjYkeDJkzVIe4PObZ3YN8PREV9JQReerKI0i+4DoZciRInP
bZGM24DnZFaMAGmXrd5tWCCUxPNy09N2b/vN5vrYpEvjL3t/0UQgIYgc0Lm9KUkNrzZTK3bLDX0d
dWS80tT95/NweUgu4ekqY5Lgr8N1MXMr9pc0efHL2d61dVsiOlkcYxO6k6s5TMrxiMscCWqkweUg
ZVqN2nTszoLw0YPPPwNzeH2+pO3214BwVKGdixrjxXuxhVZ91ZfEiguz3Db0mFCQeHyQG+IvI3De
4LcAtPCio771B8uoJg+zxt2IrN7WTsjeyb/YnSYAUi0PGq+hpyBudrRuna9+N3rhEmRY/WE0i03u
5s/WBCIoy4QQo52bOqoa1eY+NScm98QN4eLxWDkIc+43GjwX5T4p9tX4bIdvH18lEeoIgmnBiSpd
gCYYY3Mk0KE6NLz50/dk3beZJsOknrp/TIg7+GQsjQWxv3WECb+9zcIdX2+d7ha9+NcHIjnU951w
OhDJHZhVFzB0P1kx1JfXeZ/eU47urJssiezfia4GpjSGTY1MBdpTLgCESBdZvY2MSFw2/XJLEN89
MdL5YJMtzVsXLFEATzaTtwUJPiNRksw6QJhyTgFmBu+AyADIhxdcTXlCUeyJzXT41LT5H3OXQMwD
FO/RqOVNUp1k1GL/NiZ+zMkCIn7w3cUo4PnaXftnxQ7IX11fPJUvQgAGuDgq1wAjStsdTXdrHQrf
OrqPWfbZq2+vf189gn++L42gyK2yLgmzYjyoos76s60Oy78Qw8M77B8b0o1eLmztwhE2umSdN7O7
vmLni1Te+PrfDUa6x8chHZjp4TwBdHUDTv/IMcZtZmyvW9EtiXTdNXRmM3dgBf4dD9jOP6Bz5d84
VTR8CwAqSkRyMq4EkouPgW9iY23TTwbZtJ/mQTMO5dKf2JBmy09abhhg7oCs2nc673vzMIy/r0+V
0gSKvMjIiX9knCnI/9LcrDFVVnFXJd9qJC/IlGiOiM6I5EV5bxVmbycYh/uFtGHE5p2T6aocykU/
GYnkRNnQgLzMhRGQmfiQNvg4lbQt1L4QHwoGdCL3DiYdGdk8uXbcIYJvf0xEF3RcDsAmwCSg1RlZ
FxMQmHNXtRILGlAGCP/n+5V7UdXrKu4qA2iCh04HwHrIUkvHIjGXuTVy14ldRnbBnG+oDp1+6doh
/iPe8khOI9kekPMhNPOMN+kM1nqbL+lDOpnPQGFAqK+oH8M20wSBl3EGHr/QUgqRBzHRky4teJpM
uZcPpRM3/XbNv7UrHMmGpN9te3v9jKjmDScZNgDIRqpCbO+TO6RrFxpmbe/EySdg7pNK4+DVn4eC
JzCmNhoUpHHMvdWNLgORL8nvR3Rpd0//4uejZYAgZ4TVl/PVbTUmrpF5Ttwtm2K86a34+vcvT7dA
N0ClAEr1gjJGCsOoX8wghqJujJQKKw6AveQfv2NhAhQOgozEvkx6ujUUmBtoP8dmOZtfeRZO340Z
TKrXB/L+7DpJEyEOA0k8qCuFkg3wNa50QMLKBDtIv5ixMYdRD8kFJEp/zMhjjMkLuFyiYC5v2uyu
m78sK2SB+J/F8LHk+PsvAK8DsuJ4dVw+Qs3R4KnrGCRGoYzc1JmliTQVBxTIrr+/LyOU1npNB2JR
E0I6yz7tut1cUeCckUZMPgY3eB8JiN2BDHVQr0L7xPmhcfnaGnWFu8vplt3noZl31xdLcWpAUYKv
Q5YCgHdXulNMp2J1NuV2bATfxnjQqTsqP49Djy0NxN0F8gSsJKUJKJEdBxCCnV6cj0dcINH45/ty
z0GXFpXvtYENXUdkpR4g5xh9lNhCLAGo5xykm/BKBsW6tAQtMhrUNSc7znEmM/QE6F6wlycfUEc0
dSCZAb+C43++xqSf7V5U9GKj2INVGgidLN1+dJlhAtwtoFBAATeQUwspTYqRO3SCnMZzQkFG0WsC
oMsTAQOYIXTTo/gJcrLzMfiDS53ZN8bYLuo9LqkN6uqdsS8CzXnQ2RF/P7lEOESOTdSLxjhFGN8a
KBzyfeIeShTvr8+YclFQWIGCFIjhL8odvWmVxYzOWCiOV9u2Jz9H9EXaHv3535kRB+hkPBao7RcX
hEBx1Tt7G9yfBa//COzix3UzqmkDjg35bTSbAJAobTET2Bh35cMQMxb7dgZlvDJi7rLt2o9r/+Ip
iOAI4TzcFc78+YDcfu293rf72PVuKrA2hgcv7aMA9JPpj4W9XR+WapEEgBuXvuvZyASeG+vcPkdy
0OjjZj1QPy7yg91prhKlCYFERoaEXMJ5AYOwiqHJh5iiW5WTR6HoFOiQD2ojgqAVJSPg5CQv3AHD
mBPH6WMkltCkD1iHG2g8gMoEmDTAriXqHBegL0KNkRoO9nPBv6JdOqrIFy2HimqXBaA1xQMIffoX
+VHWDmYBxo4J3ji/87nzOazdPR/bLXcDTbR3GbWKYpeLf0S+4CJXmuU+R2qmmONgHSK/vJ0yFC6s
rT19BXvDh99d57ak92PShv0EUc45dqbnIHhpQe/YZF+v72T11IlNhsQvNEalndzSHIiLBlOXzt/N
bD+zO75uAl3DvM6K+PuJt3HNtDIZOmxjx5hvzHR812L3rc+k05Ryhds6DwExZdhnaCxFbfUCYzOl
Q0hbwNFjSEREaI2MikUTgqn286kFaVHcmYc5C9s5bu2fc32XsNvG1TXNKSJZ0LIhMkIxQxxLT5qv
KunboFhANNzOr3R5Ka27Nfd2Tog6YcqioXzry7e0rjaGdddaD2he0QzyHbgozyOA9ngsQQ0D1WTJ
bwdpQNnoWxM08vjb6Nt3rDKfgGD6sgb2zl69zdLY967IMHqQIV699tv1bfl//ADg5NFDC4iGnBzm
LpQUJws7JmgfK+u3OY7bttw3xi0ZXgO2G/ihNx8c+8NZIcw7MEH/a1Xyh9XSL13pweri8qhBYNRs
l+yP1NU4EdVxODUjRXYNKwaXLd4UN8GbV30DUQ+HDp2/vz6HqrNwakX8/eTQWUvtUiKshD6LKM8i
+v26AZUvBK4b+FDBWn2Rim7LtQZ1yYRN0jK+IXO3TdfixgiDXUbSb4afvl63J47WxabE407cI4BP
yL7Khp9aaLJOcdKIfuNbE6w8w3xrTtbWAnarqHfX7SknEFA0MCYL9lb5dgxLmwV2ms4xf2PJs+Np
QjDxHL0YzsnnpV1QZIkVjDU+T/ixGkCQnG4pdJRQUop6wQI9bomhwStfbjygTvAyRVMYcgkXry67
pRnSt2kNvvTncLLAZrbLUnvDs5ePzpxIh4DbFHkqB4U+aesZw1gNUNyo4jrylnQT4t/rBi63niBO
RU7HQqncvmiRXalVzWxdqpjuQ3Pn/Q4X1MN2hcYNXvp6YQWpHaS5FP1Ghl3QNRthJW9pFAEnEekq
yZdb7MyC/KCv87FwA2HBDPYFCBh0hNTK7zuhaDdCmRIYwXMfQDu7G3i4Yp7YY7mxdUg95TLgnkW7
n4leFTl3tJbuOlF7wuf9JSozoILHb4axNcNtjTfS9SVXLYYNtnchJYz+Ufn0z1MBXk2aV9DxfvLx
mqh2ga5B89LBuAgewYSDjmSU12Sqg3Z0/ZyOUx2TLN+aw123vrk+xyNi2GXV3gBP7/UhqabvxJ6c
RWDeMPO56Oq4scbILMKodrMnpwzNiPDykFalLrBQzSF6fpCME17gsjXMY6FbOaSKGclerZkhTGKb
pdAxD6t2nciACblRwCsd6Rp1WBWUQ+bj+K9VdLtQXT5ROQy8JxCFoxKK9p7zXW2MSxmUk1HF6LQD
ft3/ZVasiuZk0im7KwIx0aeM1zjYl/A/MhjMni24AMpqXHFF1PNbo7mt1iUiHoBHxsHzbrvy6zqY
+BHgG5i/FNXu4zvk1L4cbTrZMFQr7Hs5/9E65kOZsD4C9GGfttXRqcKPgd+Qc8Jl7mDnw2EgmRqI
C+Q0ZmAJC7ol7WJagMu7RZAF7g6m2faq7XFqRByLEyPrkA9dNsMIiP5BEpg8Xp8zxeexJ0z0tUF8
AreD+PvJ57vFHlCILtvYjTJUqnR+SPl5fNwSSS1yUU6gYdGuSbVwCF+mUTe+1prQV/l9ENqKUgIg
RqF0eFojYTNr8f2Ev5Q3hD1fnx3F2UFaFNe/DU4750J1JklMPx1KxuNwoHuPtLvc+zLqHJtqDLgQ
BIZfXNKyyGkx8a5BsozHLP3Rgz69nzWBjM6A+PvJGpOxc0dETzy2vNfG+R2aT9dnSezz89hMVKX+
GYCYxZPvs26kk9tPPF7AtDu6N3MCPb57wt+um1FcAKJ5FswL4GUGCF0KAeupHOt+deu4JG0Wza3T
oDeSxigvviZj8GakveZsKFc/gJAmWJHg0uQbDuSdddEHZh27Y70gZY1SD+Rt7o2w1fHZqFYIFVc0
BoN3FvRBkudaat6gp8Zq4mzYLl/Bnnt95lSfd2xsLRC7IOEi533DJC/KwMMpSTmQ+/NSzo/1QPPd
f2dFcocVXUYoMmGb1cS4yycHyns6fIhiIBBhRikEUSzaqGUGPkgYmiDgs/qYfJ+7u7n6cEIEtYOT
z0vLsDZwMDTD5yGhQcEJf/PhCYKyBZpPQFwkstXSOQQFI9I6DT6ffneGb7ZBNcus2K+4wxGKgTIX
SDvZGTIeGA1diiEmgK8T1OwL6Lbo8FuqJYDOD3TM4BJRAZfK3n5GjLGZyiEuQVyQ7xL0612fJYU3
Qf0WuXxkFkRuWlqEGoxqdHCTPl68+5nfZfP9AkljnbyAaq6AuxHdWSB3v2CQCvuuSZmBuVrWMkqr
X531y4IG8PWhqObqxEggeawRgJbaGzFXnfvWbIZKc/kpxgC4F57cguYZKy7tJ8CEaTsQs4uN5IZZ
YCiJr/983ffF30/8uslJUNYuvs97yE5+nezNyjUuVuHTRfsa2t2xlbyLZQCNd2jOQd7HHVa4NZet
Y711FSiYH9Ph9fpoFIsRhihqA30qmDVlEBPpWnOYK97Gb2YYF4tmri6/DrABlIyAlQEu4CIFN3Sg
7rIy4sSANHeHpNeEmorPIzzDFWQh1hF4E2kpVsvltJpteHCQN7Qs8nYfnR3ks3E1QM0XNAAXDBUD
MfwZtSYATNJfdyP98+NfR9coNqmFKjOKzOc/vxib3jQZOhiWT0X3GW0VH/68wCmhLRVPXdHyf/55
xy78qQHEOA4La29X64vp6/TPL70SiETx2kXfK8ZxUcpgldtlDvis8LaJqLtpw23SHtxBE6ldnji8
/5BARg0eNi57OjPakxJcIXHQp7vC2zGf7NEb8mEPCyu4QDFV0FT25a7ExmnmIDEaCyCWKar9WwN6
pUtMHE3GUzVlFt6cgsEKEi4y8B8KB/4SpqsV12Z1IC5egmtafEaOlUQllBs/vAWQjkA2AnGOieeA
dGsEQUoLI+mM2I+q9pUmL9c/r1gYqIOjSx2vWkh0vGfgT1xhNtGgMRsexNnYPw95AiN2FJrG83Uz
imN+ZsY638gZGDeX0m+CuLTqyFyjcdasicIAFN0IcoDvwt1yc8Tg9WFWmDiITvvT+mrlmt8vZvn8
JYATAlAfGvotXKxyoJmAs8urasuNy+Jn2u/5G6kfZmtP1n02//7wVGG936XCUD2+qCqbQddleWMD
ibUj6R2bDh//PLiT4HOh0YGMvRTmrK5N15EYXlxBhgX1E122VLUQp9+Xa0YZYQsxMz82n9okR2PY
oIk9FKcPYY2QrsRhxzkXO/pkx45hF1Z+nZpxBXbHqe6jnKIRkJcbQ0ccqxgKOogQ04pOL5A5SFPF
cqPsFt6QuLtjIyirNWUm3eelmRqthmVG3pE4j/wkYq3GGeo+Lx05bmetYAUhceZuGd1kOi1JhedA
WztAA0Ln85I0sGGDu7KUrXE5PIKh0Mm/z+zjzglXN7LKiPxFkl9a6sXgY2PULSDHLIg6NFT5y50z
a5ZBOQ68KRBtQmzygl+dOiRfvYKZcQ/mqnyO586O/PHr9VOnNIImT9x/AIugKHK+abkdDAZrExLz
8svq/krGauPqYIdqGyD7wrKABsAXG+LkYAysQ4rQBSwQFPRp3oPh48tk9R8/fSJPgZAKpRAcDGkg
c9kkLMlBu0aq37X1kNDbxADi6vn6dCn27pkV4QNOhkIW32nrhpLYdn/V5Jgn++vfV7hzKAWboH0Q
fJdI8p9/nxYM4PCiIgBRPzrsxehuw/LWhghu7zZRpes/Uo3GQeADqCOelRdl9AmUEn4+FCRORnfn
T+HrMug2saJSLjK2ALb7qF3jLSAFosmI8m5TtiS2yPJHO1m7oQQT0ZrwQ4EiNnWbQzA7O6/2dha6
01rcZpqNodh9aGIAvg+wccSTMlYAzbqMGE64xq3x7C6fbHpbjLfXV001j6gmIN2PRjGxduer1mcJ
N6rUWmOP+Q/22H9OwlHzllJcLgA8IGMl6hWXMGszMb20LYQJiOWVdsTDKpqW/4fgk9IQ8sfAKYnI
W2YA6LEKLm8mOH9SrxE6rJ2ILPMWuinZhvP55frMqRYHpXnxTEFeAFJW5zMXZBVeGY2Hm6zONu6I
BEr2lGR0e93K5ZsXAcWJFenGCerMcFvLJXFpuJ9K8A711QBrP4ysv/GIxkVcDuk99Abq0wICz5f7
Ifu2TdtspmvMBo5KubkxnXJnGW/Xh6S0AhodwTuEe+7iWFFoZpWFv8RmYqRRSNfjOlVeZNSp5haS
NQFFtoYgkfm/li5qwCSDjG8uLJlWVJZPif8alr/d7GvXlREZ0M9H/x9pisttiDYPyLXBZeC/F20F
Q24Qp5isJZ6KaMh3zRCFebTq6s+qWRS9C8LV4o0hP/ITy5vR+zbjVGX/w9mX9Uaqc9H+IiQzwytQ
Q5LK0FWV8QUl6TSDsbHBYODX38XR1b0JKaWU70j9FB1cnrb3sPZaDbBYIwL9u/CcCu1364CpfBpk
YR3cTraiYeP0x+gISFz0zrXbMwf85DzmxxUJHcAmlqeh0GU3ea07/vHDDZtujfG2+6WW5nwMUAsA
2SRwE/Btl6W3iaLLqi3ben8bNE6EQOSMmT6xSqDFRp4Z12aOLharFLYG8MZhXu/dlEeBSaPf9yeh
qGwCSYr3dcZILh4iq3FLhiiY77sqGfk6v//5Qp76/Z8+v8zSgiIZ1tTH53PrPpvWXn78H76P5uZZ
BHbmTl1YygLc4WYZmGw/gV3NQk23PgMhPzWBmUxv7t9COs1frk/GqmbMGNvTqE2f6vrXcTAAHmB/
CZF7RMJuWRSfCBd+MBC5t7gToz+c8HP9jN99J4wws9ciZYRYe/kKc2cwlVmbcu92cU6iOrwqzYiw
HS8Bgz0Df/6+WBgLuL+5tIOLsXy37L7QoiaqAe55J8YrOZ3jlDk1ACBdKE8BC4XesIUjaOWA+uWT
K/f5SBPmsSg/h+D+/iiiLwFuGXpcgB5D8uvr09spg0+ETXKftOFNGCZdF3uReU5M5eQ8ZjoKMBAg
dbBEKDDiF22mQ7F3GAQWpjDGo/Hbi4F5fBphPhafXPIhqFDlGTBC1fFYFyTR5+Cm398ijIAGF2gv
z3nmpYRryHyX1iERe0kvWQ1I2rbtLpVe/XoeKCvM6j9ooLLR6/Z1HtkILOuEa75vlVibQcTdc8HF
ib0AZgIMMQC+zEC7hYn18zIfwiyQ4Ou55/Vd+2svGMqOoFEBdR2c4W8W3EjryayKAsRh6d1Qxvz3
BmpWjkR/GbYbKcfvoapSflil1V7lMkldO1LG9uctOLHRFrSP8YS60G7Hm/11C8B7D7Zc5VX7zlkL
49prLkOaVOfoUk6MMmNXXNy7GScWzo/5pwObemZVBbrneyOizccHDd/PGY+TI1gYAC0HaDtaptK8
TtSSiAE7YV+K4DUvjujxR8vhmeU6YXDn/MeMQQRvOLKcXydCkYUeXIUnz3DprtRuYmgnkSpcDwRN
2JFsn37enhPn98t4i4Wrcpn2TYnxID+x8hy1IucaAeYvfM2mAsGHi47MGrKQ3yQ6elJOAx18vk/l
GtqNkRNE8px8yqlZzI24PrSBAUBb8uVmtZlznpr1vhtfLOtjOtfofWoOQOaA1hrpkLlQ+XVXzMr3
uyqw+N4/2CoKm1l7+Od9ODkCTCEynXBpwDT0dYQKJFjgqJRwddD7ExRFDLGeaCrP1XJPneLZ4v7f
YexF1CYpuqkaF8PUbOXwO6M8oAHI/HUyEuX7WV4EvFnoi/UWg0DiRARMUb6X4Qc7dOc6sU5uNspj
iNFw5/FKfV2qpup9YBwIDlQIj0RXq6qszrx/JwI0TAH99ji6c9i+zHwRSxpBW5p8HxAjglyYC2GD
THyUZblixhjlqP5oQSIxiDNrd+oczD2ysAGneJKCKudNO7lsL6YPO7w35YM1/vv5qJ1wUmDv4cwB
NgCU47J73cmLLmMaXq/Hwtis7Rc/o5vJ5X8DaUVhdo5c6NSM5ntJCMgPEUwtEuuOQoDTtinb9+hm
tUUdGdJc2eH/sG5zO9icLkIKeek81mXeQ84eo8h+F/ibfkisc/3Rp+4O+CjR6A2UHs7Fwrkbssoo
fYk3pmNXQHasCsmiVt+0+hw45cQGIU+EGN3E+QO19GLFtOVwoB3HfK/Y8NRzM4ErGJHMiDzVrwbt
P/76PCCNCOAnXAxE7Uvy9FAqMAxSXu1D9ofgvJX3YF+MRvwj6fHnoU5cXWCQXWRGETbOxuHr1aUD
g4Pcu3AG/Ecv6q3fP2ZoFQEHGLp54AUsD0E6TikIFiXbV8eii89S2p3IuyJTiMMF3B5o3qCZ+fXn
Z/WEnWngFpfeW+bHbCg3gWIx7deKQHd2nbblquY3qXXO4z9x9L4MPP/9k3vTeH47QZpa7AdDXytP
J/5g72qWXoCi5cxFWmr6IikxTxLknnMDN1xb++tYpM4rUDDBM7fBM5aVN4F17fTXpXhmXbjyglcv
PNqFSFJPxd25K3bC+0EqluBswK6DAXZxxdDRmZmNF4i9cP6q5iq0d2jDWPnjJpXb7KyMw39pw4Vr
An9hthgIzSGJtnjWGwm53QxUqfusvhuHNhbBgMSsiDPK4sr98LKtI1ct+hws0HsJeRfaqzp8/vlK
/NcPv/gRyKPC4M/JdPt7nklInzqWbvYuAZ267NoIFaokzYu1ldlHm1nrrrWfUBpD/ymLGHQzeqNd
ZwgI2KgY0q48MQsw9zV2/frzT/tmhxAizx3P826gK3nJ+puxoM+nlMiDHm4hABWN5rppVk6+Idmv
M1UYAG9SONP0zCiqhWGwB6G7punEwWYs3oiMnjnVp6aCGGcuYyGvCxP09VB70KG08kDh+2ZUW2MC
fb2kfW/la16//bxo30zcvFQE8RoUDmbu0IXxrmip7IE7zcGLp2HF8vXPn/92QxCugYEZ24JrOtf+
vk7E5dZoTo3XH1z7H+WHYtiQZqONfeqCf8g58zKcmAsIIl20Y4IuAiH0vKqfzI7VGbqxvbo5QI3Q
IJfm3c9zOfV5BM4ONBx9ILaWVaSW0bR3qrw5NPa/bGXzf7//PEpHwFShTgX694XRnHP3AfWs5oBm
7Xd1zuE49eM/f32xNqJjXucXdnOQ7DX27DOZvW9OE/IJn7++8HGdUmU9CJ+bw0s57o0X3T38fm2Q
P4LBccD48q2ya7S66lGokoeKPyvexp3p/Pqgzm3MiAKQWEWSeGlba9DJGGaBzc3D62GA2+zttPPX
9q/GaWu0v45r4CXhUQYeDFEm0iSLa2E4eBiDumwOOkfCjamY8bXr30PY8LfrhnEAnQMQAjKdwA5/
vRHAuoR1n3XNwSxWdbHSv80Xz9P49Pn50H26cAOUP1pe4fNduyvEffVrAq75+yCKn9k3oWy7TOcK
JyzzLMX3iQqSoc5upWSxabKYQEiV2sHx59X6fooB2oEHgfQ0BkXW5Ot0qrBVfjYN+gBcY2Tqj8x/
8PQZvs/v93BmeANYHA4Dwowl3YyeMgq3shwO2teJWzeJ9WsjiAHgjGPJ8P1v/RNZ2la5V3QaBzlq
8+vc+P33URYGGeUctoAsY2FIsHRyDAh1D2rdhmBjBsnEz7sw27kvDgZUVPCGz7fdI+C7XOzCxGgF
uarcPYT0xS0PBVvbZH2up+HEVuPu4aIjJkeH1NJzA9R9hH9TOId2D6LkRLVslf+aLxAT+TzGIq/Q
K1/htGGMorCSQj9IKHn8vFTfX1eMALZlVOXmnO4yxHPqrkNLK0aATjyzb/CwrCv+QcYL6BxQcg7i
cGLNEG2hYwqdZTNP3fz3T7edQIYdsBTbOgQT2VKSgKHMUNnm5yl9330AcIFGQQFnhpYuLSN4vxm3
aEAOpvkxgA9eD2k89AXSGF3865HwpMyxwxwbfQMX6wKgE+RSxoMardCIpG76Kyv1rReqizCB+5X+
2n9ArxywIfDdEfGh5/zr+gVTOuKBU84BfOZtv1LnWmf/y4Z9vTlAb0FVB20cMJu4O18HaGw/Heqa
2wczVO4qM9wqZkUVICpo2uuJTdmA4r0A4XSQiyyB5rW+cLTjR2oy5dUE7c0LwVmxNxupokw3xQbx
qX+TgnJiZ7ORGJvR87pbkyh6Yw8vIBUDLteDmJyr1hXJ9Io3SAQWRPg8St2yvSWTn60GlxhvbUXN
fVl6w+9PC2pKyK2BFBwx0bLjOgTbAvGmxj4E4FsIq+MIeahh2ozqjNX+HmXOxSsMNasRApCwdMgH
inRrVzj2oXeLyNZ3HRAXTvA2tgH4HbIoG3Zdt7HYhScTBgjLzycVAcyJZ2OGe84tRiBx/MaiKqH1
kerUsw/AaDxYIhTXPCPVdiicMgNC09qntZK3nWexGGfY3jTWCJ5gjQbHKJzYwOJwIKMVl6EnN4PL
qp1U6q0N/DdCge8UbhWqlcky/3Uy8+J+8mo0M/k5ysGxY6cpjon97jlo/QLGzr6QlM8qB+FQJmVj
iJXuuLEJG2/Y50M37I0x9F6hzuNJCE/6xlqZwkRnVPZPyHzd+VCLLgqskZQGxdfNJu4zH8ljSOhc
FGn5Vho0XwvlNVHo0Gptm7n8oIPZ7QbQZF7xQCEh31jFS87RiBPl42jBdiv4CFXmrKcGDf+xzN2X
hikXJVO/eMJx9mgETomDGeiHSrd1MvkTfWShXyddYfZrTN9ew/AMcW+m07aoKImCzqQrkRpw/xS9
B6FOBpUxg6zsznibRidool5NVh75WcD+GeOQR50HO+VQ4d2I0bxPNaH3Dciwt6ZorDhwO7+KM2gx
mkmORjd71UWlKR87qsInjepuCxWPkmxM0b1S2T+aIR8isx6tqyDEokc8JFncKDE8Q03Nx+bU7oTG
ZMbuR1EjD2AZYXox2nYbM6uEEk2hnToKGs6qhHM7+ON0lka1LGdxKhkQO9Rssjvfrsf3gvQfEFxo
11K0L3xCjjjKbSMzI4fkqLBVffAA+bGHoQ0erWkaIfY+MvJH+dB3BDIVdO/GmCVk4oGIWJ+B19IL
h7qJO8Pgf70A+LQqS7O4b1O+L5Cv3DphcxyL/MU1hz8ZL3Mr0RDJKFryoUzdRGntDbeQFNEqaYPO
ra9bCNJsdMP/VbBV6RpNLaC6aHv36BW97OJUgBEhMZUNUuGsD9ogDoaxOAA39MQ9xeFjGZAyGy29
p03xYkr/z1gq0UZGyZ+0Kd6HXML409yJOQUDjXYzHUNDzo8KkQfrVnjNRWh0HlQUCmi5VKLMWQLB
kOBKTXkhI2FL8K5ktogIxE1WHsTQN3U5ZVHvKpGYaIr/J+ggLihl99UIU0Fq6kDrOHvsWsN+8LhV
X4xj+1d6qu0jT2T8UlSjEXfKfekyiN0nhm+3wZYVk/kXxieN6gZq7vDw1MoCv3XzB+YYnIISxGVM
d1DdE7SGr18USQVpnQS1zAdmoiFkC17gLAfVAe2c25QAXTO1zRRJV9XJkNoUr2zoJX5V/PNKyRO/
LTFCHbgVGL0kr9ZA1Uw4Sq4VWZrsytEmPHJGR8qLdmROBJpDM/ZKLWOeSbDnVTWEE0zQzhE0T8VI
r6qEjPSPlcNQK2d4A5Wy3HgVy2KdOm4cWtK21jpHzTdux+CvPRkt22naXFPoPFxzzSGpktbNvcXY
biyNP5VfC2Mz9Xix4tYhPRhUi2M6VM9mUMLw6MJ1psQt9JMAQ5m+bIKi3Ll9A7PWcdqbkWGCp52V
ZZ5G1M/ktbAJWu1oSPU9JyzTF8o1sq12RXYYQR1ioE+uE4hBXB5RI7M3eM2zC6kYL1al4XfpBkf1
ljZko1Iop3cWffIJyB7gHzaJh18Qt76o45waXRdlmVVcW8GQ3zVDShPd971cja6+0kTi9vFCEJHw
YQjeLXiQ6yFPyXvarLtq3aNtYUVSjQsAeoLboXSsFIA1LwOZMwlumsJiRUJrt3kMGns8okr+Bjp0
csVUf8cr7IZhOuQJiL1AR2bR5nFIfZlFwkETfJ63PJp0NcQVQHG7zIVqTQVFn9dONenG7gN2D+1x
iMGXz+gqExeBJd2dVXn2LpB1tcZ1NuLe7aGdC7q+qDQIJBdtOwXDAR/XE9CDO4OmBr+yvb4foopN
b6DQKo2NjeqO9Ve2fgBGSeVYCdWDTjpY+6iCsE+CCrqTdJ6UwOYpdyLQqavDSGsnjOygeu+lrePK
6GFcOVqfLgaRm+yazmQzu44BpzYCvNEmTWU4Nbj53Txc1Qx8H8oieIgsT8OJHcCSWAhIEbRbuxuf
67EKEo+BFUBYE7vKpmbX6lxFqq+ATjWrtxAOFPiq8lvlT1bS9o29cl0oURANy+rq3olaRxjPeDj+
jU5RkFjVdZcE1thghXtEPxHviBCYelqYGx/vH02mqhroZhw5wznNszpyJmXnseqKKsp5iMZct74n
oxQi8gNkmW2VDgnAVNvSN+KpQvO3yTnoUfETic1wqiptb2rDtlZFbgVx0QXltT1QFlVdtZkVsVMT
+6J6/DA81d0BCH1yZzUZj9G1jkvq9BLEMiUIyyNZKf4Apt1qLUZirdyCpji0aXvwhgEMoKmQfzQw
IVsbtPg7gIezTTVM0NpS+t+IpYzx4oo4QHX4zgPzxWZOqScstPXKdnQPzVEr1c+yArcfMcs7oLfS
FTdK9Qw7qJ8rOo4JTHR9WQd5uw8Eq2EcfEfGqa/pjVWN01ORV7V9bXSmfgFbtxVNTWPHgBXjvikz
fW4a9m62nrv2YBQiQgsr7gcrjYXR0QuvxXKEfvfXsdWeaBPOlSMBhzKCQyBKex10udfExQAIiI16
HZKWXro17aZNUpHXMbhWi9hJQ2sH6d4yyjzeXsAM84iXQb2iReMf8ZbJG23T7tKlIJuhFm5HZ9V+
GUP9l2w0dbpNalF9FYZpFgX5EFgI3tQU8YDLazTfO892Xz4qK8gftCrryB0CeVXBhkRWWaJVsYXj
JHyJmzPAm7sLJhmKldEPdpSVNv/bKuIn+K140CGMyaIxJX+zCvXupBfk6KihHbaG11N12ztm/t5a
cGV6u7lsQuuPclixAz1qiAK/DCe6MSFW0sRT3exI4e+ppymOMnS5PLd5zgJ1J0pZb42QFbFF8w38
tcAdwBE7rGFoN03b9RfUM5zENAbvAvSBKgYwX0YN6a1+XdRg7mvMacbq4cm2R9bGFgd3Queym2yy
s1Xq5M1qMMwe/0ebhNlr0/os7qTRrHBEQIHk2UkhRBkNYTBt8Nz+s0fzTQu9BqUIRx8FimA03Dhl
kMjU/ZvZnEQTTdGOgmbWyG8KdDuVDLnqIo/CUmMSHmSTke+YrkVfHITOP9AGXK0HQVuUA9tHm0L4
q7K852l0i0uq3FttW+BJC8Q/VvPgpsxI9xd9WmRXBGl3nII03ZgVB7mFoct7nql6xVIybjPh6XA1
OhUpryFgISODhdkVwZKDJxgt+YGva8SkTeeqyK4NuF4UbTCrUI/AXwd4zlze1XDeDAj9tHgrn8SI
ty4i0s4PDliUx9gopP3aab95tmj7AjriV515acymvIXbVkJHRx9TKHjvZaPg9eUwLzvSql4kFfUq
EpelHpo4wIP0dwimYANG9v4VLkOTIJXpRtCkRBWxVI1c5ZkhV25ajauQWuUVyB2aW4tpctcqr1hL
T7jYBI/SuMxaFkaiGNN7qgTgrKnVVv5OdX5tRZnTT1OS+Ya1NizyL81Vf1tZ/L7xPLaC2UXAQAq5
NbmXggeoBliuN1j2WrRcwUNtvAar04b5poY5ijUQMS+O0dRXCBpAYDcZ+aB33GHSOlbC43wLKttC
rD14tmCwT8s1rSRNaJEfUW3+W1P4eLVbxrbbjbB3kN00wulfGPYKJtyFrfHx6ym2f8VoQB+BRgx2
k7DK1VCiCWDEbT4ob4L/Xkv1UliuwmfVXWXKEH69rxAAjV3MW8mcVV0xcC3y3DwCsBGojTmWRQmn
j/eZcUVDkElXeLkNq4NrilKa6qSEwzjxdaYJesM6w3vusUHPaRW62bWrUGfxgb7ckmKonQvRmzco
4/cg5eztOmZOR7ZV6drdKg8aJD2zEdVDdC84N9IrArTmVe9W6cKZBe/kjRkWGs6gzi/7DOiyyER2
9sHo6uyisNNMJ8ICYYvBPZCEoROmvgwlg7kRFc0fBy8LIsOvsA5ApYFHTtRowTHtehVa5NVzJ0rQ
jAEH2BmCO6FaEbVNLoERnoqYZuWRmGMRlw0/MKLua5S0Lp1QwL/LJoX3PWjjNGfstiaMxwOSFo/c
43eTyOGIkc6PvY7gPud1fmHivdgUpgg24DOxcJntIAEyn1+Cy5M0ezR2WVHgpJJfZzqX7AaELXvl
kReIZ7XdLs2UE/xJCQHT1kQ6qBHK6p253ZHY1b0lGxfn1ekfc+KK+6BqTREZ1jg9CqcbbnrZ7AKW
eQkeSopTHwYvfTE9IofAc443UBhkm3mu8VLykkRIJKHXofClla8LX7N9CkqkRy/Dr3fq2n/rpw6J
B8f+A8ZydzWO4qEuuyLmJe4FC9qPtg8y3LL60dEDj80JsWA+yDrypeFupFfxuLXR79UNITnC773P
A6d4BG2//woCu/xyck2JB7T1q6ga0vomra2hi+sKEWyFLqRVBfDKrgPxGFmbU5bu64CHPIEyBxfb
yen2Lfeo3hV0pmStPAR1eYj+xU6nH2Y/flDVXfWyBAu6x15HfzrUSFtQBEyiZ9ddHrzbKXciJoEl
Xsm8w3OkidmBpzEAvizwOUgOA9CeAbugamw4JAesi1DVPjrHHHnh1uSNDO6bE3ZlXHMYSJeRN6tF
Q64FUxRBML6OUHplAEEMOdZMpuphAj4rHgMzxQ2q+n/SmYyocv0sHht/QgTU5NlO8b67FLbR2RHV
YpdOmYHGVRcQq9LqXTOhmfc4CPSQmMV4N1SenyC0R6inixKGJTw2JH00RGFEEFp3NlNRiXic7AoC
gEG+rsu0w08r5B9P8x4xvJg7bdKyeQEDg0qKCR424lMY7Hysb4bAxhw0Gk/pVPVHQ0/VK4Wi3BMa
X3m/BQFbc1sCah9ZeHr6WPvOYQJt2r0ETcfWR2avjK2c0B149dx7QbMCN9xrFOCaUOuK4C/azwJY
z4vJGnSXpLXhyzWvmbfpO7l2BSePCIh1wgAAvOlBFbtqWd2i7cQ2X6tadeO2z9Ctj9gJ8NYMlgKv
YBiFisi4DcJpI4bgCUufRvBH0DsUwFEdJ3KsK0dvaYHo3++3iATXYaHCS9L4GqofadHdKEUbZxdC
n3bVuYV1WbRBEwNn0SSOVg8oGdhbz7Cew1wO0VCH93mPidnUhVqyu0tLctCpggNOs3e/Fc9wyfzV
lNvhhW6cWxECpjL4VB9Eliu1ahpSxQ2BfmxsEMITaadF0gSIZ9SYvvngb4tdowJhpVNtWWVtLelt
a2NkTQwXWUa+N60kHKvQq7Z28xTYW+W1kTm6H9aQNetWCvPKznNAclGK+HCR+XjNfYX4m5OsS7xq
5lGu+C1CzQerzeiK9j2Dx9mWax36bUS7ttohd3soRkmeR6MQV4z5Pkt0Kl5NY9Ib2NVi2+STd5M6
jv6jm1nwdADFEvHLI1PTe5nV7qYHZ/sYtXZe7kqwGd6XU1e/Vq07HIMqvOcGqXLACT1k3KqiTyiu
RUyVGV7IymBJCYauOkLK2XlP8YjcA4bUm9upLN8FPISrbLDJdZEhIzrooY8IbMzVFAjrVpnMQa6G
GSTqnRT8zIHxFFr6zpkmc9NwR6/qUhU7bYFIOkULYlR0/F+QGx+NWztRGJQHn4LYTsBTToKCvKUp
B7VuCgxdOhX+ReYyz7scQFz34EzId7VI5lx0iLqirHbuh67xaNJnTRDEbmaqW6cpJ3BkuAL+QGjk
SJ8yP+rMXoAwvxT3Bc8wZu4/9qHVJ30VmHutbfFRdBJSOiksKAgjpulJ4FnYKBuh7XpAKPin8SzE
j54nxHtrU3DmtnLfmMoCEzVYq2NV5lrFpsWPnHrDJV5bVLU9CRJfZDDXBP+QbpLIyYi3IaMwTl6v
uz9da8knUChNIPxs2CprjPCG+V22Lif+QRuEiyU6bX0oarMBecPwBUmBMs4Uax8nQB1vvcHKsjgI
0glThPty6VmyIFDTSf21Tkcdk66E1oIVPIxtU3yESIHegV/sEcl3bztZox0jJTzBoOSjs5pS79FE
Dq+aYGg9SBuAYzKn711jqXiEUm6FtEJfFokWxrindks//BmIU6QaRjHM7BeF4PPKmAL5N+3mY0Cc
O/zuNhkalBxiiYxZYoVdvwJOTh7TEIGt2Yd7q8/TuHdqP7LsGpeTMx1VTuHEA4zQWjl19loCBLQH
o4fam207ra1JXfeetu8A7Sy7SFvFHGwY1MHxsocBZhdRsewbc8OLCTkQwNgBuxHIUF1ONkoWDoSP
79A/Glw7GkpyI3OhtgzjsVeNDqekJDyIqtDoI6SecZsyGzzZJkBSXixNm57BKZwqwoFyx5zLfWhx
WqIfhXBM+FqjffD7x8lf9fa21r+v8ILOB1gdELugk8pZ1C2pH8DbYNRGiToxy212rk3/VC0DyKm5
emzivyUs0UUOy0auyT4wYwV1Z/Mc8/KJ78+YCqCa0OACedUFTI5Rkoa0DYODct9gVnEQfy7HnNiC
z99fIoS91tdIvOH7leiRM9o6/CJDBu7nQc5Mwl7U8pCdHwOkfQIgN3Z4WowzhbNTnwfECJoKwJ+i
I3L++6daroVsD7R1PB94+suP7JwExfevg/8R7Q1AfkGuF2RpX78ejKFt2EVnHwCKNC4Ctv15bU7U
iL98frE2COkcq83xeSJ2oX/RTxd63Pj0HEjn3CwW9wAZStQ9DGUf+PQ+Dcfi7edZnPv8ohxsiVZk
QE/YB6G2yHDbZ3b45CKhXo+OYGADPHexB2DA414hXPx6sg5oNIrI+ajPkfGemgM6JiDNBLVudLIs
IAGpMHMqSoBB2IBXcqwjaLv+fpVmCpeZDxbg/2XPcVG2KEmDE/rgICdZOCtW/7aNE92bnwfwv55V
r6ynUoBI7tDZfaSDJCXnOgpOLRJaS6DFYqOJHWN9HcGQvY3Mk+UcHpBHi7z0XHn41PdBdDNrrs3N
H0sUiA4DWtii8w4a7yG8eF8bZzZhXoMFsGAGLOHnA3z8XdG3ow7qqI7yD72+mbIEfCR60+xD/vsb
8WWYBYrQYCXNwgDDCJQOkqz6PeDDAmDXRVcXuki+6fzIGimQPK99OM3uNR0Sl20clIwbJGZ+PrPf
HwhgWIAdQcMA2tjRmfN1w5Vn2j0TIeINZyp2o8sPqFG4twKCA2dG+t74A8Aa4CseLiG6L3CQvw5l
z4E3D0h6MG9b3wU1bwboxbtw7sOijg0Rmx1SDWfoIL6fN4BYAENA9woGtpbdZWnn1YE/iPSQZ9km
NYz1n5+X78T30VONxoVZjwvccguj4o9EV14qiqOs9Q032aVt/hoWObMu/v8RZtv56fWrmQpbcDsW
xw4lJbUyvF/jIvF9AMtmgBl4KYPFrlAXmkidTYtjWcIixmf7+06uEMjePbywAMstO9bCTnSkAiHe
wbSABGAbsNv+D1vwaYDFCW7TwRGjxACCrNsjsc4c2++/H84Z8NkA2/6nF7/4POlVatfIDhzQ1kcF
WIV/bdPxfewA+HJnN3nZCUDNzFC1To0D86+4udHBGXv4/YIDjfrftZuJYEFa8/X8WIaCAITp0mMw
XfDwWHprPl7+dge+DrGwhXyQLgEGgB5dI0FrEzvH6XJiC/7rP0WPG97vb5csA2sxdTnE5xxywS7r
7Nc3IDQ94EQBckUH1TcoWq/zSrPJKI/8PQe6uf/9AUKPOVCPMBCwff5idahkFpNjSI82koNWVD/+
fvE/f34RQVh94ym/x+cZvwq668Y/8/Pn8/H1PZ1b5P/fz1+qGDuootDewffNLhY+SrJWhPQkqoVx
EZwjCjxxVhElAvwN8NjMgbW4a0PpeXkVMn70vfu666MB8mbTmfl89zVnitn/P8Z82D7ZU8lakKoA
P3U0VkIXUb8y59TN6teb8mWQxbMQeByN/ykGqW0Ip5VXE//1u4ZZgIMKjbrolwMIdTEL6aZDW3J+
hEFfTc54mVbd5n+Yw6chFpuh29TjaVrx40M7Xg/lr581qE6B/gfsNi4en6VZolXfDBkKXAdG31Qd
29YZFOQJm4H2M2CzQywU+tcX21zVwD8MdeodBpIUF0AC/Hpxvnx+scHUQCcr4P7eoS+GNUjAajqe
OacnJwCqVNCQwG8B8vfrDldW4U39pLFADfBdPsRs9JkR5t+4uNlAS+Bdg6oUUidLX7xMWxPJp8A/
6GYNUI9H12m//nmZTlw28PMgnkCK479b/XUSNUAMVo0CzwGktrFT3tTG/yHtPHvjRpYu/IsIMIev
JCcpzsiS0xfCXtvMOfPXvw+1F+/VUIMh5AssNsAL1nR3dXd11alzbgu/cpIP6xdAB0l2BhVPWBvn
zspzOwXQ4RBqSPOTHxW33k26GiVdOAXPDCwO8UAOgmqkWPkp/gOKqgm3WugYCb2iK5tuGSTTb0Ex
HN4q3sIzLHrZHd9JqlcXgyE8NwbxmEyNVb4R2s8GrQtte5is0QXbQjI22F9fqdcugjfeMDeSgC4H
NgwXFnj2ZaYra0JF8r1BeR4HSuu0Zcaq7VP/fbGmUdmFCEyTqs0/h43W//ZSuf3d57p1mxW99ye1
9PQm88TPBYIY21T2LFtQJplqVgf6RhFAEjZlDT/FmATmU9CUaJi1cvAIQ2+PxDtU+0560ykOXSZ9
6VOGHV4EM6M8W9QbtOatHUXgYie1CoA4QFeHmlo90h7xADw3teLkDnhd8NRb2jNtnaJ7fWLmlX07
L7MWMnBD8NoolM7I6nPXSoI2R3IkCk6W/tPS9lH4nIY3amXZpVXbvbGmkbHYlFDdYI5GiTltCjna
cv3rHACl35cB4qsHqUIG9fOgfCze+dfEfHWw5iadQ4vNEkt9Schm+idweqb0KYs+1jswf9/g2GK6
UPSdd+X5jGVSMI0WpdZjCd5bUp/l9mNn+6sB4vFZSpO0KVnBcwNJlrWCXKvWMe034tboPna2v36e
gNYkHytx9mqLvS6ZhTFKvmYdk+7hrtP+4sfTYErKEa5++R1T4CAqmSTmhnVE3SPXvvTpynNoceTO
vx4qR1LWHOswZS0f9JEuRMoY9P6p1mwv+kfRHdmyK/9jIf87K4vr1beGMOv9zj8lSbYD5fPDqOKP
RQj/MUHfIUEzyaKlXmQnel0K271/0sdxRzHztgKre31vX56r/5pY7O3Uh7tqGjDhyzeK4JqaE2S7
Zi0HcWFLzzRcJAahT6ARe5ECtpSuKDs6gY9JpdmjAlnPofx0fSCLYGGeK96oUPDS7M6OWCrcSqbX
TBXdxsemcdRqT4ns+vcvTBSyFaTHCXp4xSyT5KkYmvHYiOy4/Lco9GASbopOdvoPEhoxDnwXWhiJ
rmUmylxsvSExNR9cp3Wc/mnix+Rz231492EAAUqJ5lzWZEl6DlA4qzTfNI+ZfxceSv3DPjtf3HMG
mIol1+jCoSShJlOTyOaRVpLxXosO15fhnSfRgksS4rWHCLmEZbVo0ATTS8JSPrb5rfpb7m8l86Nn
HxboxKRhHKavuYPn/GithMGrhLFWj0UVuGoNcGD6WL5DwY9YYnomoS+lprMUfQC9aQZVJKnHNLG7
9JCaK676+oGzC5sVZpsplHXIysF9cD4ErfO7OvOK6RgkrQtq3o6CXTMAgwtvsnIEjPgQjp968Zuv
bSpv75UrLrBkMpkHyLE+08tIEAHJy862jl6XCijqdJS0J7WS3cDToCu4nYACEck8VpVr/Zn8Fc94
dwDgdzxqeTQTAiukec4H3UsCsTHkKEc9A5B8GzcrB8zyAHiNDhVKZDA9QGm3XDVftjiMjU55DrXb
r7s8u4u/Xnft5QBeDajQrTOMC0mYpK4bSxRb5VnsfJcWq6qT3f/NwuLJXKeNJKsBQ0BaS9h5fzEA
GRZ/CjRcurPSzPkKBBmFk7yW+Lwq7MIo2K9EbcqFJYC5AHoKFboI8R37hdKHVE7MUnlGyRT6cy+O
H3xDKl6kJvePogbZo6BNiPflXuR6kCc6Wlxo98CSADJ0vVFvDaXVbgo51p/SOm92tFTKf/S+v/fG
JN2Lcm8C4RAit4yE4mBNtbSLNIGOMKMlKSbVIKnNuth2DdDajoYz4NXB4Iwh5AAOkK/aLuJW/FWi
xWC3HsffNBK4gk9dY2i/cAbi35RGOF4vVPzbJBLUtC3GowiTS3uv1jdC8NEAls1EeEaWCEJnEiyL
E8TLekvxVHE4JvIvSQlBgP++7orLFs35jMCCxut+voPI/J47i+wDpPHLfuCYreyw6el9dabG7ptH
YTrSvvhNi/SNNgCAr/39ddsX528mIEISTKcPdXFFkaLPxTwshqPSWp/RSv4aj/onpVp7Ni338zxC
mfAfdltEPwhKzkeYjlRboaIdj3UpdixUWB2SOFlDmMxfWZz1CocslYVXGt3laym0UqHuImE8voIM
G25F8Te6KY4mpkDhn67P3MUhvTE2b9A3mUPdB/SXFT4XSw3gKnUBb6zdXXOh+914qATMQRB5n+V4
pAr1R0vQcG7rk5kA+NSTXVt+K6TeruTASUffTuutuCZBcnEaCYOhd8Qp3/Xmd3QdxND7jMegrVEO
6/TngXJWrOeOp7W7OhFX7sjFTKpE87R9E/Kiaz4/4Rb1fqHIx66rI+U4yjdy9dvP1qj+1gwsrkPy
+UpDsV85ir3r3ejjyjpd/Dxt/xCLw773rvG/09UiBTWu0CZQ/qEW/9jmiXvd2RZL8u8U0RpPCzes
Ye9qHlOZSpAES/LRsLz9aLqFaNAR9jJWJyCeKyWiZdLpP8ZmwnIIcVWqtOeenXdj1ItJqhwLudlY
U0SpYtiibr3jmbyX2u4xUv2NqtMAKQ368/WBLuO1f43PiUjOC56t75L+TR3rYa4oR6WMK6eu1Nsm
MHeyFABuKzZTDSZWiukkG03hmzzQIxBY/i70YWxN/e7vpgL4Bklpnp3oxZ1PhRy0bTAZpXLU45uq
GKhQ0zfr/7SUxvW8yZWl2A2Ke5Cc12dhcSq/TgKbjwopfGlzwuncrJCnwNilUT6m5q08Hfzmpu4+
9mR/Z2JxfNFOUUxaP8hHMX9p7pPwY5fmu88vJm5qs6JUrF7mDPmqGF9Xop9LO+7t/CwehhoY5M4A
SH+UP2tD49LEvLLf1gwswjdFbdFTaDCQDntdpKnJXyskz/P75mz/d4JQr5nfb7DeLKMKKY8tVUh0
+ahHrU7Tb6rumlHquKsEmrrN5oPQv3/taTwLeLTrqLktXKpMjanKJlk+ZrXmkpJju4hOt5avvDQq
iIdJNaE5SdlusTCpr8JYSOL0GEqZXUlPpnmfZt/jeOWUWDOzWB5vLKdBGTHTSZWtyU+K8TDQ2iT5
wcpZeOnclXQT5QLYViiMLAzljZwZQVjIx6gAPlumu7yV9oXZOjBUchJ42u76xr/kd3PeHZQmQB9Z
Wtij5SCVrAK/G0inhJGNnM3KiFYsyIvLNq1o+R4B+h+17tPQvGgfhHS9+hkQXyIwQkrCyoWfQRwe
llqmsHOyxh208KGO1oqF0qXjUWKKkGTgSU+O6/x49Gj8pHuslo5jqGu0zlv+xshz8SUZqt7NCz3+
zMOYfoFCLZ47OB4OWSGPTiS3npvCOrSpgrB6yUrRuvdLOXy5voSXXIZM7pw0gZj5HUa4mjrF76NJ
OgZKvCMkNV1Rbu9lr6LJsEhvm8r8IOD2dcq5LLmgeJDzXwunEVI5HkudPNCg3ZTbVaL0Sx5DQW2m
a+IqeheFmikoHqEKuAMzw66Nn0G8dhZemjIQ4fx+6JPIUi8CjtSwGjodPPkoDMco/y75plPUjT2p
N22/Vua8NJq3tuRz3xnpqC900Wc0geNl9T5J45Un1eX46c1wFm+qqs+GMaP981jNPKLCmOf3qKfS
MwQyfmN1o7jV4BLd5xHIVhrJyg3dhGu6YZeGiTtANEx6hiLoYpvrbRmNQjBqx1iU9sEEgV72fN3P
L21CdiAE0FQu0AGYF/XN+0eW2Oe5MmlHiju2mj8J+jGWwpXT6jXcW16TsP9x8mIKwN7iQqkHo0SL
flKPEiSTj02GAu0QDCJ4QWFqCxgL2n98mDT2sKdOdjrqvoOc0E2s3feK6il2n6gezSmp9uBbFIls
ufNUFC2nqrTzkZZ9rUuVx7rWlM2Qt7pDR29Nw5ICFNWTfJKSoaT/M4pGcJiCjjtzHONwOw66/rUQ
E9pTUovHpTrmNDOU8lPRRZ3ty0XVw3HjPVic3UULx62/E5pdYojt72AsopM8hb9krfI/B5mUbbSO
Nse8oCvOTMbkluMutvsp77cIO3W2xbbYi16U/Ly+eJfcg8ejTr8pAOt3THVK0hpNXsT6MWpuTOum
XWuUuOQcKFCQoeIuQ09jsQWiTqJ7Ux005D1Nt6qFDR0bhwiKn78Yxhsz8zDf+GACp3oTavigiFy6
6nbF9vr314Yx//mb709yFfuZzPc1+a7rHjT51Korp8XswOcODt5FJPX9b6lmSecHnUDTJ0mqHhPF
Nw5WK9DBPrZbZOY9O2nM4TacGxmrotc2Hx0bhmdaekQcdCAfiyVK4GKQ4jTUjpPIswbuZz3acOhe
N/Lez86NLBZoSlKyowlGomoH37C/lt5f+/5igcywSBVqIDjAn676FNefrv/8Zfaey3T+/QYVR/7J
LC2uVk1PSiYw0o5S2O1yUXV6KJegliNEr5u7lPZPeVBFWynQBpK67KcwySsu+D7UxTINjCa0wLAg
vnsniLTtRr2uHsWqOCg8GewRXknYsT55ZbPiEu9nk3Q+cTspGEpWlH7O3R2Ny0aeCkM96ijIlJ88
feXN+X4s599f3L1G3g/IrnjqMRjv+AuWokymVda9vmhro1g4dqBOEKLMo0h1BwkBY8WlZ5c637Dz
IKiekg0gnWksBjGI4jCJGoMgQ0v6o8legrXOkYsmAKjP9VVwUkvwTRq1Vl/iWMeR7k4glgOdzdHo
ikqw8ty4uCAAS6AGtOa06WL7CAXPGM3HkOUV6pOSaOG2673ox+T7/nNZTdnfLA2lMMAz8N6Ly6gk
r/WhSceK89R71u6V/ttfrPybzy/8V9EasTMHPi8htXIL0OEvPk8cAjnqnOZblqNVcCy5BpvGsRcP
lNVXJWMuOi65a3A+lIx4/y22n47InGhwaY43OSSNlf/7b37/f78/239zm9XymIkwRjH7tpHcW/kK
CPWi1775+QtnasRGph2dz3dfzNHWRKiUVtz1koUZDEcujqo61NDnAyA4q71pYusV5qGQdkoR71q4
qD4+S2+NLCLOyBs1iFEwome3pRMPK6mri2OgLmhCBg4oR198HklaLzBhkjkq5qOc39WyQ0PyX4xA
nyFqMwM1ts6nSYRepR56U+P9cSCmXVMyuzgC3oLwwHI0We+aaCSSsKNe6Ee4BcbwJcwfpsH5ixGQ
/OWUBZ1Bze18BNABaKOkEp5C19Zt1casNn1f5Suh16XTj8AHZBd3HlmXd/vNQuOB8PUo+FNlC2pw
P3Sz5EJ7F5hrIr4Xbc2UzRT5oOxd5tSVYVQjBZTwUehgfgC9k96EklftIMGYFTGVQDl9dAoRXqes
SJoUFCzo6vMp7MNYSSJ42I5NfQjN/dol+94J+DzJRFrrCBfMpRNIgRqoaZCrxwEOOzODcMeH9WJa
q9zM8dX5ZXtmxlo8Y8NUjGtzKogYhKQxduDc06PSS9nnIcjkI4DU2AdG2oSHKS/GP0Y2fFAY9TUA
pDcNsQx2LMuy8MQ6FYCnpIJy9MjjwLKa1Wuos/enPkN8Y2ERT3RCBwrBN5RjALfoPpEPf+EHbz6/
cHIP4tR/BxDRy4WIVpJNK9fi7Env1uiNhcW1khdSZMAypJCzDJyk3Eo1j+m9+sMAEvYXYyEoMlH+
xK+XhcJizOMg63gradZP8xBI369//kJekaUgCUNWnu6394W8NCKNZiW8WuXntvlckttQdx3pDd1P
qbaO8OxMkEIa6AMWdidtWz2wH6KPZ2j5FRYPQg4mOJGXiZV01EZYezoeZv9kKsHl0/VRXvI3SMqB
ItE8BX5nsaV8qwxTr8204yCiSvcFqqe/+D53D0UAhKnpWD0/eOK+NqKay+PYk3e16zX6+wvvZcB6
yCAjckmMtMT25+VMeGdM3jEks5MoPyE5/m5pIkQaMMJ2a/n/C8ccKJ4ZeD9P2TsglVBlWiLHpXX0
S88tvB1UwdCNCB/3a6aK+sJ8nxLaLKZMHAtVMCfNPCp2V1JW6D+eDQReBxKJ45pkGg/J8zUpA4ku
61xIT2n5+Z+xfL6+4hcmiSb6+X0MhBm09yKkaUIfEt5szE5QDME0kynfrW7FxAWnPTOxeIfnaRr5
Wo8JbStwA1QrKMQLRxi9qDzr5rIFr5PFAphNlhZUddKTGXaHwKM5RToiPEl63xGn7fXZWrO1OO+T
IfTCXOzSkxBsQigCUwe4dHAPWcN1O5dyF2eDWpz8Ut+rgtQ06anN/2FLwbsL/3t5H47+jQ6xhZ/Q
gdihwTVENaTUVv7xcwBAEZtmTjICbF8EIOkwjtAa1unJoH8ccrKVJbs8vDffX3jdoEZpXjTVrKS3
1bwX2bzTynst36cQUDXBoVBhe71XP9h8OscDszopvkINlahg4Yg8Tkz4mdL0FPQ3xcYoV95QF53D
IhQF8DM/Muet9uaJZkmh0spRlp4iAeKfiQrFM+x4e1GHwPmDoP3Xoeg8wqETBlD/rte/gq628BOf
Q2GAPQnmvmBNp+LCwcAtSj6J8BMI9BIEWVUwDYRIXJ/0AEb45r4iZSKo3677+SUjPIvn8oAyt8Yv
3DwRq67vQiU5BZ0TSU4cutPalbZmYnF8FqFWjVGqJae2S9yofzHr24oSxPVxvH8hSPrbcSyWPi7F
LC1TxuElrgZFYuRq9Zbg+rqVSw721sr8K944WGmmQ+zB1nrq4e3M4181rPe+/E8Y7XRzZWEu7tC3
thYngDhaZSGE2ILXd+8jpydIklv6hj12xe+ghcLZbH/Ifun61ngUEnj7/7exLk4Io0gDS4305DTW
cHGSrqmau6La+eVejVYO9YuLpxKx0eTEgbd8DoHCTwK5Z/EGtYbi8YG+617aavqKmQvXIKi8/zez
jN1SCh4SFQIcMUBAlq63Rl7B4l10dZCYNE4Sgr6DiYQyOgtBKTNnw/dGgXzH/CmLK4fcxcl6Y2P+
8zc+qKRWEzeelJyywA0NJ6Kk1jrS2gVxYSQGDAfI0hGbzINZWKnL3O/SJDl14AkNOKuz6dkKPpzN
IYR+Y2RxMnBViCLdBMkpzx/i8Ncg3+Td8boXXygnn9tYHAwZGU2ADIQjRbPTjTsR8nhqydIWBlDD
gl/5Wx39xd3KsIDgiUwf+eFFPFQlSlbFZYGfUQnV2q+5d9P4txlFylb/qRvfGhGVQlcMNteHOl+e
i5fkmdlFaBTNsr+ej9ka+NOEh1MKHRx5tPt2A/8gHNorJ8QFT+QpQeQ6P1+5QRY+EmtWLJFnR9wh
cTkjvH4XTY4urQzrwpPlzMrCSRqzCGtv1OMT+Xt5PBjqoe5/VFbhhpFg19PP65N40e8p60LhQuH1
HZiiM/SqzFGiOWXyH0l8kfKHPl+p46yZWKxT1udSgjhJfMqRdgj/idKNOPxzfRQXXeHNKBYrA1an
ThPIMk88OaDK/q5Gny0Badjul5Z9SSL6i1cOpbUxLRZpGM0OeZooOdGNuSmKH3V9yMS1xvSLRiBp
AEUzl3be8WlJXTd65sDpqt1m3q6jdJgZfzOQNzYWA0npnYGmeOJ0hV28sNFIyUTn+uJcGgZPVV4X
NOcxkHnx3hzgmRSHkP2L8WkInpKMVo9P/QepAubgFNwKXDhUPInslsDbph/lUkrb+GQhKBMe5HKf
d4/e8HHoFGZocacva37hL+NtIfY7MC5dfNI6p+z2qfj0FzP15vuLqw5mY02L2/n7w5cu+Cbkv1Ea
+N9MLKIsdFN6rY8QqIG2OWofUFGRlf3/ZmIRSOl10yR52senqd74lgQx8aEJ187iC05Fql8hHU/S
/X1tUNFHKQVNUp4ys95Ko+gW5m0prwESLll57YWmnQdw+fJmQ0pW9z2tLk9Sc1NK6MshK7SyAS9c
KsSBr8gKRSdHtTi6OgFuQamoK1y3cxV1HzfJpgp/BePu+qpctGNRSQWmP8OwFgsfCH05wBJenZCl
gtrZss2wdTMfUmTh63VLlyZt7iikEoNSnSEvznvqqikk32J1KrPYLaIfIbD7JpPt61YuBTrmWzOL
iSuHDKGQpmdAUuEGEdS8em4PQuf4yiYe230amHZfKvZYfrlueW18iyNzrKAhH4WpghAY2Ub9YVZi
ydYS8ReNqFSPZw4aXveLQ9MoNV/PJ5ar6oabLux30/DiVR+PR3lnU5sj52LM3YHnJ7PaNAV9RE11
yj+LIlmXk4cA2/XJmidjEaTRK0Zed04bEF4s3A7ciGINBu7dx+PB0tDpUsqV+GLNxOK8IVpS2tDC
hJTK/6j+8EsGe3d9FBdWg6qfRamdKwzQ6cLXplBuU7MISiTVkn1Vpw/yWG5Vcy1d9JqOXszWmZ2F
ayWJDNqQFxXMCPF4A9D8V9UZhqvkqXIXG6F0AKwiO6DYjFlGC0UvzzDvG9X4rXSidip9UdsXQd+9
IL6bo0wFSaJZqtGm143fQgEltGKNmluJRXerTmlyqFT/d9SS1JtU4RnhKRW1hAjJhMH8HHYdZ6oB
n74YKTuhNKx9YQne85SL8r3pB8lnVcpCR68tKL+1kQaXUQ4dpS0zxyg9z5Yq9IIiqbWczJryfaBn
1bYMMuTBfFPdj2k5bbNOGxwCA3+P+oziUmTI7c5CiiSP4vowpbLoBL2kfrbUBOpCZBKewSHWPGrE
9ktXZiji6Xq78YPK4k8t8TEQivLWlNAOqE3J/4KOoO6q6ohyj0qbFeDq+V/9SE1mheggvzHNJr6h
n0azq8BqH6tczW6QQ0FerkkKezBmeYpBph831kXHGKvQHTO0iPyktFypVde65y8c0OxAuC3n3UJi
fPGKkspmyBGOzE9G/q2LH+tpsEteTWuh8pqZxek8FKFexKmfz7dzim5kfB8Ads+31zfMax5t6ck8
Y4iVQCqyYRb7foQyU8BL8lOqTsbeU+PeQaNHQYUii2xNGZC00+AYl8sMcG5XhrYp07E6hLp00+hV
c4qaNNwriILdpaU4OW0gTreD3sSbqSuVpyZVImcoFNUJRxG8o9KiL+03iZOb9fAyNJoFxXk/2XJZ
spJl8aNowt9dm0W7frDajSCaqevDYuPAe1G6oobYWoGy5QtVIijOUxkpEZ5MtiT3J9VrRjvLKtOu
0y5YeTrPs7CcpbfnynzuvAmNdWQhJytjv5fR78xHXyOxRRRJiv4QWGsR03wMvrNlzG9X+tPmPMe5
Ld+oJRHe/eIkgyLRx1MpfFEo8iaKcoisOylauVsunMoUp+g9VAx6reHAPDdXWFDCUvDLT1FFpCmF
D1FTblac7MKI4LcFTkDeUHoPfJsSXUdRrjj15QTRvRohwYocmfsXVhBRmFk/2JvLGyyqwhwefS8/
VYfIv2Oq/rfPL26vsQ78YggFPq/9uFtlGr602ymrUIoEVT0/Ws5XIQgloRXbujjBVqORPssRAGiy
ys494Y4c5MpUXXJnHfLnGf5AiXL5PlK5YmjpD7CWR2Rk9nEFeZdIVBE58JSu3MmXjRmgu+b2nHfZ
GDXMlDqpkuKUlYckedEI/n2LBoqysmtzTYD8UrTJ9f9fa4ubWTAHmER1rPUIoQXeZPuC25jfzPLk
65/K9JsvIpSW/rjuG5e2LJUjKr0zDfy75IwU9HXb9FZ+UrNjG3WHqkWJQxWcZtiHwy5Fr++6vUth
zpsraBkPjp5sTNLoZad68jfCeDd4oDTWmpNXjCxhGY1fNS1MMdkpqMVb1UcET5DuSxRNVvxjcQCB
NgJxRC0JXBNQnHe56ThiOQN9UJ8V+Y/1w1c+f2iu5s9TIgeLo8JD+X5tisYz6dbylGcYw20VoaFh
uOFZfd2ItPCAf60wAE2m1MybanFBpJNBvtjy1WdjNNw82Xn1V2vXoWSufkd+D5FXJXfj37Oere6m
4y9d4l3/vYMGX+hWzqllfebfn0K5AsQsuZZ3KDvZqj26XPOZki2/r8pk06vBkbZgRN20WzGYHhQP
bbOwdZRc2sh5vnK2LE6yd+YXcQtaYm0bhZjvamQTY3vIjkJx64PjWJny+Uh8c08qc5TPW3/uyQPA
Rebt/Mic6tbSPJhaHkJzeBRUHa1i6Av7It4qSUksHcWPpRl+HYSNVMdHUV3Dyr32VJ7/AMqrFnhJ
uui4b5b5srhXYKVGZ/5RbhF0yVtLcmQBTWI/L54JhpJ7wK75IYhidZa2lw/4ToM2I2wrMXz1mrhv
zcR3/A6moCbS3Cj1CyQCB2ujU/vcI2S7xja67MJnymYWUFOfnYNzf5kYp6YaD3qoBI91I2ibcJDK
p7AaRreLLNhBidIfxkLK3LqiJTAKdLQHlH5bIHHJS+RXmLXxB30FRjO2yjx3UERJwL/Ol1CJRC6G
NAlPvS9nB/gpmntDCjUnaREenUJ9TR1i6Zuv9maKM7iyxfm4PrdniTUCvNx5pyBwkYCv9JOCLq1y
uO6ZywNtaWWxAyK5GKe8xYok/bKojVv6x47/mQiO3vL/DmPxyq26ZKizEAMVD7jQeJG6p2qNH/Hd
MTIbAbMkWzNNCTHVYm1gOeLBlg3+KezH2xg4sCooO0NAxLNo28cBcWxJ81wv9I4Q7Nh1Zr5cn8X5
+2e769U+GW90BOaTbDHIpjFDlMWg7YOc0/VDZVcbj8X49bqRSw6BHsn/G5mX8k1cb1BQUSTUyE+A
6EHSRDRpIeohnIQ1pNPF0cDDA3ufxs5bJr5brbfQxLSCU1XSahvmv3QdgXOrW7mHltfQ66LNHYCw
yxCILDe4lA19TrwVnKIwTO026PZ1i2peKH0qkh6JCeVPKa2dg9YrOuZ8qbBLSlSCe56TUFwsVUcb
toKU8HQUJkhzay8e/4xqaviIUEkV2nAwfng85FJEix+mOCtdIUoSN9esxokJie1JbzteifVgN7o3
bYrOQqccbTR7yhAubiVYyeykqMt9BxqOh1DWfvJbBaGvNqn2YSqbG7+v1QdSCNJJGVrFbZLOvM8H
s9snkv9ZKer+S6oqw68aKKjvCEafbKBUj570IE439VCqrgGdnCNpPdQ7ZvazaCVEvBRxKlK3zdss
tOMh9faTVaRbwW/yQxkO+t5Xq85uWn1yG71Pb61wHDeliCi2UcdoMJeRummDSngMZqACkoYS+aEC
Ub6gKO7bKbd2E3fbtiZZcuN1SPMhAF8g9KypjmqR05BSsQeKZCIz0zWozsqeIKHXrptPZpW2p16s
wkdLRU5SVf0/uQmdhaFVyWMyaI2Tc3o7niiQBYlz+IXREb1PlVjdFMgNu4Oi9W4Zd92GQvAPAOyR
o2qp5FbmKLm8TXI7D1LvzvB18YE3tvhUp+qdzzlZoHM4ZgNap166Ca0Ympas8g+634x7BW5Qrmtp
6+v00RWR+UvT0oliaBXahmn4bhKF4iYSNaa0j4SN1dbx1wwBUddv48QZtExkm8PxbKv6YEh3TRg+
QbGhoK4+eKcosn4qedzvx7grOua/tlDwY0ftBbUN7EYLvlljBZXW0BdfJV60PRLnqt86VTV9G6tI
q51MMtNHwRR6VyHZ+pNG3Fp1e1O2voemL36Tm6beCH0l8AYaDeNFHuXsp2ek0jNyrvmdmOKKpWz9
rsSs+TIpyIkzP5/wjnHjpc3vVBiETxOypEecJHwx01w1D43ayrMmbEWCSwtNG0eU8z0n9x/6jvWn
vkZyL/QthCvNka65TO+cDl25fdQk0ikTI7OwLRQ0qZHW9c+wCDtHpPsbCg65/+HVVnqC8k1wPZiE
fYT2AuTuh8S4V8r+U0iKcp/ngoSQpNpCpVMIE5NThzYEf/5hSNPqISwadSM1MGkFs6eMmpGjjDge
CzXvmOfwn1gZo++Zb7aPgQL6KmMyXiKCMf3goQq87ZVC/zR6zL2ty4F/MpAmfxCkzH9OyuK7DFDn
S13I32IPpcOxJ3vZqROqfb1Qb9Er/ToJg7ZlkYZH5tb6otCl6KD/ILnooTauko75FlkF081j8Rs6
dprmjk2NtEJI8zUMnPytglga4XDrs4oSMLKQaeZCAVBvjEGsv/tsz4KWjNS/V8umZaAmCEITTc3x
pxH97EC1+15md8pvP9EmWyvi2JX6tGWRC/5HDTVdHczzTkqj2jF7q3Mn3ctdrbGibQPUinypjC6q
GEpbpavKg5JbKpKrgfFSq5FIKcDzncQffXoLSH+N+BwN4B4ahP4gOlNZl3YaGoiat72AmqgOjglJ
X+SSwj7cqbFSfqk7VfiJjGEHYwKqhalRdI4cJsKtHsxlhsQEvI44pc1GFp1Qi1JHrlvEXcpQrT8Z
CV3ZsheauzSpcqdqjeEPDfDibQVl6s82D5MDuuAaGqg5vRZynCKRiMLbntNHdHIt6N1E7KTPyLXX
uTPmTX1XxEP8UxOoUtgh5K2OElXTzqr07kaJSm1X9IKx6ROp+yK3MWSCg1lIrtAhSO2PvbmXs0Z1
kiGQv/DyMO0oruJnOW3CXRXyOOr0LrjtgGufBq8tOMMFhErhsJoT0+JDG0faNhGE+gkdzfEUJXXr
to1JGiGbdLc14/zYCY1+I0imtefNOm1QL4+/IjKd7qNxlBBi1DK7SUTjdgzz/EavEXf04gZpxEAy
k9smVdW7fEwiVxCbkybRuR951skXJM9Fl+4XGg+hHfZZbatJ8oWoKLVzX4CZytMbl76FcCsKAJEE
K5se4r4JbcFE2z4uS24H9KLv6xI9aLqVOltO6DLIm1i0K9XLNnWSF+ggI9l7U5Uyv4kfdddFTbsN
m7i9n2QkbMWcLikFTY5NmTSjo45C7gbaqO59X5S2XuZbmwFSSqf0pfY7V2+yGYMo3EwDzKuGUKBC
GQrRpojx6S5XdUoJGhSQugoLu5DEiDBL1n3ZtYmjV5nlkOj0bKUJKprM/OqpgNpkVyvYNdpK25qe
mNmWHw+fsyYx3LJv0P0Eh/qAGDrwpTYSD7HlNbtCqItNYLTDjdWE/SZJO31boV26rTn+D1UsDo5Q
xfpBhdz9U5u2vSPUErLgIqBBo8B56tiQN0bQ6e6UQkIpjPTuOn0Bb+Wg1L7rN8AbY69R7xL4wvZy
zN80z0AwOUDa2Mrr1KasPcvQxtWNbg3SJqLE+VRHcIopdVk8VXlSHNJqal/KalBcaTTVU1VL/Ois
Sjb07jQ/4nZEtt0cS9uSOuhltabfZa3sV27EbNmy5UPykCDOGRdWdkhkT3ENJS//j7Tz6o0ba7b2
LyLAHG7JDupW6JZkyZZvCL8OzDnz138Pfc57RmITTWi+ufBgYAyrd6pdu2rVWrf5pAatDBZat+xi
znRQP6u9CpxGB/vZligJy4HVIS0vJDbqtr8yTalsdABCW5bYZ32USbecWZdKhiTvciPy9wayufZQ
m+MNVJucMtf0NmFaK05PecZWxlg91KkAkQFZAfXIs2nobD9ENF6p9Oco9PJjj04y6tQim1Yf/U3s
Ztk2b0T9mHtKu4NIw7DNVk7ukRf1qBXlxkbItATif2Ir3yBfoPQ5PIFe+halMHK4NGMfqI24u4I0
9q4z1cYWxdi0h1SvnFiDwmPINWub92ivp4X+0xzbn6XRG29t60rwDQb4vEYW92VLArLUEb8Ygty9
qYHE3YbUJO4rwQ/2StRkr9EouI6sNfU+ilPFSSqrBG0ahBsRrtqdJmblPoXc9I6wgD04tNSWKULs
yqy1tuRCHhvPtyCXM6h6xUWp7QM3Q68g09ViM0y3TVi3rClFBZsMjvrUq5C2qJEglo5koS6stkHs
FHILxaAe9Vu3qoKbFK3H84gE9E1WNdVDMpLcEcpaf+AgDds+9LxTVkXiQ5lm/gZZA2EXSkK3p09+
gG0qFAw7icVwA3tyvgvBTNabpjGa50H2fgPAov1FOxVEmVup8buvOs0Lg5ONQvldMYbqLBVN9EvN
6+ibNereVgtRfO1E/2ckRZLtCl3sRO441W8sxalaAlqaOwgFtNba1aUrbtHx8GmpqYyNNpr9lspN
77hJWW7bXEW3V9Bh6Ck69caSmnobCxKbjvYKlG6ztyEDJeL3VnIy1THcKKmPjAP907an56bdQ9e8
9dRM2PrSEGx1zfNF4LK5rO3VdCDxX3Zm/pS2vWurvvfVG8H9eXVdonud+9pW5WV+9tWwBfBfhPEx
tEL4AKGkEvbkBZpNqJbKUSut6sHyjF9dGXV2nrHpVTf3d33TE5p2nnnjWh33TsI9GMSZvh3Ctj6Q
dGzQIpT8neFl6Zsix8Ydygn1F6MW4mNVZeNZF7xAt6NqrLLb0hupKUEvXTghcr0E3eSTTlWPQ/Bl
mmIbCvXcKeSY4iGqEe/QonNFJ+oToVlmj24e73wy4Xdp35ovjRS7uQPJYXPsEU4O7doVu8JOJTf4
Hbdpc1YFI3mOKY/cUoEbN2qm0OZe+3oOcqkz9m5WCzurHPAMWoCA76iYm1GWups4K/ybzOqqjRoZ
32u2wb2b5/V92LnJa1/o4V3ro4YdJRMz9dAGLz4V5B0Sq9mmGU3FVopC/GLKeXCWPQEgtRb4vIeK
Zp+0A0uYJMWXNi4gwhmRtLdyQvTUagzSVZp19Osx3WZe/lWoymqbhnpyl4ZNfoucTX3vK613g85n
cdLisn829MI7iGXILkF3+lBo4R/+r3Djd0oDHINjqflDu7fQDTzw3irORV4Q1ZeSSTJP7dytD5rr
HA+ZYAudEW4VGRRpovLGSHyve1FcTd7ppSaeLM70l1rUs63vu8kmDTtwyGLS2llftLdiNKa7QW+H
p0BN6ic1Io+tjKpkp11T7crIdczQPNBh/RqRud80Idk8T+4iJ0zS9kHueSxVeEJHVNNqJ8uxupOs
WnOUSuz2vtZKG5Tcf7tRiTq93hbHrAykh0xG7DoWEZDWxcEuxw4ewMCs7xTJr3/EKTrAYlAo9xmU
03ZspNIm6gqda7qPjr6YRehk+/kmGsW9Lwm2aQH7g4hkPHa0n29rNyyOgoXUtqK5pe2NXv2ECIEM
cZEqb3o6aG4V07V2cR4isD125p2ELiowH8si0xdwo5dZ9QVswK8wqM2TqODhdAv94HriQglAox8G
LzB/yKWUkP5xm41cl/VJT1L1Vkqt+mg04m8dQiRHbkrpGPZKb1eoENukpOPdqKEy5KPp4FgEfrZW
ZsNWbxqwuHTJb4W+l/aeJjZ2EJvhH1VuoMVTPOFU6FF4DLIm2UVeJzowy/rbCtY1G++NNDMEb/tA
qxC7FmsCUAvVHKilynMmafQLDqpJlTynoTeIUIW3/PjQajCZ96af226X+7YWePlbDYXWVuxc9zDK
beKMYjweLXmIfpAa13dmKfV3Y9n9GcIoflEVgbnUotfOqoRd1rg/m6pKnkslzM917CKg08vyOZON
1iYU9batrKd7gnDPEYEnQlwkd5vQzxQoDCGDp+aGoI1eCMfGC1pYrljaBzh0XYfiUb2JpfTBlzrp
4NL3DSBvEE5qTVZCD9UMWGme3bdq2D0mgdC/aLX0PNYJ6kG5mFjPrqWeQJYIL4IVIBQexVlgF6Hl
n1W5IPj3xPg2U6zMCVX3j5VGzS3UOP2Rcn56ULmunMDviRiEaGwcUR7TV9eLn3J/MI5RGFKITMPc
SQMRmFZVeo4baPmtUkjivk1F0ylys90lvhuBG9BeyZebN2MQp3+idtDscainJ5YfbyPNa3l6lcVJ
r6WIDgdr1GyajMcnnSz+QW+k0CHCFfewBPwp48i6aeUioj2KZtw+qBRAg6OxSwTpzs+7xDG9XDwX
SjtNmzEcakuwNoES/UiSKNjHPLZ2YRk3JBGUyIklsk1pKhBh8+LSjmT9+pes1/udO4q8IPsw+RYJ
QvnVBdZw1DkP+0CxPJ6EsUAvrZfbQeR6G7MoyGW1iYTAuTs+tILR236mZU9FQIafl6p7G6FTuk3y
XrhRayMu7A5VaIIJw9+JXplx68e1DbeRtU0htLa9pvgNuK+wY471jUDeYFuXgmUbfSlsxzzPH4mP
R1sgZw/ChF3kWRqkAmUv3ZtNH9/5SRmsFMsuU9dk8ixacC3UAMEEzjJ5Zd/p2miZ47mRDrp8N67C
TS6SurDrkCvkyxLhgDKr2aSVV+kklcdz3Tz04cGXn6/nc5d+/7vvq7Mu6A5OelMK+L51il2nX2uz
usziWoaFqgWdyoipXYDkesPkXuvd8YywMenBoyLuhnCtLW1pDO+NTDnedznpSku0Tm8xEvlOJNif
ZPIklf5xDLMlsCirVH3N5w3yjBlYtLfPL4E1kfbTLkXP1JzFczAKeiLINp2T6vu5Un58+uu0Z4Jb
AEkwyW/PEvZu2dVCCbj7LJTydwAyNhmvFazPwvz/rXkAG2ezXvJkEzRHeQWViysmJ2j94UoflD/X
h7GwkbAB/xgNtDw95rVLWOEthXqadpask1Sdy5TMxJfrJi5LG9akiKxALzYVUOY65Y2a0SQnQmsE
As6uZONZi1sS8vF3IwW9dN3WZdkBWxAsYBDldcx93LIDicVizCEfqOP+Jkra4+g24JelL3Ll/RSH
hvTjmkLE4ipROoRJa2pD1mcmxVzozVCFyyFD2TM++t6v60OajsGspmFN/bqTSBG05XNEOfQAxDCp
a5zl9NdY75NgsMmd2j0HX5TI+qyhvubAlelc0hVBFyAYEmiW5wJSWm5ZceqL+jltDWkLsahGNaQ8
aq6+7zJ/GwUtKdr0S68IkH6Cnbw+3KXpnPzaXw4OeD+nv3/ndMji1gLU8fp5qEVn6I6h/kkxzf8Z
3zsL05F4Z6HlTve7UNbPHppoCVvS+HJ9CEsbfhL45XqhN53G5I8GMgJkk+QROwLlFAornUrZJp+u
2U8SO0zCHpD3MV0UR2kFNKZf8m4og0Ss3xkNygCkzPzBFsjbXh/LZaV+MgEmH3qaSSZwvv1COCrF
uijl80h9zONRlp7TiYA0P445jfFJ9VWok2+iq+4rK9375O/U/vf133CxJYB848bB61EEVrR5LBCJ
hcarlR5eg4Ro5Cd3o1KttKUumqDRCC4OY+qlm01kzvuL1IEynLsq/yOW7tFIzP31UVzsimkU70zM
4I3omIVeXMrDOap/SKlkJ+mpT2Pb13bX7awNZXZr8+YwzczFToqAgpWDqVZXnOySBcJnnB2KhbRO
zUbiU+8Nez/AwpT581RQuGRlV4xcuiFwBdBBo5MNVJN7du5Xh0ItELPuzmVleClKdgCIir40eeVb
VWWnvl/cxGEW3w49HNuZHph0s6f/uT6ZM8jgdMBAa0lwdwALk2l4/HjAEgG8rdHEyNeQ94DBFNAx
ga8a2opUwW6/BiVaNIcVmG3gzb0IWcKKVGajK91ZQ4tVyb71TWXH5Oyr5qu61mR5ca9MQ0OazoRe
i405P9hGqUA/kvXdue/FV1nzdqWuQ3ZPYYowYwBy3aWbQI9/SqO54lMWLQNXQvGN6BV9go+T2qlK
XrqS1J0bUFldY8C1LDl6enCVO6l9rLrUcYU15O9FYMBogRkZ7FkYFi8AN9Ad6ZSRzI6HaDZu0iF5
0JPc8bNik5m1bg84s20iy2sMFUtmNaQK8NLIqrCNPg5VrapGsEqrP0NbT8Z778seXRay03B1859Z
/rnOlr/7le3KgoIq4t0082Ox1WfksBX2K8K2CUnAtZ6Di3iReQQHQ3FtEk+kjP5xQEqcaWnTZpx9
HtUmkPMUOe24/nQUMJmhrjahMelmnYelHAGwFXLVn0fV2PSjdpKi8nD9aC94MUzgv8Cb80SYo7T9
QaCkUbb9Ocqz5nEwSRzzHvGer1tZ2gAGrwNYv5D1hbDm43wllltqmpD1Z7YkJc8brZzqZ8e8aZxG
u+nbt+vmFi4ZMOf/mJs5/7oZ2iFwi/4s+eA2+t+m/GWw9N0Y/rxuZ+kIT01gGAMlfsG/3Yi55Xta
2p9JZz1pbo4THt7CXH01KsmWg8CxWuMBwRxvxXUs3gqcJ5TpkKa8bEDL4jZG1TkczkHm25IrkAkq
tppWkZ37VVgvGbGpp/xHXUPSLW17AxzYxD8FtHaO1xMES6urQELwcHyReLVo5Z9c+HV9TpdCrb/y
5RN52kLbsy4GlCu7sT974knDA8ugdYT41Li6ExiVLY2PenqjiPe+/EfoDp9HC+KK8cr8qXLzIAL/
cauqXQYvQyDK5yJFvYVErxf4N9eHuHDmPpiYeX6zLqZc9SifzaSy+2QvyCuws4UL9IOBmf8rVZjn
NZ8xSCGVImXnN4cuB5ISvjXySmiwOBbgvtyek4TkXEpFHBGXDCkEng39p+7+WNOaW/n8XEcFDPdo
DmnM5+1cpjciXku/LGxpg+5E3BL+jxh/BkENWpWqVSCRoSoRJi2GRnopQAUdo07SVm4lafrWhzes
OREoTTE8kjMi7ZAft9aQVekoZeKIYLBlS8GbqtyNQrDzs1fV/wV7DyWy4sYEzaaupFAW3O8Hw/JH
w6EWKV6vNeO5DL1nREu3vvLV7c61XG3G4KaJV54RS+4Je/B4sjHQm51jVXMhVYhTqxFpM+8/eiT+
J5fzLdUryg2+B8l2uhcD4+foFncK5AwrznFhy9DUhFsGBz41us+CjQYyADNp0NWT0eLO7Wjlbln5
/JwcqE2jYPDhcD+TNbCzYlubfz7tHUDXwlvMVuGmnMPYvSqoQrNrhnPiCa9NLxJxe+YaDdbCzfXe
iDJLzNatGIqwnyM+6GIAccqnNNJeyNr/gvLV4aC8CUjS2bDi7K+Pbum8STp9dJwCYL7zV2xZUjyQ
3BCh3uqbToxd7ymgXjexcPvTcPaPiWkF36UD1ErX+7ZKxnNgbNQfpbRNyptKW9nji9sATTEcB6l5
osyPRip6ppVqxIgybrTBSdfmaXkQ/3x/dmTdQRBzzUNQuUP+1dpD+9vVN/Ja1m55Nf6xosxGUZtD
k7ZYUYqtqNjBN2VtHIsW/gawPGPR+p2dxkwfYKHy/773kSSNTf97LFcPUvlJnY0p5Dcm+Wx1ei5D
BTLb0KbvV+pYDMNZ4x3Xy/WDR+0asr3qczwg/2uHNxu4aoPn4iySRcsIPF+DxKqW3aegpCsYLP+N
AzP/MTGLXi2vNLwixoQHsKmiIV0LVw7h4uYibKTlRIY0cN7dKIBzyKpQJwlD+Jh2MhAdfePmx05e
64xbOiY4YlKpLAnPjOmXvDuLEV0DwyCoFE9InwK1W5mqpd31/vOz1Yh5tFoJMFb0D42N/LsFgKv+
C29CvIuzmiSzLrhrhkpQgiHMxLNfbAJkhg4gTvS1d/niNFEaIMsI8+Ula0UrjGFWUSczRyBJYp3b
oam9fN4tknlDv4x0LOmG2VyZseuCeffEs2l0WytEWcHN7MCStuYaTd/SaLj5JwZcXig8jz4uOmhZ
EhDCQEmrNNu9FMs0jZNvXGmsW7KiimhWkZBiK88jN9EQNF0IiKa6aidswRt9frpYC0mDcJfa67wX
Ct1VTXRHbTwPCkBRr3DgQ9422Y1er4SFS3v4bzMkHHAL/eVylWqq37n9mZK+3UY/UlA9abLy5Fgx
MneP4I0rpcknI5nn5MXXViUpspauWDTCs2lS2EZJbL7DiNXTllClZ0VKJxH+YIuu6efr67K47BOb
FF01VOvmtS2ZfF1omeR2TEDBx2rM5b3rNX+uG5nOwjxSZzX+z8hsB7uF4TalzkM3iUg9Fm8poINc
eWNlrOzfmKJ+Cj0KrXcXD5BObRNrNID5h/2Q2bJY3lqC9Nhm430e6i8lmOfrQ1ucP+gzyVuBcYZi
9+PhzONShXRQHc6iltumxMNQWXHKS7cLyj3/tTBvVI7IAlZoGA9ny9iHwmaM7ycc4FoAJi3uNnJ7
Ek6AWFuZXZMuhJN5rTJxKQ09RBb3nT7YcVx99cq4vnWbQnFGCiZkjhPzm9DQvZkAgbCTvjf3jdXQ
U9NuQiNpVu7WpbeWBnE+eARyM9A6fpzfNoulSGgoC+RJ+Z9ECu61vPHpcaoDp6YcZluJ2O6LNPn8
O9x4b3a2Ywcv70DZ+MO51DoHKOJ2VYldWto5Gq2hHDpGx3b9ODLDChrLp6+GkbkdGU/AaelgJjuC
bf1WHKTqVmgD6wGkO60ViEvTaiwk2zCJikMBR+0e8e7CERo1XHmRLW2EicuAqvr0jp8XYrTRzfxU
ZcbD7tb/1sBLssaYuWgBtVHa+GDOJNP3ceSBT/9aQN/lWQJzGpkluN6XrFpDsyydG2jwIPyDI0+8
YDQrTIDjrYWPjntpk471kWRvBaNLvKattWZotlc8M03rNsSQOwDcELMN2KhTn/S0XFrq1+vuZuk4
0AtOqEzGYxKg/zh1XeCN+GtKiqkg3MvdsM0sYa8GAF0k6kZxF34VxeD7dZtL45vWSSEEmdjmZy7O
Q6DANUv6H2P3lKmPZizaHf0gq1nY6Q02vyXe2ZlfqqI1hHI5ELVFfbrJaDyqQKRZvWCL0asR3yoZ
GRYOfHhsY/GQ12usIUtT+9787AmaDPBFAaIbzyBVq8Epx69ZdZS0TSLb6NZfn9Kls899yGRyt0va
vOARRH0R6I3MQ7FE8CtXa5uXY7BycSwOiEcclLgAfS7onc0QnhXLY914e7V7RRDGO6XwXMdVatJH
UWxsQ7WLnqvEHzbXh7domcBlUhPmj3ktTonpqlM1prKsbkpYAUrqBqP8JZDUnYU80hp56EJ4QaRP
AsakHHapxFtOrdQNyvZnTXjkcZ8Mu7ychNR00b4+rgXHRWBMJIaOC1fy/CpWa72nxzYUzzQ5OGP5
i66H2n+9bmNha5hUp6jswVQ3aW19POGVKA3RAPr4nI1f3HGndYd/8X2Yl6ZQn5fkXOo6z7xEavtC
OleW0w+Itq/M0eLvf/f92e8Xy9FLGyWWzrIVOpEEe9inEYTIFfDgYgXoxaRzf9oO7x7BIvmPJB4U
8Sz6kS1vRrCsn58iGBQgkYCcfyqafDSQm1WXJCgUn837IVRsgUan6wamD8w8HVt1+jR3P2jLaZ+9
G0EttnHlqq18VuPI2DRWcnBDje7c5lbptZtSqyOn7CykYaLo23XLC77chBITfUYqbJSsZ0Nr0khM
hQkeOdJ+0Dn6q2Bt2/Tp3xgBV2ZYcN7AhftxeErkIq7U++I5FpvAhq3l0Lii6/jW+KIryf5fGJNJ
HFJJQ/d0vhvUzoKVBGTZuan0J7hZnqfOQVtIwtNgDisDW/BrFMH/sTX9/bt1Eyo6WeU+4s3ffo/j
71L5qENcG7w01mtiVSubZMnZUAoFdggICwWcWZSkGKlpoNk6nlua+gnVINvhQev7K7fE0nmlNAea
FUoFSNJmEYVMP4jhjhQXUqV2LItG8s+ndkkqWJTDGQT+bLbZS0+l9z3XyR/TH6Ddhn2zMlHLI/jH
wMzjKPoIrKBWxrNa7PTuWP++vsGW1oGHHZ6GKTLkOf1DX3ZGPbiUtMK3QTyaiKp9UhB6SoJyHXJ7
sYcpQc+T35bR+WNoUU8yk195amvxmkO7vCAVYgz2ERl2/j33+ZLsxiGCasZJC2gV8I6e9Q1BHUfx
+00frmR0L1cDWxqsI2SOyVjNzyPcvrkmBYN+yqRjcBu4n95NHz8/O4JBB6XGmPL59M7MHGstZloo
l4ORwutPQEuKbfOfb+WDTpd3rZ1o6fFLSCPGU+N5dlMcJO2Qy+JGr39JU6+0cCvRRyr1Xz672z7a
n43PgtqKbrlOOwnWS0Evcxkcm2RNY+RyS2Nkko8kDQt+aZ70aa0uLcaIQUrBU9HQjZnYkfF4fSB/
oV4fL7kJVUk/FngsIo05FCwbAVuEhMAncvPFrmwTvQPXp2jPfhOEX5llul2z5Mkaqvq1yWWFQDQP
fFuIJdcZ45zG+9qqbnvZKB8A1lJ9HN0w+NoIjbmv1b65VQPfO9dpkxzG0Ev2mldG+1wB4iYOIA5o
DJfrG0IRpA+1dOiPPbHjjUeiwa7AQxyGto5/QPjpPVJ56qnlm9LXaOyFr96giTtj8PNz60Mq05Rj
bLt6TLOCN0Z2GkqRYySwoHVRI6V7Lp6WlrYxfwizsAXKrCovfWg911n9J+gE2RZ8MaZLbgzqcUce
zD+Uw+C9ZWjy3ZaD2RxMvQjAOrWF/qcHS/Y7lgdhc30lllZ7uol5cZNLvLjzjZQOKzHRWO3iFNMk
Su/2Gp3S0qF/Z2L+dFMqt0x9WONP1q6JaJfaXR/Bkv8iH2FqU+eOchFQZBkz2TeefhLFbhcIN2Px
O09qW3WPHp2H120tD+UfW7MD2Be1GnsltobW3Hvib9AOn75xgfTTHYSX5NqlDfpjFCFlXqoU3Pwn
qd3lW827uT6AyxBvYgKckjd/qZ9E+ePnDS8nXehJ5knqnxueQIU2oXxu1LUszsJE6XBsEsHKJu5y
njCswsArBKk1T4H4vb1NzW+fHwbjoNmYSBmM5TyINFUh9z1LP0lKZT725ghdh1YIX8ZY6R60lp6/
6/b+8sF/9FcqvGnkujkq9AnMgQ5u03jtGJcpKKmieOzy4SCZNERvyyAaoSwyRaia0jdTzKNtN0bV
g1FDnBSmqW+7dQlDckC6oDIr6znDRZlbU0dVdCjVlMk3DUfJ5eiHBqDvcWI6cDIha75cH8DlMZ88
ugbKa9IhQNbw47p7sVS3QjImJzgCRK21KVHY5aeLKyoC1vh1KO8Bns4je59YW6WJMzwZYuGMAOUq
vYc8YnN9JJc7a7JCLoZ4aCFcSUs/k8PGCE9CeytZvtONn3eJWCBinOgc0bCcX4CwQg+9KqbRSUlg
1zbo8xcbu+v/fH4ccHLyEEIZlRhvFsH32aBRvMvi0xA42eOwykzGgs42LAfkn89P0/juNRJKded3
Gp93tbcx2Ar1HdwZj0W9D+u99EkCfc4F4vHkI2idJWN1sfJUU4xB7NldchrfGzR0Z93DZ2cLQT+D
fDNlW6gc52hIlAGM0Kyz6pTLm0rYZ2vC2ZPj/jhdfJ8niAUUEYju/HwEqugHlhJWJ0muwvtWNP0v
IjLGx0jTyzvVbbuDIoiG3fvdWv/Y5X6eLE/lenj7zQtRSV/N5Squi+pU/2pjO3z5F/P27uuzC0sc
Isg4wrI6FSFE+PWh/Rf5EEoh9JkQPiALwJ8fN5oFG30R4vJOPRwFgx0qa/Ho0gThsib1d0AUl6pn
nqSmksrSD+WD4N6JyuoKTK/Y2eLLk6wJDU3o1V4Q2EqNDM+C6cmnGltbL+00xy1hX3LEOEFTwBub
4AvvvMyhf1d1coFXhmPVbcGr2x0CtAV6TfiRuVbp1KJbOpzsF3aMZMet1yKH5OvNTqCO+hi1srnx
M9/cIcksQAAxoL0YQ58Eo+Sz19Xag+lqwk3opyD3YDMcX3pLH3RbymTvpqIvJIc+zqh2YhaOt51c
dC9JzR3e6UEHtKQSDMGpSnHYpGVufPplNTld5JHo0IOQch6WyJwFPU18+QQfd6HArvjpwOrj92dx
SVDmXVXp0xIMz4n6VdV+XD8Hl0Hix+/PvG3dSkiQIh576uJAPHdlXd1LICZgWBRbhWZ1Xw4eUkks
Pu22JgFkDgapbsSQ525LLHy5GeqhODfjwQi/mJ+UFcHxfvz+bNoKs2zcvOH7Le26Eu6jX4kXF+Cl
WOBYE8NM2aZ5dgDm977r27wA3vwUg87QeojyoG6AvTcW7gs/3nTF25Amm+vrNYtTJ0Am9Q+SHsCZ
wJXOYwkd3hJLwN59Nz5CCwdJ1G2qfpXWAPAzt//XzPRqINYG2kIN+aPzGkIhNnvDbe/1zIDiib6y
ZEi+GX30U4you3RW8jo2qruy2ZcGN8HBzMmncaBm0SsvR8USwna8r33X6bzTqH33eDmOSfRZQ2hk
w6wMQhMg0qWqGQR3ll50EPio1p2avrj1t5QHmPH2ybXCCsKK6OLSmsEszm4AyR0SI9K14NS233qo
icQSMibTgExwLQFzMXGTpSldyGhEQBWz5QojVCN91Q1OoaYcpdjfq4SzTZwdY91c2fizWwdGdphk
NK5jUGLq5bXctNrY6TAJnYbk1tjl44o/ncXjfz8PnoIcyNRshBjBbOPJuewmguWfSiHdFUb0ZUjk
rV6NK2D0ecbqf+xYIJyph8iXTMa9JeaV2k9sqUqyUfKdmv7xlOcgunebp0AnGHzOUy5uukLD/gkG
z5UNOHO7/2seugLQGTAKzIv5RGywK4p1cCo6A8PFM/wg3xtYgdD4OI5huOLlF2eV6PC/5qZFfRf0
jn2Yx75WBadIhkg7jWC1/eaP++vbfWlnTHjO/xqZbXdR7btEg1TqlHaVbShHq1o5TwujYNcpPPd4
2y6U1P1skNSOUYB+daxEchL1NckOnx4FRiYQnIn+7oWDFSBmaRTBDE5S/Obqr+nnF54WFTLjsJ0s
ZErZd2JRJ3F4ysXC2AqgJG9TT21/WLmu/415niyzW4NbLU6cjF8ATkZMOg9Fu8T0xg5ysdNgiY5s
Fs5gHXx/DTK84IR46/DgmSAqcHHMMjQ6eYa890bWH7X5Rn1M+9ewGmjPXVmhi7uJyw8rWOLc8hid
7TOVaCsONCM61ZEU7gazF3d17lobsVNfkDMjaJEsaEzCXFvZ4PPemenUAqbCwYI7ml52s2BJgL1T
T9owPilgmyRB3YNR2gmZ+b2Xq0Ob5b9pMLyP4H5Wi/ROXsMDXq7iBGadBNk4Anj6mWsUByU2GxIm
J/Gx6mn0RA5r99m9/8HCvFKfymKi5joWoE3UnuqiSH/0kdyubZTFgcCeAekY7pcs90dvRP+Pq/iS
l536fpf+6pvfuvn4+YEw98C9yX7KFw3rbWPFxVim+UmlQR2iPbXciHmXb69bWdgPYHtAisBnSn71
ohVR6WU4a6UyP4lx/OCK0ILJPtiiVyV8IX18R/Zt40s6ymPWpqvXIsELdwsxCCRw/DMldy8wfkOn
060VSuOpqlrrUIUwKFswba7krqa1ePcEpOX3o5XZzSGEmScl5jie0LANBghi4XhMBnNbJAcUTVSU
DLg8r0/rhR/BpAnqlbrbxBc07z0qRg+6IxjGTwa0kHepko6npHehxozhNbSUMlzZLIv2QKNP8Qw1
l3nJ2LLSagxLdzz1ZRLAKKttjTS5s/LwZ5OsJekutv40tne2ZtNpZTSluZYvnoR8PJlKtW/L/kkf
12Sol81wRSI+gzzpHJYu5F6poHw3niBrhEq/RGKk501XlN1KYLEwd2BiSG5oPEumQ/DxKKtAYsaB
PqGTAjFY/jUqH5T6RxX6m+tbQpIvtyHoFTYEoCxqyvMWDqWoo6KB5ukkZvKTAa3gGI1ba7ydZAch
CXXCFokS+rq0O19wq5u2iJut2cIiff13XFw9pNURk1WnGh2zOr/iBNDRapwkwmlsJFv0tl62hdPb
FtznNGptSFium1tYRswRKqAKj5bC/CSQYxPgYWHUAdSn5lF2X8Du/n+ZmAMZrCIQNNVtBOKRByH6
Juv7Sl25rxcc1ftRKLM9EkPmrKllJ5zieNeluyhaqQytzJIy7Z13wa0ZZJzZkllqJ91MQNUWZKBy
93p9opaWnqCGbIUFpIEunI9WVDFLhEQw3VOt/PTNGCLgc1cfJOHWGiC89tZ6I5cmDR021IC48Kni
zZ7CaejLimfJ7qkb3+iP4ei2K9MmLZ3d9yamEb+bt0Fo80YOMQH0wLzTE+U16tJjF2r+SYjz5KYa
JkbtOiuhIgEnArs1wk3N8AO01QbCBsd1lacM4jh7NJt85cAvranE2IHY0Bl9QQI0kWmqnuu6p3i8
zYw7mMttA4aL60u6NAH4+7/lRBqE5rntqIzVoRpE8zSQajh8cW+VciXNRUjDJM7uTxCD/2fjolPX
z2DeBzV3kntTOg2QAztpKw5O3pFwrkz4C5I+/5mHBgysptJ9y/Qi21a9YhxaXc83vLbepBCGiiD0
flWEhRupksi/epnuaIUFeXiitccME0c5TPKbAlbjg5e2qD5EbQl9NTSke0GsMiQLOOFeG1GyMcVG
h7be8w9awL1aKKhxDElb2uRvpRv0UwtHVukDgpL7u9Hq0rZv2nSDyJ2+qQrRjnWl21SNKWzUQKUr
ySkkJAnFp07XAeS2meOVEGfno0WvQ1w+wDUu2IOXoXsG97Udtp38oAQqxMqyVNm5pOR20vTlXRdK
yZ3cGd2N2AfiPrT07C6oYbFHREu4F9LgW5EaFe3OZp98q9q+FuEAjbNN7ElDbVdDKezhm6u3rQIq
sI6AIoSepNwoPBW+Jp6v7C1NVjYAhutjV7rBMc30+F5qhPqI/kdoi7C53VaGWJ1835Acqf1/pF3Z
cpzKsv0iIoBifAV6kNQSLVmDvV8qLA8MxQxVDF9/FzrnXHdXE01Y+81hh8muKSsrc+Va4CoYOboe
E8V+jZOM3NLepptRt4tbY2rTPXPNZsdzFfpccd0+xMjuBC1JrG2Zt3PxyqV+Qk3whNfgndZzyAIU
4AP3KRNk01ik2PZAeG07WxmCyYEoCpig+0PZxSBrJyB6jrjG9oNOq83AuH4zxUhod7x0b/Js0IPR
NWJ/rAZAkRpugn/bHg/VCKLhFtfkgToMRFBGb+3USeXPjqJUnpXaNGzslG575KXC1obynQldCYjo
VDU08AwtMFTF2RomhRgcdMyhG9B4DcQ3fBCYqC/Xj95F/mMmH9AgMGqhcxlVxfn8n/iezHLrNnEa
Kxyg7AWgfMDouFNsehAU+h0Z09Zu7gWHAoM448BX4yKVa5ea1kVDN3VWmEJyBdyqz4ai3g+u+fv6
uBbNIHuJQhwycpd57WpM8S6hVqgbYExWNP0r10m3K3Wz2l+3tOi8EBeA3gDX0gVQKDPiRHTUckI0
Qfo26jSgVc8DgJRfU66/Xbe1dPehzD8jX4EcBt7xfLUSx6wQ6UU0dIfC8eBK7wDBvQe6BEImTrlj
I1RSsr/WVkWsBdYhZHtQJkBSWLpwqyzhTIDOKNT/geRNsbk+pEW/fPJ1KWhoCIStlRJft8rM19M0
MPlKJnNhi2O+UMZGFw1GIG9xcENkoDMeaKjl2W1E4h0I44PCBYVojKBVSayVDbE0IrxFkX4hJmIG
+RmDhtp0Qk81FmnKf/Eq3jRp8okhzWqZ6L/CjXbRJjgiXcUF6WlYJNTvDPVgl8yztZ+12W1ixV25
PBfOkgMgHMBuiLmQEZZ2HVRGaZqXMxmqPgVQEXtgZrrNpnFlJ6yZkcKgNO1FNorJDSc7TPQaxdob
xGUrocbSZjgdi5TygOR17/ARRrQ8LPubvPLIcKj6QG9XADlLR/XEkCMBkyueTlAYgCHCd7392JdP
aCJGmyHxpup3a66k0VfmTi7jTRaId5N2hDXhvhAl3XXWeEdxmV0/rItmUIaexYlnPhcp79ZCz0m3
s8ENR2CA0mNOAkVZeaQsuVM0RwA5jtwvMjqSt4l7XhnOpGMk6PURKoWOxK1Tpr6uPV0fy0JCBfX6
D8zyTN0m1w2pWaNn1I7cUNEPXf87QZxFktuGblyonOXqhok1HPOaxXnoJ3etTqEWRgEKC9223lZl
5dvV42D+w13U8cp9rFdBj4aT66Nc3IYno5TOrtUjlm1G2KyN3GdFjvDq1XKZxyGW14KDpx+MlefM
4gIiGTa3AIFHzpL2yAhGfDWCyEOICGzSWBBBgayn39Lkx/WRLdqZu5jmJCyaCSV3AQRsxFCgckO9
tWY6PHTq/BO57ZZ2Kyd5yZ/Ptwd2I+jRdRmRqCmCKUSlblg1qgfJHZDCr0zZZf5yRgniarKBF0Q1
VN6LtmlkBLR7VgiyrrCojV3uWM91P2CZTCgjjRvXcTMAKOLaq5N456bk5/XJXDjYKHggDnQAY0H8
LZ06hfURYO854Iqj3Xq5iKArNqV94NQQ7LpuasEDwxSaxIArQ1eFDFFnrFWhcMas0FLepmEf9XhJ
MGuf6O/oKFyZ2MVhwVGhKUEHBbYpBRe9WrO2HHUrbNPOsynZuqO97evPxLRoq0HTFeoReJpJWx5d
PW1VOrEVQjYxbFVdeIRExlZASWd3ffKAZbl8x2KjEPDugTrcudgqxOVMTUwg7BuHApWn2NzXB6p5
SdT4jQNoqfCr4UlBrSCum01tAVlnueDFVprqF5rNy7eEoX3T07tG2xcuQJa1mTep32jGYw1djzsE
lcNWqcsksNK896Osr6DwYaIN0jRKM8Cv+jUyrb9vtUZ8iSCHErAxLm76mlc3aI220DXcWDvLiNxD
XINTxDBF6wPXRGPolhT1Q6S45KjTmPtFlI++ldiQ2Qa1xo7qXRxCUIdtxr6LNjqUjRELlmIT5ZPw
I4BYnvKGWjd10VheoxoiqEqgkCyzLPzJ4NN9lPbvRY5f4CR2dNvP6pQtrsQnSFnRfW9At4UgPeZX
WjJ5fdS4u6pWyX0nWueQ1OI56tVhN5S40yIzde4c4Dh3cURLHzJew12UsQ7Bb9Trb2m0n4xtChhB
qdV3JrIzCdwCLzYJUQQep459W6EgtgdiQ+xStRjRajGp4Wgb42OOxrhnVFz0uxaMIhsFvV9eqkNy
zhigWJBDW/NXQTEg1pDpNi6gsQFp1ey27jFVNnPdZ9Z0SP6MWbvLoDqydWro/9ii0m7wJ6iNMR75
vEp4kJEO6mctiTw85iKPOC0USCNieWkH2SBhoP8YpEIsQPMU93F4oK9apl2gTbX4zQdbgWwXBI1U
kji3OaDx96I2jdu6yfoHa4D0QVQT+1A3TeZTI1X2DGCyVxarHTYWGQYvEY72UkAnbcUVL9xmqDia
QAgDk+LiSJ/foL3pVEbeWmZI42lTZC8K/yWGKqCMeVX/XkHwbeW4ScC7uepyZlC6skkMhSvFQWeA
aMIm/zaQ94I+gALSJI9Id3qtCuH2caXSs+S0TgcpXdmI2iDqCUXNMJ/2kGVpTM+0ttfHtXClzVqR
c0cVCtuAq5zPYwJ4soX8go3YByKJeCDTasVRLQ3CxFMB30E+6gJBxCKdTBBxsUNBfmqUbOwJ8q/W
Wu+czELxsT6A/KHmN/N+AOd5PpBB57hUQf0assJUtlRU5b6pQMug8PJ94Ny4cykhb5lhpf4Ikkzf
7NUmyJq02E7MrgKMoH1Mc0gsXZ/fxdEDp4tKDCRJgDA4/1lmzyAmSTG/pgM6PeHX8NLdGuPAkhHQ
m6kOZhf5aTmjqfAM8jetMMOo/i1m3cXArX9dH8fSPjk1IYUFVZV1BDrYZmgeWgi0JsMa/mveaFJW
FrgbjGAWmNcvuiv7lPIMhNomCrflNwvKPT4t0dZNE/XVbFpE5GkUXB/S0qxB1gOvZwDCQMsy368n
QXjFzKyAlCB2TG3/BgYuOoBECMJlrFzDghlL3sqEmg4CK6QfLhqxI+SSWTxNThg5aQ1JtanfclG/
qTzTfVBe/mzHMg+ontsbp+6J79Qp23WQavNEokOqzjWiB4ubuYcqR+pPSZlsG21SDgkCRdS89GEj
RuZuIaqk3igOOr3tukGSPoWG3DC4g18muXZTViBmR7bSuous1tq5yRBBA1EtXpMprjaWovCtEe3V
HAy04Lbt3ICDp2mv4sWFtCgbHrt0yG+QTB2QlByMDW4VdStUG8iK2FFwDQjcxe3QeE5D1pzvyvTJ
XVnWoJMxo+gEQj9hAOG8t16AdM0CWzgAQ7tmFL5WgIPtE9sDTd8guJ9R9jKssySl1fWRAaNiPIxV
+QqI3XOUuvaKnaWTZZ7YkV4vbqTWQzGZTtgjKzAmiWdM7srltfBAQs/sn6FIO113MycpkAQN2+pV
z+4gZLshxpcY4di/mjKZlRftxVFhNBhKVL9yS0N0AsrplbbcjxBadhQng5EfKLWhoS0SniSsSqQI
k+I5sxSIDrQPvE1+ssL6gtHWXlobe0aSe5BceCZ0qkeIoX1msLgXgB8Ah4L8UlPaYsR7s3VCoWS+
UgH6lrYBFCE2183IqOb/XGwzoTcoQdC0IlOsmCBeZZnSQ/sPeqi0qG9BMu8JzdgbI/nWmMZPKIPv
y6m/safk5rrtJQ85kwLOsGNk/eRid6cWRFRZNq+nr6g+SPqNp89YAN4X1ABARcjhh96UU166lRNa
xYMKvbg8fSraFdqfpQOG2MNCcgA9OejAO/fzKgVNBYJbO2yoF4ttF63Mksw49rFCpwakE2wqbtU4
3YhcZf2QKt9yh3vtsDftg8rQJbHhyPT17r7nwuPmPa/uB9Z5vP95fSYX98npr5AOeZ0rChTVMEw1
f1AHSCHHjq8YG1Z+t7jjF/Evje5E/Pu61ZW5lYXc2KADbIVbILTzEv0K1mubrelhLA8MgO2ZzxGA
avlNXecxGEbi1A7TgYV1Pd450ICHJloVmg39CiaA73h2f4Fo7o9Ud1Zm9WOLy95mrhzZc6HKQjft
+eaJbZW2plYiPuakVn3IBaJteqLtjcMNvrdqKMhYTlS8ZMlIwzbGm5VPXbGx1A6JSggxe0ql/GhB
f+gDjiKCJKLxXhO6vXWmAeLtIwTDK1f/Po6NhTqy6264Cx2VuFbVVwFp3k0E2P+WAVHp0YI0OaQK
Ab6+voZk8ZijMAIoI4A8FzIuhdMCsxTbdqgzOEr+22qV4iB6S9/beqVtS1C1+by0Yqjalojdu8bZ
Vrle4q09utjPSv5oIzG2y2MuHvuaWihgTrbyTWWJuUkh8dH6I81dD4UKuo8QHsGRWCpkdmmz05Bt
8AGsVHzgGepbPNKNg5tD4hc8p+6RUg79a6Umh9pEITWzxvrVbVbcw8eFIS/xTF0HvNTcGSZ7uajr
TMazFslY0NXrtfvejNrXyQSQuSuf7I6hPkkfVacLkfp41JQGoDTy4GoTJJuzCWkQ8jVX2U1HUuHV
Rn2Ind+xSABUJ2snYfGwIZ2KOBxxPio+53txSCFT3yAACZOp3BCTbyyyv74VlnfCHwvzLzgJiZMO
CtCmhtcK+G4CcFwGyixPX/wdQ+t//CWoLTHpYG64AHmYcawA663boVPVz3pe3k62vmJi2Wn8sSE/
iape0xsI99lhyZXbjFvImVrTL6fqoKzARGho6WYYlNtCFJspTr5dn8aleAsqbP8boCs9lozOcPMU
hzwcjAiCG19t67FEZg2EJf/OjpTUBK81HbUMg6wdX8Se3T1AsUd3VlIESy+zuX6OtzveMCCoON8U
dhsrmVIXTshfwQ8RWKht1x4xiyBdCQYW9/eJoXlaT3Yf0OGW4EDGh5PhE6zTmjrP2velQCBurFYk
Hb7/lYNSFfiXlTB76fuz2AVe+XhRmjKggToTuptYCcKChnIvd7uHTmGfiDrRtgRcDBBYqMFKW0sz
hphEDCe0aAM1f4q+dmukV4ujmEWSIKCKgrJMczSTFcSWIDYy5bpnlSL3FKEnn5kq1Dcg/ATvfkHS
DEhMO3ciwogo9hPpQKcXXD8bi8OYmw6R8kctQ+Yi0lmc6Dlz8UyIyi1pv9PIWRnD0rmY48kZNjM/
7aWAS63VpKjL2A0jde/q74ijNym7NZppz6IVd7bkl09MfXi7k5MRj0RhqHKh2hqhFxR8nNzryJdP
TBiqdEB5zx76Isxy1dIpSuaCEgEiFhGFxOQalc7imoDRGJk4AJMv8CNua42RZoJpI1aRmGu8KVkr
rK5Z0M9dCEsnO2siPJaq3G8hrr3iChfXAZlMVP9Qbrygpogn3rOcIo+DRMsgfjXJXq9315dhcVeB
RQttH+gNusCo0ArS4lZOYaJWwTuYgXyw6DM10PJS9ZuG6ztbZ9on7n2MCb53Ln9fkGcLswOVS4Y3
NRvBAmTeleJuWNMvuZg7VN0gqTfHlzN9gYzWhRsw1dZwqyPqKYFwO7/ouh0AMStLdDF/sxn0MAMR
M49IbskRaUUdgyX1kVoQeeGhEz8a7m0z2r7xl0qmyDMDZA8rqPSBtQ9ZovPNZlsUDIFmVh9HB9UV
nbCbIoYQNFo/4ix6vL4t5jfkWZA624JLRmIUjbgXeC/8fVwlgC0eoTerAR6QoxjmgY5KoGchWclZ
XxyiD1tINwDrA4IfOWeNun0tjIjVR6d7UWvwuJFPrNFME/c/A/MPOHFnU5zqCkiw6uPQKoEDbpT0
m6FuTZAhkb89TdJQpNgFTLilSlVMm/mF9UGF6mG5pRxaDc/Xl2dp16HhYu5DAJ4RvTLnI6qpGPNo
jOtjRJrM63p1n2Q0sKICEn36nTvFK/bmUOhiO+A9jE4g0J9eeFLFijO1FBhXTH4U6g9NLYFEfdei
H9eHdbHrEO6BCmBOcYG2/aKvDxRSmN+6yiBv6xxsyLKq076l2Zee8l2cKXfp6hsH4b88NNiEsLaO
WhEe/cCNnE8lGuogN4nxHSGjqm010O37ZUuMfWnZ+a4WkbVRQMvrx5xCE3O0M3BYNOWbk1Nx16d9
Gih8cm9j4iZbI4+mQOCxibe30frEzdKtPo2g8VUF/tUVvjUU0AJqszfUuzuAhvEOTSNHeGmikEAl
qf5FABi0aacWxMYQNd8Io69vAYVQfRscyx4fRm03Wkh9T11cHMZJUTbQ9+MPXYrW9UzNlE1amuHY
dbofY6NXbNtqmd86nddkX8rhoPXsqSntm7cYzxDrxrGhJ/Gk3ChZ/2gp+k0i9GxDYnvaVBMCMXii
yrPB6epz3cz9RK0yYMjKLGAxfi/QymkA+DD1nazk3tBCOzStRiBV9Ezz47xEC7DikF06ooQsph7o
MKUL8Lq2ApB+VttWTBwjinQ/6RrTr9HLtNPT6JkVkwWyMgidll3rBBWnva9q0S8bKuJBDRW2DVCb
hVflRPFzHlOvS2izBec7iuED/sHkShq08Rxyk4Z4wDY33mDl2b5U3V/oVkATVD4aWzJUFPB7I77p
U6vaNhE1AsKI7tVgtPKSTBt3VZ81W9VAVQ8cGLo/mHHiq0LEO6VOoLdZTNm+4hPF4wQjRPVD95mV
gSgSP/krUK0xGAihgNiA5X+bEILOJc0GbgBx+xvIxlOEJKhu7Fq3azbqYIk7t40rHC2LeGk6Gft0
bNoNOpDQJVBmaXJsa/JjHEz1m9OZ3U0N1KIfQ/LbG1DjWrmfjQv/gg61mV4bvdY4GXiNnR+KiWYV
FZoojnHbHMwZtRG7j5X41prWATljLy2Vx8oid3b6UNm7bMp3He2exnqnqlOg99kmTyBxgMySrdD7
vHGDFDT1NfBYRdxjCyXeBAQAJJjRb6B6zvCN5z97DXQtxuBPcC/FbSWiDUfhT9HuI/YQ9SYcXAbi
umcUfja0DvXY9Ix2l6B7ojLMJ21oV6ZgcQZQpJ7Vz9CqLWOvijFLmikdimNb/SRd5+d4udPpPYof
lHKt3nQRqsyzfWJLup/sLqqxNfoCSkvoGVa9EUcCipPXfev8kTMXLhmRrqZYMWgK8ikMyHyzsy/t
GtXF2vfnK+TkklU7LYGbw/dzYMV48t1du/PWDMwrdmLAivOW6j1WJIZTmryKB9cn6OKOkyZI2vOg
HDMiW2AAQ4Mg4QmQI6t5bs2VfbW21lIQhxKw1UAXtjhym/rVjOxRVdB2vV8fy4oV+QFXFWDoyBWM
hdV+Wz+J+pWuiTmuTNcHsvBkOUhn9pY9wUT9W3M8Vh4Uvp4LWjMiva8cm5VmNmLNM+olZKslYdZA
FvBfzpYUAkw58I1uz4ujwn0zRaofCHD/+oJcFm3Od5csUFq7aIGMUf4+pkCQbZihFD4iGwhsVQ4B
52ELcScbHCO5rQItOyhmoHa4fMsiyzZF236vWf5Di52v7mCvOYZ5x104BuBxoFINQkoEyefnqtBG
FzCVFguZ2y9RcyTQ5RqMb4gvxEyykcY+6VcSiYvbcxYMRsJHB2ukFL6OfAKzW8SKo4Vylb5NxC77
tTLf85pJo0I3PrpjICmNJhK50ifq2un0wWJHe6xvnO5Oj7Z9dACUwS+SvVoW27b5ajYvfXrI+Z01
8JXOhSVnBUHuGf45kz5eVPOdvoAejZ4fqX3kJAH/+Fo/wZoFadk4G2I6iSk/ZgRkyz4AcNdncO37
kqNCnEeRncf31VQE06SAam133cLS4T6ZI7l8PzhlB5SPmh8j/TZ2EXjFQGqqJChJt+Lal/bbqSVp
v7XQThsI8nPHGKDiUrc2hgnuYL1fmbLlASHlYOM+R4leuqFS1alNAab+I2+3tXiMTGjboVdyxZUs
WgHtOXqQP7SGpMGoPO+YEtnZMUXlSy+/gz6gVH/y8en66iyu/0d9CgfUBF763C2MdtF3LHfxFvuq
pL5Yaw9Y/PxMFQQkMTKAH12zJ9eHQaO2newKcxV9SYsHeM+VxVha89MQVloM1ei1xqUdwgV31zub
EbF0s7KBF01AUAgsJmgFuEjIQH1Op0WsFcc+9kGqDrmLUv3Ezp3JxhGAIkV6kYcBGYtT2S7ChYg+
TPljBQiGvpLiX1qJUxOSI0EX7Yhs7xzrJwGDYPsaSeXiLGGnAtsP1MVFeicvp5gbblQcK4uhH6Py
DLSdgMx5Zb0Xh4EqHpwtOtMuEvBdbXBmK2lxTJx4Uw03xCpWDt4HxYR0p6C35I8J6Ui0PMLtyZPi
iNwbGqEba7xxWsPwGr3jQNnhYUjG4qUvcF66qerBAzTke3MEZ4meohPbGSGDPmnxPzYrXG8ykR6q
21j1qyzKgLLTKn+sh2SDfIS1sXsOmRmHjoHdG+AzcPBWohoQ639/yE9HNN+iJ6dwMGIjgfXiWDZY
mzbk7Uq/4OLio9CNHgXImlwULVCozwZmO/kxNb93I0OB50bV19iElpf+/43I0a6o1alFljxH2ohp
nqVo6I431sgSlo24FvT0wHeCNojzqSoajngCCm/IiAovVLu1y2P+/5eb68/3pWOYUtqlVYuYCK/j
qNgNzpYGPb/Vvn1mxf+Yka51ldC+5BGGwfN3mh5M9/f171/ytMyBLrAr/50nuf2wYGVfQ602PzJa
3iU5DZgxbSaSPuW1FphDtrEpZO0p+iH0adjEFvJgRrm5/iOWd92f3yBdkTbhHcg/KWKjOrTi1Bvp
Sw8463UjixvCJVBogMwiRHPnH3FydmikTM1oFcXRpMjuIRFBzL9u75nn8sTEHAqcmECLtQ7X3BRH
FcmtAQIw1L6Fj1sZyOJsnViRdradxgIiihgIlNj9psh9yCfuomH776ZL2t869CGoHleYrilA4AIl
vOvfXwqLTudK2tguKI5aapXFsRjemJshdXrrls8sXjk/K2ZkbHABnoaqtzEMhlTQUIJaKUo9Q38f
yCdeECfjMaU9jHqGUvcGxtMQitVIDvWk/Lg+ZSsLLzepJRStGG2FsTTaLGyHcLUBDCd1/raa/LGL
/zwwpUsmh5lc7/HA1Mr7CTCmTH/WksfrQ1lelj825sN6clIs1neETnVxFPrcaXSvQGguysaNAfrn
65aWj/0fS9KxTzorQp8HRkOnb6mqvHUTcrr/zsQ82JPBRLbbjAqHiXKc+rl/7qkr15QUl9f+zxNc
l2yoE7q2NRz6Nt8MP+Nm2w2fOJDodQD1DUhpHeD9zi3QYohKpmMDM21H0QcIGmm32ETZGk/S0tKj
pRP6E6BlQulIcl+V20PtonAwElRNOM/9zhJeCTKUZAUKvrTyp4YkD1YbSsfNyoIHUw+NDcEvSEH9
/cKfWpCmbBiRiOhLWHDNWzSjZNYnTuLJ9+UXN23UXi90fL+zf6j6G6nvGrG/PoR5EuQw5tSE5Lb0
BCxDKEbheJRbkSOrVbuHFv6eK9/wyvRr/vO6vcVF0fCsAEYfyjCOdFYm1C6EjdrcUYg3cyY1Klbw
mktxGcJXdNLM0oMXOnmu6JQkd/MS8qaNV5rANH+PBQu4+14AnXp9MIuTh5ou+OTB2wf90fMj0/ea
w1ITD0rdvgO630w85Xu0I991/TNb+cTQPKsnHoYkaQVtKBiCiDDio1XV+sWBQCJkfoADcyl3x6E6
U09uaeVHjZQBJSBEr45F8T7ava/0e+UvtT/RiQZ0D0h9QLMCrAcgH+fDQc2aaWXhIr+Del/0Ymcr
m2xxD5x8X9pkLLdIAi4SxJOoXCk+QqTB3bI6hKTN9Q2w5JVPByL5MoP3BMS2GEiZjF4ZPalKAeaO
FbzFmpF58U4WX08cV0H3YH5sxuZFiPYhG01f09YeTLOzuvAENtgF0O+JLOxFfKyXqlaTHLn7Md0y
lFnLn+qUg9G79GJwerVmsRkZXfGgi5fBiVFppWIrbRpdzJll9xiPeTBGAbTNApO0wSdWCi0koCKB
fOYFIUnjuoKKeYd32oPZoii4S/jKIV0cC1jjIUkFNWAgIs7XaTAghlapWn4sUBig7qGpOy/JQ8d5
vj6U+bBfLNSJHWk/oAEAkVI55sdK8d/YGo/f8tfBuADFHRxNuaNBjUbKnYjj67V2GIzxWXHGlVB5
cUMDm/o/E9Ki94k9aXXc4f3/VY+/mN0htVaWYs2CtBSqGGsTzHJ41EL3zjwKfnDWOsyXTWAUAF0B
5CnjUCDblBilIvKjcN/V9LUXu6R7+8xC/zExL9XJwc/6vKSK1ufHXrtl+fdKrCR7lk48+p0M1XIB
ArjgK5kl+9Ccgrh17NQbq+090B0FrvY6mr/L/iWuH0z+mVffqUnpxkQKWemgfo6sX1QftLoJwI0X
DI522wxrekFLCzQ3PaMnSEc2U4bfRSV0wmx7QnCG/vux/k5AYYGa598vEWDvKjBJwN1dEGM7pB2t
tsQUzhwbamXdRA6ocz5hA1UxwOEgzHqhNGpFnLOM1tkRKtDTbhVtt3TgIVKObgt17gGV/X6XA77d
oVp/NN1nk4f6ymFf+vyccUF7INqkEJCdb2KRO0LwAueknYkzPbZWN1j7vuRMlKHK0iyCNzSzLQiT
ARf6u9kHSTgkR1BonWXUIBckPbwQRWptbPXdPdocPNt5L8WawKB8b8gWpDNB0qF3tGro7lm/V6sH
y31pDmyVCV+eJ1jBYwuhHRYBwHoZ8D4o7uiSPunu614L9SrajjR61kixy9j3PPrixOkxm5l4cRYV
5dUk3wD3gigAeruuz+dFwnH+ITPXAn4MykgX/SJZ0pbaYDv8ntbuY66637sC7RAsoYbHWbqDqPfN
YBj7PI12dq2+k5jFnjlZfCUDITu/j5+BUjbBi8MGW6E06xAwrAHhwc/QIrF1bXcnWiMOurF/GaoY
0CWGsr9j5rFHJmeVWmB+VZ1e4TgM4HxA2yxaB8EULLdpRIQCTU14cz8Bq7yjgue3dlvcN5MD9paE
7hRLeUVjgnNfje0tNNP/aYj4ZUTNT23gL+BcKjyQlX5RnST3QAugPlCta7YN6rMbOvZPWaWBtEXr
CyD1pqBJlJsYTfsxuPtLe7oFj+IDrjPfbmmQcUDs6VDsuNXNf4DW6OjeoY+v9JLK/uUQwMegNxXw
BDhzJ0q2EyQaEgAtBUPpqa2jrZqqN66Oq0LlX3Ldjn3Fzt4jjbPg+ra53L4IRhBZAUKL1ikwkZy7
EZfTiTiQrbxvX/PolkQrCAfpDKIRZOYHh8InUOZz85y0G4p0rCPRuUZoEjEGHanJAwh1xx3U84pD
PPD6L93WfwxCUAFyQxCjuggfJheIydq0jVDPAgs6BAZTNn81Yx8WZqXMWZLYQNFIcrwMr70ommoj
rGLyCMLdpwkYlusmZDqy/9jAtQQLRFPRF3K+KgJ0grTuTBKC+WfyMgjK/Cjzwtz1aQGyIMhL35ms
T/ZxXOvfmMHiwKSQSokcc40Y7aO58eRE4ZcAPQKcPRg78BQHQfT5L6HMgdiG27THRCheqeMiGAAc
pekmHt7ALjRFO41+FdY/tAJxcLTvndTX0i+OeAEy19Ps3M9a2++N30M23OR941X1vbHGTTBHnee/
Ee0AAJjgxIMfXpczbDHIRLIqMkEqXUJfL/Yalwcl4MMuKDP+fvFhCk4G8+HOy3Q+HS3o4dqJGFpI
rJvMetTWql8fKCNpLKDBcSCADh64y2cCqHBKFAcaLWxUlt+qKTTpTS7EI7U6bSOsjIweb/MERORD
qe5btAvfpqOjbdsy0iEqPpoHc3K7bZNq5GHIx2ZTmnH0HFl2sq3qDgTt13fqPN7zn3u2PeR+z9Yp
RWfxrj1WLTqGA6Rn0Yr970xImbQ4I3llAUR05NlbmRxJnYL16eXf2ZDOmw2d3bghGIZZPOrlPznp
PFFsr9uQckH/PUkgpEUmCLINpvS8VMYxFbxO26Oax/3DmKtKmHLAg7nbZ346lUCSC+VlzLNmf93w
5RqBgQGaESbo6jRoe8hHuB1b0oCFKTRM3DO347Qd17p/pFvkw1+heUBF+8+sEC4/0VG0d42stUgI
DfMyDoAUvz4EObiZDXxENwAdzHBs2Q3VWT82lWaLMKa03aIUVL+QrEM84ZYVeyIs1p/RvfBjHD/S
rYO2iyvRPaQWFCq80qXiZuX3SIHG/HuAdwFYGQ1pGLQcfasgK+/bWunD1GAc2HwV8ERHIIvYlIMD
jXZIbOpuEwdO7PIvyNoqXt+1phdRqD6vzM3C8p79FClQN1mU67XKhnBqbhR3G5ED+csO3o/RQm6E
oBUF7SEXAJ90RBtB38DEWDyQEdlY8X59PhfCBDjv/zcgyy2xCQT1kFMeQvOLi0YGY29PvtuvnIOF
TXpmRHIkOhoi+gHci6HiemnjpWsgkqWFOB2E5EQssCa2OiuG0FH/yZOjFe+K8un6PM1H9dzdQiIP
04RX8XwS5FbnmHaTq/VqFzbZ2Bseq/K8h2aAWvys0R/xw2oRdjaVO/mDXeoTuOzHv0QxYSughRC0
XXj3z+UsufuWTH0cJx3h4dDr3HejCF3X9gOdQDR5faiXs3lmSAazjNM0mYzqPFS0AJ13Y7Yd1hCE
l3EDIkAA1vB+w4AuKmamkUMZwGFdCFFiATWKHJJH28545GvSMgvx3LklyfdX/dSVE0m60NVftWlj
xnft8KIXWzPeOaB7qC0kuW4hp7Myh5c7/tys5PkV8P3lrQmzKTGnmzy2zNsx53zFGS5YASE+CHrB
h65fdq6rWpwYQqt5SIEYn1JITATXt8Kld7DODEgeLoeKxtRkLQ9HptQ+qxThJ6LIX5Sc9VtGidhe
t3d5yhDeayDjxUGD9qH8pHccRWOMdRjQC33Rct8ZdyC+KXw86pt+JVe4MHkgHQYA1IUwqnpBdJNA
eFOZbKaHJdK19S52/37uUEVDByseE7hC5XRqhcbp0jYqPezbQ5riQe5r7XZ8vz5hC2cVyu5gA0XT
IjR65JSgUmrRVOCeDEd1X6d3uR7Y6d9lnme/c2pCviHaSC3RdEW1kGV4Z/iJ7mnGymlZGYUt3Q9j
m3eoncEEGe7YPyK9adYe2wsWPkrzCJHQ2nkBAXWyQilJDRU3hpbsoMjQuayjb9UCAP+vFwRqzHi1
zQph87Po/JkC8kvFTdmIJuWmupl0/U5EeeKlgGmtzNmCC4UhyO5BW3CBeJmb0BynDURpWTJsnOml
VamvJ8W9geakwd1cH9XsJc9vPzy6kAwGNT2aCS4C2ZjGbV8StzxaaQp+l98mfRy6rxa/SUoKchRn
ZWyXq3VmToY4CQ6+n7yGOT79Y2U3ZSm8VXb4NRvSnpvGYshMXUFVXbn/P9KutLd13Ir+IgHaKX2V
5C1OYuXl7V+EvGVI7TtF6df3KNPp2LRgwa8tpiiQVtckLy/vek5W7M3hlRlfbu/atYW5XIZ+qQsC
45oF0ODLULEOgzMCI+3H/ydAyvEktlZ3ugaWoZEnu7bbYvB75YW5fgBgwebkgwkbgzKHpM6TzoFp
nyP4I2LAWKDF9pQag0crso3AQrdy7gsbdiFNeqzNLhItb+o4jO1hQ5zkmVmYPb29ZwuqPLNEAdkM
EZl91RTEe4zp0piwELXZ0gl5+4KBK4w81u3LSO82BgST6sglYX4TnA4yEF+Puam+ZiQOAX3hEfuh
qahH1kzb0qbNJmDmxgGwqwwzYXLWt2bD47AzDq9WtL+9XQvXBKnJf78u6bCqtWmbaPg6IG1eRhRO
tVIBzWi0NuyzdCxIIasEWD+mBqyRy7tSxGNbikGLQ43tRALM8UNSJF6qHJsxaMhKF9KaMOnus5ob
PWlVRArmN8DJq5gtAp2vn1JAPlq/o5atZBWXN/HfxUmbWJXuUCo2FpdyO4iASZ4gPRevYeYsKwK8
agO+NTLx0l3NW5JQW4e2ZXaTfqqSukGrbq+t6PSSFExlo9NNBQrQFUJCDL4+BvzsOLTEay98l3y9
rXBr35dczgm8X3kRx2BY0dUXPf/WZfrn2xKWTuN8BdI+qaUBajswUYc0P6jJvlJ3cbniW86fkN7L
mXkB4C8I1QAxIxlmwuNa5BwH3nQfu+I4g7TnJsClYsyetO2KRVvesX+FzX8/K6o7loIIPoY2q/YQ
jKXjjz9vb9jSdTlfzbyhZwLQCEwGGutxGCmv4F2kifBAWOuhzS5ABAJug/vmgeBxonKB+j2geUDO
jADxUp4OjLcC8ScLo4fxW7ZmaZa26/zrkoLpagcKjoyz0FBM77mq15zZpbM//76kXt2Uj4Pm4tfH
PXylfoOsZqq+cXq6P+txuU3zsZ0dy2QWuVPNgk6D8hMc4Nnb7WNf2ygphk2UgsSJie8XYMoAdMjm
9ueXriFSeECgBMbeNXMIKQtrNJyMhVNLAoONQQFiRYxp7G6LWToOBLHIM4AKCK6MpEzDSKlDOWNh
4uxc90FTPxjasFN0wxfJr9uiFu4J6gYoSkNzAacgp3tLlL1ZZIw0LCrQIUbDduz0B1W0n7Sq2BND
PeRpc+foxHxXUG8FoQcSonPFSlqeFhVqXbsuDRUaKD+cdmfR/e1VLaiBNdcS5+G/2cmQHss0d9B/
iixAqFn0U24cNHVaiTAXJMxzpHi4ADyLjhDpRgKYZFDQekRDMGLSB1esGONrRYNfNIMGzbqGHi3p
QuoidhTbVPqw0mxPoaL2HQecJ3q+Yrbmn3lp9CEHbfnon0I78BVsr5nn9qCThodl6hjPuSh4gDx2
jSJ0Ccx2nQ8r8t4TcdcCoQCY9EU3iiO5FdakcrURlIcxcbzIQFejtnG6nzF57KpTQ8VG6TCWrW3v
1QcEgIAxRI8VupJRir00O1mPB9S0Bh4WZNo3ZQGu0nxzW8RC1m6WYVtz5AEWQbk27ugjicdY8DAr
uAfqVnRY+Fq1L1HFz4rOB1A/SH8ccK8SMG8rK97ae81E3teZIgSY6mjqvuJhcx0Ts5zItQIOzH4S
MQvSxgk0uwBMQPJgs7703Kb0asPYjIUqPIrBPA9gFxugsHmkqn5XsYn/uRrUNV+xMEuqjEZMpKLn
UiVi8cu9V9oRw6xW3YVUnbGHrMQ6MuY4Xhs17souLGnzXHpGhgxxP9zJS1GJYwAhmJA2TDAPz8Ca
Nm0zLeDj19tHfX33McsIEwYCd1TcQT1wKYY5IMFQEr0NQQB0KDPtg6ZkK97+0qbZ+ns5HZxpupxN
YIQ3KrrBOoThGw3gFbxNvWxt4G9pHedCpHU4jDTIYWVd6GaPXH/qV07jOjE6lxFxDgAQxYW/OniA
26A4rfeY/XS8nv0WGQOY5Ftpkl2tvmhZ2DhrgfLiis5ESu5FPhF3RPNvHxqVBrgo7WNu9H9gSs5X
JXkYmO6PyjjDqtTpSbMeimZl11aWYEtBZRX1ZmQn+D4tfufGz0r/k9+PrCtuI7oNr7iEOlzS1lRT
HnJn8JMsDQq+YgkXV4DzRnoX/jCIdi+vR5apVm2PpAdoy4sLgpiVRvxrjwW0X/AhgE2KN16VnSOt
bYjJaqNHXi/e5ybYnZseETh/zLPoEzOSt1QzgtsXfvHVgqsCBhoYdsOQDUtMgezY5i5kpjtXfM3Y
s6aDiJua3hDTTdx9S+tmb64hJSxt5EzJBIRfMv9b2kggBTENnV09mipP7E2ML7dXtfb5+e9nvjgD
iHjSuxPuZxYk3VvarvScLtkw+EYzzAPyvXAwLr/fYfLMMSZcRr35HPcFeBWEV62xby0ezbkUyaEA
tHCvjRo2KXLG7C1TTPOQR9T6WNeN8lxOWuHbtgAO0sS+xcCKO4GlJl9pW1vaSPQFo8KKwJlcQaWb
hV1NHXojw9TkXra1lLU+n+Wd/J8AuW8Gs1oloZnZh6UdJHqgO7s/0rWzNcho6AqhsSoEbpXZxRsd
iJ/V7/u17VyAdE5I9sUsBdwEpuh+WD8i408+DzJOvJbI7yBwulQ2QNR2ClijYTb3mo6X31nL8y75
FrP3AoyaGbpEl9wYYqWxhu5dXEb2jY50kzvpztYPxhrTwaIygbDXcAEjg1KJ9L7Yg61ZdQ/rqYK5
7kGt/sB6omH0n88b0vNi6NN/rafq5A/9kO1acPfaqb5Rq/GZWvqJAULjD07eQHuaBYoa5EolkW5W
oEOtgPF093Gbwylbe/Wvw2XkxWf4BBWN8yj8zdfnzJCpUxk1mQ3Q4pSo/sBfkubQ1/VB7SNvKv6k
hw1MGyiVIV7CciQ9aKtpUHjU1qFbmpuh4miVFo9FtZaRWbJryML/2wAm6YFeuYpld3EbkjzxwZNk
VhgEBl14pnuJGZJum1bhxO73bAHGAvfGmb3OqywWy+qm0CwINQs0RoII89dtVVi4ROgaJmgNwmiz
herc5UkNHE+O3utVmGStH9ffWzBcCmXL4/9TjqQRHdWcgWpGFZrmVrWBqfkIcAYtXglm569IMRdQ
QkH5NPebXeP7VoYV5XU9VGEDusDqkE3A2Nzc3rAFZwcZBjSdgHvpHfftcsMUTD01bQTVBq2KZ2kf
nPKU8kA0n1l5iNd6DhdMz4Uwyd+IEjVTJwfCzNEDVVaqrxiCpXt6vhjp9M0xTmnc4/ta9eLm38Z6
T9tfrc5QwFgJn5b0DN0LmGxAIDi7iZfb5jboYYhctQ0N9kZiDJ2jXpaADbf5eft4lnYMb76DQAfd
3Vf6rFdCOINo2zDqFA+DE3eOtsPLRbUCiHyuinwZemelHUtz1ZxKNxlD/lXXjnF5uPvnIwuHhu05
FgD7pfQmp1C8obDLMcwemf2dmF/+4PPvKXG0WYPsUzKVcQe/tkpcEdL4Sx0DUGb6EwF4Ji2gJKEh
S3bLBTIxjjbpIuQm2N2UjWhXzfBsZqU7DrAaIPo6QFlHjl8yw46WAY6qtZEg611tG5vNax21XwyM
5QlOMCXCQfPQPEYjkP54fFQL59eIxJYjEBmU0z5JXV/P7Ic4b35Vph2WCb/fiT//fTK3F6MqCM+Z
wUMTuTS1qry1lqAFFUfeDIgUqD7P9RrJizc7YgtRjTwkCvFS9Kx26copzmogbzFSqLN7i7amq3RK
Upf50DcKD+1p0vzRql+dPt/XmNslDIO1YyuC23q5YB3ecZoxTYYMNPzFS+vQ6nqRuUDdDaOmByJZ
P/0YnJr4cZMeRDv8dVvY0v6951ZnXluU1SUFoiDGTnsbmVziNeOjW65YuoU3COX6mdcAI/yOIb+o
RmRVidk6fThVmwIkoEpgrmU8lrZL19V5fBCtnLhol9tlGFXn5FrGw3HUToTlLz1AtMWUfQD79spz
tyjKBk+Li2w0kkbSC5S0itPaU87DxEy+1lMcdEn20RHOvutX0boXtA6TE4BSdAlq97JppUhLRqM6
cUBVZ94G1Lne7XNfcuCMecgWQtDMhqzB5ba5JgxA1A9DmJam5qn98CTU+kkz6L5m+nTARMaWa+mz
lRi7Mcv/wCyAJY7guUXHCN6OS+FpmQ3gP+pFaOovtvVhbYB4SetQB0DJEB4wZvcky56RRG3yYRzC
FgQxJXtTzVOUrJRAli4OJh8w7wkrjhdWUjvegLsTMTwPaWcHPxSks28f0JKunX9fevyqCbkrV8X3
9SY5TJhSL7r0bUj5Rxe14tuiFpeCbngXlS8MBBFJVFn1GZ2mZAgt5Y2ne53tbn9/8TiQiJ4rRhjc
kB+pONKEilFK3FBAoTdHIwYk4R8o1Jzr/q8I+Z1RWNO4oC9GBcUFchcDzcGKc7h0HOg6VV2MP6N7
U+4KLUdFU0RnjwCG2zr586g/D/1e3d+/UYCdQ40E3SDAC5gP6ixSpKndC9H1Y9jrL3r90sa7Zq35
aOmsYeXBxIHtAsiF9LhozViXsdWOoRJ/UvxevN5ewVKZCeET7PHfo3Zy+lMYrcqnrFbDidT51wEt
qEFmErqjcW14ajcVG+S9x4duAtjmwIsqyIumfmmEq63cn4WFgiQKDVyg70GnmDzFU1TGCIp3fQq1
ETk2oJPmzcprsOB7XUiQjJjo28EBrfQU1s22bXyqvEbaYwoXB7xt6eOwhhq7ME2HTtuzFUlPNVPQ
D4cx3ynktPW78YuaG1tiPTtp5FlsGzEGFpMPtBu3PahNamMTs9anduSp1o5ysSuysFTXOg4WrgWi
mBnLFsVSjExJlpaA7csEhQheRL18zEm57+yvdQRyMZF9vq1ZS+cJLx3thXh7QVUkSYJeqVZuRkjQ
Ndy38o0Z9ytmcMFMYSmYukbmF7gm8uvOXAODl5g5D6ni+LX+lCnPalPer5YANEJMg0Z5MBbLHWWD
0cJZalHfEMlb5pX86927dPF5SSfBbUESksUcfUXUb3fgGFmxgwvHABCQmUBqdrmvej8awYUVl24X
tmBH2Wrj//n5Wd/OLCBJRiOuK3yestFTTxy0JPdv0Pnvl9Qoq+yYVFnUhfHkeOO3KVkrkC1o0Qzx
ga5RAH4QAAldrkA1kaIaBBswMgWsXy8pjp1YSegvigA1GbL5BO+pnFAchVEOY4qgr6niXQG7Og2b
8g8y1qjWwz8E7IGNvnvpoQCJPImtmIqwtnxQvKxNhS/p0fnnJfeJdmYGIBllCDUalIX/J9cMtWMd
UKso6l+R7GWc9IDFS+FgdlWg4Z8Vf2PpCJBoBzIDMHFmvrvLUyasnNAoZomw4D5AEdrcn+4f/p8j
TkQbgEGbMziSCM5ElJJhQnrC0jzg6a4Nvy2cgI3AGbAWsylCn83lErhDzZ7bnQh14fegnGMrWjqb
GiluxtAb6k0gSpjhqGf5Z1cZIaGdCJDOhxF9AjunVxmNb8RPTnlMMFSVipVy3sJLdCFO2i7kiyfR
RtGAi+3/UN/AvVHZ99sOjKABAMfEsaP3TdLZjDdctSaI6LIt2JHYp9umacGfwOdx2zCs5SIukt73
jhcYfC1qHLjQlCMSh2SfMqf9rU8V6K41RwG5FBjijnQq7c2U1uzuiAZpNsQzkG4gJpRj9RQAchGY
YXk4xL9VzRPW/W2ilwKkI8p7sGSD8QzJoJdRPzJxuL1/1wqNz4Nyds7e43GSa4SFpsH7TBHGkAGV
FfOLbq1o9Pz7LjX6UoAUJ/U8t4bIQWLGbLaCb5rkJPTdn6zBhoc+9wde5SSHmIHipHE4OH6eqXKy
gtufX1oB6FkQJ82wapg9v7yTiml1Q85LHuZm/Cg4RtvhrsfIm4m78z7IKcyqDBBtAjMjXZWmQYOq
1bR9mKvlhuTxTsU/YlxLyCwcOZg6gYKDwBKmhkjugju2cWEyrQu7k40JLV1dSy6tCZBec8CQqYWZ
GRAwkGBwIo8ZK0r1HtRJWgU/AQlu+FUgY5QdBk471vQuRCQl24zWS2V9zNq/rOFrPu5V0ARQsMCM
XepXwMbqxyYYo2aT3d92A48F3SoasrVzN4T0GCABVSijUzkn4FN7jlP7trVS2V1QvRkBD92N7/ZN
dlp00rei7zsCWCnDM/pmU5T6BysrVjR84cCQ1noH3MPDhqnXSw1XQbFgVllNTrkF/MscVIjAK7p9
iRZFINWOytqM4Cj315mR07LITZxTDnbYMjf8TF2p3C1JQGIOZgwDTmjmk26PEbuDqmixO89yz2Mh
a5h+a9+XDBlRyshyeeKezNHvsqD9cv8Gnf986QxiFYxrY4fPD5UvcgBMOWtV7sUFEEADa8ChRtfT
/Pcz36Km3VBlwIY5NeCxzHP0763Ngq5JkN6qphlBeaBDAiteps8Is29v0bVzhDd2RvaafUhkeKUt
qvWqLZwIvN+sSZ5GU0m9OnY5aC7sn7HT7xtXOWjmn6zpXKi0a+gxxtxxA3ZuUSd+Bv7RYm0yYOmS
n0uQdq1L9WZ0LUiYsi1N/Lg9xPe7rajBzGOGYABHH618NwRL0rZFCf80GqpngbPWvTvRgHOZcYHh
5gHxUAafdo0S3lEfkdPgl+JjR19vn/y1n3r5eelFqaxhsnSOzxfAHknEnlnAMjqka/O+C/qL4TiM
/M/oGmCzkK54TA0jG8w8OqklZpifreLt9jLWvi8pcDkV6GNFdu80Gb5bb43740NENOgwRqoHiZ2r
7jyzmPASTU10IuJD4uXJy+2fv6CoF5+XtiehyGIUHJ8HQguYYZ0pMO73Ri8kSBuUcSszpx4SMBvR
b7L7RwawP3AbkGuAsmJe7NICcmTKkoJ0Ed451TsAiHDlkVtQU5RT4SXOI3dgKZSeICdWVID9Nwrs
X9F4BbWCHKj/bWeANndacRYXZaGHYH5NUYuU8ZA0O86ARDbA3XV/tP03y3jl+jdlrR1mSWPxaP8j
RU5o6IlChjaHFJAKBTZ3UY7+gyPHe4RLB9uOSESyrwJzE7HRD9EpsPPed0Awe1tpl1fw7/cl6zpW
zFLBAB0BAYV59GhMf/BAgIMOART6hmb1kiJQjBOBmQZTEqdCeXPYWxzc/v1Ll+7s8zKLkNmabTSk
MN2aOGbWD2r90JUVb3ppi1DVQF4S/dBoiZC2qM26qjV4FZ0yVm61SX0Cwu/H26uYDbTkr6NyCcwG
dJBjq+z5J5z5HnpGar1grnuqU0wFTYT6ua1trNLdEfBRAl0wXzn2peuBZwg5RcT8+Ec6FWH1FuUa
1qQppt8OqecYKeBbwpqtuJ2LK/tXkFwbmnKR9RwM2icl/qAPL6xsAwNktsrgnpRozcAvr8q13hE9
MEEmrUq3lXI0NSiz0W3sDd9n03Ekv24f1ZI2wIdGgVmdzYoc7tYR7aMWaUa4IwkyNl4FhMfbEha2
DIP1cEfmNOn1uEIfGaCLyUr7ZDifknpfA6GNsa+JEnvWGrPmwmIgCgyRMyQdseUW4rJPHdoU3D71
T47+avXfbq9k4TxQPcVWoS3NBhiWfHNqR6FJkxCAm2pBnP/Mi/LBGUKXVysvy7saSRfIns3LjGj6
PosmXSDSGZlTDfZJ8HL0iik5pqx46G07YKn4IYZBPWBfP+nWEAx2sbl/mRjqRA7PIWhglVlqaZGN
QLJm5MRF8cDMPXt2yy3N3fvtEKjtkX6e3a/r/DB6pM2mLyGm13YgPe9X1G5xD8+/P5/mmRGyBoEM
S4TTavRik4qd1R4GNVTHh7KuPJpXHu/30RpyyYL9vljUfBnOhE6tXSZRg0UpJ9v9jDay4fPtw1m4
TRcCJKcG+TChcAMCRD/6aoq2VSSnGLjz0N6I//7xtrSFC2UDWhd1S9hWDOJKLk5iNxHTbFwoJT7Z
yvc6Xst3Li0H2BEmCgWg3rhCNS8KsOFinlIBUJrtVdEniw6eZYmtlhXbNK23t5ezdDrn0iSVSJPI
6RBUKieqa72XUYyX0/QI+NiVbVuSA48QLaWggIRzLm1bXrBIzSJLOVXNdOir9jHGoHmarVXXlzYP
3aUYz8MbixkdKVVZA4d8og2Wo8eZF2Fu9IQ0yADs6S5eMUgLeoBub6S44DAgHpc7oRR7SLPWVABf
Y9bItvmpu2JaF3YMiGiArMFANnqlZfD83s1IXJq5e6JZYLleMW60cXf78JfWcC5COnxS1LoVVwUy
Oi/MBrLyim4tfB6ANfMEPupE1zgo6lQrZl86zgnIf4emrDZ5vkZgM7/30quAch0KXXCt0Kwun8IE
11NwhoDGNRXfNT9V9ktpbw0X41/fo/a5XR3LWFrTucD572fWLC4n4ZoGBHZfW3C14g1Y0auFYwch
A0wTWkcN0IbPfz8TQBHoV2pXACYBECXK3k09xXi9+9jReQ/MMpTXwLgsO1F8SIZiMAyM+T9MBH0f
+9ufX7iDQMCDnwuPA122ckcEor58op1GQ9EUht93Dui8xb7ivxSjmgfmpo+35S0dyZzFn4eLAFwg
m5ZaE61AyxALB+co/EQ//MHnZ3qMuS8QF1GyXCgKx8LsGxYS8lt0ieeu/PylA8d3//d9/fLAxyjP
KY8qFqYVH317rII44hu1M9uViGBNkHEpqCyAH1HnWAgKg13m55nfrhE9LYAUY3wIWTYLbbULJL/6
ZDsxaQHyUQq6bUn1mKf1vhdGkDv6Y1aQzEM5LMAoUu0VKF4wDfRPgOheQ059z4TKduHsd8hBSUJp
b0w8oqFJlPbUGqlVbipDf3HdCFjFmZVuUHSojqaAE+501teM2t1xAnqtVzWj/kut1/CDlwzV+Q+S
tKhO6ZSSEhuDx2ur1szrso/ATqY01GewK7T6D9NKYPbehX21CXMXNdgwFniKS3iTBbFxMVycPNAv
vqO9yCNa/Sow7O+ZFW93ZCgrX3PAttCnbgUO+Zj4U99zr25yEahtVQcx7eMAAa0ZJEmcHVFYarau
uTakdX1iQHAGSt87ZwW6I9x5A8/sXhO51FCaMTpFXdWgL0LTXiJGfoMIqdi1Y+Nu4yZrQHxNy0Al
zV9cKb5hYI3uJzJap9Jg4tNd1x6DcMiwz1Ut+HngeZZ71Gy76xO4XQhix61qhqPzcvv7cgXvXcBc
pbGBrjEX0KXrqFZa1emsdU8A3W00f8CJmId69FPz1TSC+ptablHz6mJf1TdTt1JXk2zmlfD572e7
7XQjwMSNzj0l5VT/cGv0JtSJs2Y6pXrFlRTpLctNpzQSC0u0GBhYJuJpfehO+yJ71hLbc9nKuybH
N3/LsxA9AWUIDrQcjQ6ojGNCenBOdqTX/mS6zJvfi4BZpAuatNE8J2vbY+FO7U7Ta+eQq2mzYs6l
1+/qN0g+VRbbrRPz3jlZHff1ZGJebbo+Z7pXp/pLZtXBbT2SrPp/5cHWYoQWQbaMbstLACIoVeac
zLrFsETtxVEUNHRccUuW9xZ98bgW6OK7ins6VZsLEJAjaIGZ2hEdok157ND+6CH4CvuSvJWl+N5F
lm+2+cqmzup4Zsn+XuSZcOmNVDsMVpRu7JzAmPOEfMPBTdbm3eWn610G3CJoDcIGzL1J9zEFqWuR
NsQ+WWroFmUwRQ+DeNGB61pO3pBv9H7YRLrrazbdwbvxbx/jrBbyCoGwo880WchDymElLHSr1gLS
c95sjSn/C8y/28mKwGJWh7dFLR7luSxpN1N7dNWSu/apmdoa0LvqrqPmR72YPnZdghyxKA9V1W+J
UHdTZ9yJkvf3Ps+oQsjaY62yuwYc1qhDWt0+MXFsPxndSllgSVXcs89Li1OjrJkShs+bdeptLfzH
7d27vm8A+IZ5QYM4jsmUscVqfH2IxEBOZfWr6DAzlO8t5fdtGddrgAz4zjNGDpJ3cnNHM1rdSAhy
DKmXWAfdXHHQr3Xt8vNSwsQe9ZJi6gHpR6Z8K/Tumdblo6K3x9q+s7iBw4Yo1DRwIBgZAuPU5TuT
GJOu13S0T2Bk8RJg5aS/bm/VtbmFABfjsAj2bcyMzX8/e8gUZLatwuztk53vKIOxnb4LPJu8OhrO
mqldPJYzWdK+1eUUJ2i8sU96QbdlDlbeO+Gd/96uMwmSE8TaphPMxmqS9oWRoEAxqHWfenRc2f1v
R9/c3rul9WjzTAfoDOAkytW6KSNIaYrEPvFEe6wjdzcNH29LwEzllV1DLRAkCXgeAM+DF+ryfCj6
g0RnAorPLtWabAHIVuxzveqDDq91689ligMF/dYGvPDNx4FwFiSipgcUZITHXTqFQqmtg1pnmGUq
KralTmp+SeJEvJZFN+5gwYYvvaNYHwojS/dci7J9ZdjcmyY38mu1TcBSlgKKO0LZZ5OCh3aTkm58
bYsWZxgxc4fuxeix7mrQtpAMFYUCtFkOQApORsucDbAQk63B08Gb1JQ9pFnaMJ+IPn1ICP/WNPZf
BNKPrZapYQe4122up+5Gy9xvU612uyZLeMCatHpUenPaojnXPPZlbXEvqjm8O+SyT5mw6cnK29QH
dVfm18gvgBUh+SFG4GMhZtB8Whl9YNaR8uyOxfCYunG6aZyOH7UqrbZo+zGDKR7KwMZg9auRmJlX
Z6jglwJgEXrM2MaNEmM7Er36EPUs98FaTT5Hil1uo6TL97Sv021dt8OxqhMbRDxCP9TE/FpZgvlz
nO+N5URfiBpxX6F652stsmtOo+VHpVZ/0EFjwIxUXhnvp9+IIm7r0NINB+wZcjtADSQwu5caRDo7
Ns0B6YSIW1s3S48oR3ipbn5yxnZXaHzl/Viy70jw4glBUx0KTJLCdqTVrAEIiyFhbJsrxTZq6TEj
a9Nzi2IA6oUEHwoKV+1gtAMSmjrZCFAF8q5lwR5x+Keht+/Lwb1bFICUzP4wsCmuQJ6SKMFQqIX7
R8DSF3kA0Fo5nqXHxJyrmmiwQVe4HCf1vIxU1rQ0TKLOK9XJIw71KzA7r/NMzo/FpY8EWwIMDxco
HigByZ6DW0YCUwwdDfVE22OgcYebe6ycKkAM5ymJGqBQ/9LY5lva5U9Rpq7ETEtHdi5e8ix6kKXG
IhYwZaPzDe04ny3W7Qaur2zoklUG6gvqtoDIQslJejJ5wnKDlFF0Kp3yJ1pvc6/TovsKTe9agXEl
SEGm8ZrCpunA7Ni7LdLkmPHXjcRrsrXkw5LhPxPx7oSePcxan5vwY3rlxG201NMKfWplnu5p537S
6/7FbkjQt+PBFjBvirUifUkp0bIx+wOoBlw1pqbJ5FiY2IlOgmTbJHurQMmWjW/JtLKPi3Iwc4yc
l4Xkify6xR3ApdR8QrtOMXpp+8lV0W1LPpjF19s2cEkn3lsWUdSYu1Ql1avGrGox/4XkSLYx0qf7
mbkRd4AWDcEdDNL11AjudcwREkWnPv/geEX+4fbPl+c7Z33D9+f+B/TS2FfFEvC7uE4RxcoJxlyH
RnDDLxQwbU5NQZ96A+gvaot+TMa6dg/KZi0oBszHozSy1kyysJEYBJw7ZPGeXA9jDNPU9oWeQivb
gDxZYiWK02cXUDJRKAahg3ieCJzpcy4fq9JsBoCaG9Fp7Fi10WN78ks0zfoWCtbwf7Xs6zgURaAX
tbNDArXyGx4luypWLbyxEfvVwcnYipRW4FBFu2Wl9dnOqKZvTkOdINUieAZpOnp5qdBNVvV/xa51
jLn1u09782lq9T7gSZz7xBrvhGv7+whR8EKOARt4Bati1loRJ6qDNg8kcaPY2NCMvKhFub+tKosH
hMcEFhDdClesEPBSAebVQVMMtM3Pg4j1igB9wTDN/bP/SJBRSAdaZUOmMOWEsZ+gSGtPmDp8JYOE
+WSh/6o49q3ioUIepJO2MwFaxi3nOA7untrFwbZ6H3PjO0cMT5rTbtI83mt5vKJHC08NYH3hFoDv
A8Wgq942q65BB4cyJq+ebCcAuZBXjyuOzoJfBQJXoFLMcwSoyEo2JWusYYYVVU5j/yFSPxVZFuhq
7U2utc3HFQOwdC2AZobOW4B/IbKVojQ7NQeriDMaxhVOtf6pOHPbxq6Pd6Oi+3Z3uF+JwF6FEjDw
PVAakm5h0hd1i2qOchLjc5Ls61+3P7+oQgjO56lihLaa7IggwVe2XEdT4CAs7ahEtuozy2j9pEoK
L5nQM5R3rv4ylU3yGBGn25kTyQLaRV8RxdJg6o1ok6PV9tWOsuinyIjmVzlgFgdQ2G+NmpOj2dRr
LcRLOoXi++xVoLHpirS+hm+pDxk2pXM+UZv6hp55TbRGDbzwIs5ga/9IkQvw1qikaRWjzq+CCqv3
k+/9cEySlQzWohDUGNEwOefP5fPtQPILDt4CRqK13AAhZh50Mdh/oyYH8Hbd0BV3YumqIM0Ao46c
z+y0X1r1KaMDoqBSOSl2gnYw5g3uX1n63KGM06srV2VZ1tz8AaQY+C/SVTEMlrttibUpc6DWU0/L
QeU72XgLFI/wtY7dpZsJBID/iZv/fuamZWapV1aGpU0JuDm1nTsCocj93OkvcaN7zVr/3qI4lIVn
8DcA78iNVMaguUlbzY5nscMoouZ4qevtTIt56tow78JGwusgSEAh+JnTdZcrs3rOmlqDb9azYa/Q
+DuPjB3w7TcNEDKqbK0deeHhOhcnK34zxHnJHIGXf/Km7rnPv942Omvfl3QwI21ORoC+nibAyzP0
tnu3vy9XC+cHHv9Co6iO4Wdgicz240wTSKcarVb0WEBr/tJJQMFkuLM4nJMNzDSAx+MBT99gb9Tc
fdWT+ruac6D3ZXA2yGf03z3WVbWPwH5y+3ctaAx+FlrKYWdR2JEHgu1R6GpcwqOaoi1XOi+rHxTe
eylje0FBTNiszesu6s2ZQGkfNHAUo9tYjU6Owp8wlfJQgHBcAZ82H8dgUrSVp14ufP6973MiHBML
QGSTG3UxKhgV6YT+75Fbo0eK/gkt2lu1BeHaK8DtfWMcdkbE99Vk7lId506rNTyOxT2eeVvnSeLr
JOqodMwxlTmMiSM0nTz3YserrQ2uTvdLVrzePtD53kkuMtQM7W2I4wFvKrvITYWe2HSOzcDZGpiZ
tXG0Ryp+ARHEi2AHcseP7JUwzVw8U1juuXUUvdAyrIvGHXXsS4xVMPtDKVIMeaNbFVMJE+bjSfdC
xFcQXCom8/D/3fDe9XhbANY59lut9JWi9dOcAhIKMd70lBI1cNGT12jmc+LYu1Lsu6bxc4y0tJbu
iWivDLqfmEdSH2N1xFuBCezuVIKkTY12jvWcIOamw3Mcv4EkzEoPtv6muF9G6zDVByaG4PZ2ywAw
7/oF9YLJRb0FGyDpc8sGBBs8jk5UfG/5Jh9PmBgHCt3kadNPe0RHjrbXAQuhWM/FkHhlypBHGTe6
C2DrQfVsNfE64uxv/6p3ZGFZC+afBKgFG46anOUAZ91oa7nmnmz6JPQuEP0XFx5/qjV+DRSaEUxg
o7atpmNZfTd0vElj75n1N0WdfMuaNmbyg7a1b8aVP4kX3jkBAKv9dgTTy19RAkQ6M4jqtcyMseBC
AZ8dPiy0Fv0tslveRTXpk8RyTyl+TfEf0r5syXEcCfKLYMYDvF5J6shTUmZWVVe90OpKEiBBgvfx
9eus3Z2WIJpoWW0z0y/ZwxCAQACI8HDncpPAZcr4Pe+n0NDvSf85pw0efF8a+VQIZ5Oamw75G1Bj
mdpWUGiPZiZYH75ZEKGMogcoLOyy6nly3sC429FDXZxq73NP99PwrWuyOzv/JcoBqV13L5OVK/JC
uROdanPHONKcs4KFcjy67pQ3SR1R1Kl1v0ueSX0v0oexOllweS4/N+Vvyu5Q6EjLtdznwlE2c00b
4I/A2QDpksuTpq6gpN3FLkWZ/tjKJ3m67VsLqwR6dlzNgUNCakZ1eAqenKSVpXXgNn3yhmQHyuFd
P32woXfeVzAzD2BOSEKT53IUTo1cpSwr6+AaPGyix0ZfQwIvztOZhfnvZyfyELdTB+FC6OLRU2zV
Pv+gLuafIaAbBU2LsAIYihoaqJ2DOcyyDkYnfN9Bq/jtlVgawMyrgIXAm+AqPWbmYJuukZ0+iNpv
9uLnf/u6Mj1VVXsmWsOtgyzfcuPZrddq8gvHIjLbSLghnzPPlTI9XjuaXZyX9kF29IkO7YEP6NcY
5Bs3onB04v1grbbtLDkvUh8gc7PBpXGVQHJ6o9c7DufteI1DsXaq16Ib4k3e0TWqmCtT2PgAXM3p
Kpz8yDVfuhe3kQRhZZudNPO+yj/b3XZqV8hB1kwYlyYMuyBdJ8vslORjd9caJupWbZIdCsNdgxVc
HfEYDdKXc34BrRNXPChTXOQ8TmBK6+Ow7Judxrnje3YBqB03f7VxvrvtfleP0NmghwsTUjSzVrbi
HXpfWiZIrNNTyr4k9r2efK+wgdhavmppXOAzBnwaRw64j+a/nwWBWEAfq2299ATURrVtErGVbv2A
TpifeLbtrcZ5vz2spSUzwZSGrDmST1cYqnIy+zjy7PRUj3bja0n6Vsf0IA360WoKpm8mK8TbDCKP
kJ6/HFdmCLy2pyk9ZYA4VzUunD/L5svtsVxtYMWG4n48ZgnlkZae8EL8RWn8ZTLteyAfUFtvfhpx
8YzepjWqsGWbFFyJ8AlwfCqH24S6x1gMNMU5yvw6ebV7GTbmNxRCaPfg1mvV0cXlQnvX/zOn9qeS
bOwSaZnpqe/iUOBtqHVlEP+NU9C5UQ2k3cCMq/fnjqRx2mZVdsqMNMgH52SN3mnq19KeS1sKkBpA
b3Eczcqglz4BaeZIN7mUp7R2khcaT9YXXia7rn1jEULubedYNAZ0LNBWKPeilefS2GjlcYb0QHEa
qyosKEpTBbvzeuGPZK1DdskU6HJREABPEqoPiqmMSpO1opantkY06j+PkE+rp594Ktwe0pLvAZkE
blnE9GsZB2Gh3Q8ifsWpzGJ9S1KoxEM/ZOty/Zdt8FfcWh+BK29WJvLqlMcuA1sazkkQnIJdXQmE
CeG15nBYbYxHnTx6KwmAtc/Pk3sWAGUKmR1WxvJU+j0PAeS8PWdLG+j81yvx1eZFTYwCv979VpR4
t3VDYK+EurURzMt2NgJuVVlrzyOY2IbUW/M/TpC6azitRCXw+VbbE2g47W5P0Px/v3ipYXk9B+mJ
WQMWMGVlgjSgOzpQwckTtGh2hbgf+q0U//DiJR/2lrErxzWDC7sFBx5eJ8Bf4/buzdN5Nl1tNZh5
y6v8BEVNgHWbmDw6aTX6XmGQMB6hFXR7gIv2ZlJpHEYoiatRZ6ggtVK2A+x5W/6K8ufvfA39/+fN
oUwizjrcTWzAJFCQUCbRGnVmg9I+PwlbcGBnBk6CHnsqAEjJdSC2kZANL/qAZN6nBgqGlcUOWQqZ
9wAgoL48GhaqhpLpoCn2jPatmKbhoXWTNPaNLpavWEJ98kc3M+9gZ/BtyNH6shPaozQtFsrS1jYy
Z5Vv4/9yF+W09+26ZQ9xwqNgqPr0WJd27DexGTloo+34l7xKsMwFugFpmCFhChp7cC8NKbSgsiHD
+zv29ommTY94yZE7QO6iEOvD0awmcn1r9iYS18Ce+KhDRNw3SvGtd1v9oJX6N7eIvkpGxnrLRQPw
IUu1TU/QBg/oCFTnfeGAw8bk7rtudtFnk2iG7w0xuuXx4n+zZZ2+ZJLyk6YnHjS+bIa80ZRUd1w3
Rwhvxvo9+vWi715qGJ3fxtwLSMqMIKO5dS8ypw/tWq98XRIBadDRDPsi7Z/BCORgXvpqxbcWtj5w
iaiGzDlMVNvUre90Q2biYYUDs338LWp9pYi34LvoIAdEF4V7E86l3KKsxs1FalFxiimUOKdvevrE
+vtulQRoIUoiQ4nNj6o5bgDqU4j3MylJw/JTNkJzOn2UYC5v65Uyy8Jk4fDHU2Rm3zSA47/c+Ilu
Rr0mK3ESyV306qypqi193sIqzGU7vEnVqlExWlOtlyQ7OfGnHvTHpjQ3tyPJogU8BgzA0RcSG56U
GiOgPjmxMrDaz/ZaGXXl+2rpWgoGfv8O36fextsg9/iffr5KkhR7aWRpIz7vPAD13fDw9ufnGKfE
QLQboqfZnOFiVzGwHrO4gvZFdoKqXFDL9s40D7ibI9TdaWQNibE0VefGlI3n9pklUq/ITqP+4CKc
GK+3B7O08WY4HfID6NVHkuPSV2kqBtsFlODUxJsirf2WF77Qw2J728zCvgOZDrqEcPkGObr6Rkdr
q4myj8CWmOLQ1PMDrax9NBjf/sYMwDmQdIC+pXo84YJYEosycUrM9oQig9/3xl5a48poFq4SM4Hk
THHsAVypYitj9N0IU4ur0wg1QcNrN3bPN1R/SqaDzRs/6no/ylZSEAuOMC8R7vjI10LAUrkdcYh+
pVIvqlNyJCLfVMUHBWcRFf+IMgFnhkWCcqfiCcLhlesURXkyJRJ1vrVWL1nYNqCcB7EnOJuwaUwl
xIM220zTxpAnywjFy8vwuRrCNX7uBW8GlQEqpeAkQfTylDFAwVDPeBZBwSobXzu5GRkHFpW4/pR+
PETCEkgK4dX4p/oUcnKdlnzAaAYhgxb/O9325KXlRvcMyMsgiQDcmjJbY40lyjUOF0uyYAyHcW2q
Fg2g59wAigKEBupyawQRHrjo6oRCUBmC1if8+ABwnuOhiPCFc10ZQKYXntOLChPkGPu2Sbamfnfb
wtJin1tQjtnGKXWIFHd4jsSZHztGiEvThnQ/ig+yyf3ZGTNVz6wgiiyPut0TNo3VONDyFH8vk70n
V6LJ0kp4uLejFjPjqDXlTu2QLtZG2y5PdfF5LAPDWWv1WTOg7Arep7JNTBigYqdru2iFzXHh86i3
InGDFh8HlRAlK0DbUlC7JBKKHdW7WeNWb+Rrhc/rIxc3f0h6z2UQxA/FmdxMToAp9fJktsBkA+nm
f9iVLr6vuFINidqkyfD9PqnvUtJ/QvJma0dsj/Tex1f7wpQyW+ZQIzmUwNRY+Vrv659uj2ThoL34
/LxYZ4/Oop2MAro88uRUe8S9CGWp/uOhDxljaoJgcearUNebsEokTewVJ2oXKLMD0gPpVRncHsfC
5kZeFfhTtC5D+ENNPwqnJYUdFVgRWm6muv5WQy2ybcQmkuLjJysSP3PbKUAjyAkq+08fnARoXlee
ePo47dt05WmzuCJnn1d2n40meQP0Tvh8nd452qbWNz3EzG5P18IevBiDcjvQbdENSILLUy62brbt
9//p8yp3HV4DfZlxR57sPEgLn6wBN5ZWG7kS8ITgijMD1C691kCvfJoUcKky79jzUBu/CQP1b5PG
2h0FFc7K4TpPuXKDx/0DZPbwY8DuVA8u6rEbTLw0T32W609T4ySBAeo/X4ytE+g4rMIoZe63zGTG
Gk5NGSni16xL6yKSoZ6Iepyy/RvOsVf6mVjC7U9W1r9kEzvEVhp6nvyY412ZUkKB3sV2StAIeywd
E/mP7wkEc6J0ZZ8qjvfHyMzhC8r++Tn9B2pwFm+ccdLivgbkps6NwMr2Rb7WmLNmYZ7RMwskGqxI
Qnjg0AHBPG64+/lDvn01AsX3mirlSWbj+9pvwUOr+9jWufq8sv1HzRZNXuHzeQQ63YDKlaNxyaHO
F0DZ+XbNNU24enTo7Yc6G3cNjYKUnzKarbjTPA9nm+b/DgQ7FFl5pMfRZXG5DnnEpTBc9PNY0RPx
7nqdh8iEgQ3gENF2xasWbcGjkN8wXTR2KucxMwcN/LQUwGQ7efIS6HjKk2zm1Km+MZyV+L84g6hR
4zGPdxVeDZcDQ1lX80ClQg4FHzaSi42k0ZekIL/6uNzd9rVFUyjRAFiMjqUrgk7WlagBUGDyRM0C
M340agCU4seMrdXE1wzNfz/bNL3FwIE8wZCR3TMj97PmrrCaYHBWUl3K4fbHKVA7xmvxT05dbfeX
tOmp1wH0N5HkTgr+FI/Wvh7jlSVSG2+u7CgO0bfo6Ig8gDqdwXtLUva9Z1A7bQ1vY4rpiSAvWjj1
tqjNbaOBBsBcQ60uOSTWDbcRENDgvadcQGOLZDmYiMHPhcxxLnufyNTvyac/jbavt53kz2mq7rRz
Y8pgC3toCmO0gXTL7XaboeALqh/nl+Ruew8EJduVsrEDs2RaQEwdsrJ5FQ97r5rDFzwKqfSm8Htk
MDYOWuR/scT5QtDj6kb2Viun+hEtxML3xsx4tHQQ4Feg8dw2GbH8TnMEJlJDqjlG0dyaGi8U4Bfy
U5nHL3aaRuhnrrwHMQKk5om88z2QTQZ5Wkf7SotakCLR6DnJkauORt178GLxXaZD9TBB/CScmonv
+oG6QTqk/V2Z0+J5tLt6E+WNEbjCjp6qNHsfWrZtWdsK38L7MdC43T2TpkaLUTo6fm2As3rM6+bO
ALxRg/QbRSZXZA98QntS4o1mgP4jaxvbHAktGot92rF/ZmRoCLYV/GB7+gEqJWTn2YjWmZxp2wkE
KwBK9gnaGwSktc2hf7eYuwZgvDrHkPgCQhCFUyigAW6lXW5JaSRW7AmRHrPON61TTj9WPgOyAlzY
moWsFEj2cBzPW/Vsy4tiSvIp9dIj3ZXtYUpXXnlXEWX+PKhkbbQuL/BFyDopUb0wsmNlfadF0G89
Ay+kt9uuf73PZyuzNiO0X4GmUG9mWdqD8WaElZmNsHodeGjzhyxGW11IiO73DapDJGjMta6wpcVB
vh6PWBDKoTSg7G/oUOlW2k+wi+3x1lcfu57/WRsIwQClONOKXalZRVmOPo+qz448hvTdlrEft+dt
4ecjCiMXhYXHb1V9a4ytZnJNxo5R+0K/luXHCr/zz7/4vDI76NQDotbD58E/wCkLk6ENbw/g6hy5
tKDG10LkjT53sx3tiN7XlfY69Jz7VlWsXCwW7SA1jMoMYOIAp11uEgMih3VOBTtqdRXW7u+me2Rr
XCFrNuaz5Hwj8s7Jp6zA82WofNrlvg10b9qtnLyLSw4ALwYCuBhSeJdWZGWzXtc5O5YlaH3Im7bW
wXi14eGrgJMA2oh8+oyZuTRQAtbOOUGjZNfhkX/aBt0Hs/WzW2lQYwLgAi+HaxkQM8Ix0jYIwy45
9t03KX+LduUsXZilCxPz38/WgrjQ5Kj1iRyyLAD9kUw/ertXhqAEXTqC655Z+D55HR6Kj0f0uZkZ
7cFIl19T9DScktH0IvSgsaT1QXPyRNxqZYL0q2WeRwC4IQr6dAESNUW1Adp4xCU6iN4vnSTf4piJ
7t0WOO8p7kGEjyKUDz5/GRSCj1uAYatdClRiYOmS/dRko4cmE97GmuaWXlJ6a9qvV5cv5ScqTyiz
y40cmMT42Hnlz5LXzaZsx5ND8HQvq4Dl7cpLZ9FpzqZEeRDY2hBNesrANcGSDXWTgPU/b4e7xRFZ
6GZAgh9AI/WYMyR4o2RCwCRtfwGJVdCIBwtSkJN88YZ/bptaHIyDGwGSaSiMGMpg0PHHxOT2oB3h
46dM0NeS9NvbJhYC3twU//9NqETzHBwQVmuD2cRKHr38M7GDjP3NhJ2ZUE4gFpUV7wsNLuCmvqh/
tUkbOt0xY/8w6vh/MRwcD6gizQmpq9JOY7eR1oAJpNB5oOf3xvjeRO+3bSw6wJkNJS5JqARbZtHG
OCNIKMbO1/sfRSX9unsYzDUo5+L6zCVRwIkRSNTLjQFJXNwZsMXJaIWx8a0XxrbUor+YNh1tpehn
BbwXl5HLUGuOzBXgNEI018kuHu6sdIci+u72vC0N5dyIeWlkmpGwc1yE9FUcgKzrR82G79qw1lWy
ZkZZHsK6SWolUgLS/TSmx2J6Fn9xS5h3IwBiAKPiQq3syw7ZOUMOoEfvZMeDkbR7fejQlbsK5F0K
AKBT1MDyjUMET/XLKaNmPKAmCy0bezdYn3N9peS+dH6gd3nO0qPNFyzMl5+XPQHHVItQ1o3eMwrz
+5iZ92xMQq2nwV8sPkrHONHRdXvFvoFgag9dZM892V/t5Ffk7JNhJdGwuPAgEsNDDQC6KwBBAlmO
JjEqnIbpLmIhNTax3PzFKMB9pUMFG/h0tbJbljpF2dUkh1ry5G6Mq2Fnd0O0y+tyLTk7H4wXiQTc
2sFWhvMalywAt5TdkoHcwWiKUT/o7fiaesLy2yL+Z8rZKyL272pCYg0sJWIlECxandkKIEMDmhQ1
n5aj5DxZaaMfUHXcxNqO54NvlZ95tCmnhwkNuLfncyGUGsiog2Ni5p8FHOPSAS03iklXeNohKt7j
3PEr9H72gA2azkMJpqjbxuZdeTWjQEBD3hMFsCtaj0gbR7vluX5I8z56cEyk8UbWZdtKLwFpJHwz
5o61ocJmPuWgSLhtfcE7UR+ZE6KYVzyRla08ZAkgjjHXD53egE73n6p6iRKyMkSVVnO+loNbAX1U
c41i5tK5nNCYy8Rjta6jIeyUTIbf9vdGoflxt+Xopo42uER76Y/bI/vj9crEAimA1AXuoOCzUesI
TYSkWpahX4gWabkZnAJMWCZJNqxstL3QajNshf4pnUTV+U4F3tuuafJgmpr6t1u5Q2izQn/2ZFL5
nnTQVq2hV86okuprZ9bNa15Vk2+WY/rUlxCsxillvBgl2pP1GDdrbRRw1HJgp2q0vw5jKfaDMxiB
prXdFukw8NDIscvCImPFxq60ZEumdNjUJeTa/czr4mBAKDlEE7Ff28oB14su13SXFsLsxfzMfz97
yMSNqSU1bdAMqJthrW8TQFoFrifex2MsHpMm/jNTjqCqf2kna6lXDJUO2l93X+gPBV4Dyfb2Wi8M
5cKEcp2XuBKLrIAJJHRM6HQM98l4R379hRFsEoAGID+A6b8cB59kmvascw9u+kr1PS+DIoVrJCub
ZSEeoGj8rxnlogDmjKnVMpgBTC9EtlQ3fyd9OJQHKcFuVH51i5VUjNrvOu/OC4tKDMgMQoq6aFxQ
aHnB1LiBw6G/FbFN4xV+JB6McQseKt/Qfwxi09p3t6d1IQJR8MSAigKPRQ8ecjmtQ+nE0iBgTy6Z
9TCU9kPE6rfeXaO3WopBaBrUQZU4k+1c0Qom1UhTh0CRNy2LwBs2UVn7JME5Qgpgv78b6X1OLR9K
6n8xvDOzxuXwRDrxKu0r9+AUb12140ngremML87gmQnFMdnECGunEvq5cfHTHNMf3cA2g1h7xCxt
svMJVBwTXTqFo8eYQHP4UmT7ck6Wa7t+DSm8NBq03eJhCSKy6xZoh0HKVY6GcwAjtC+Nl469ZeDZ
vL0qS2MBPxGCBvJd169lDWHcSQYII9HO3OSjF4CNF0RD32u2uW2ILlpCz6qOJgogA1T3tgqzzbkW
Q/20Fs124K4TyGnqPpnCgzq1zap/HMrINtLBh9AMrN9aURTveV56u7EWCdoEPD3ZRoSY9z3LS7Sd
S6ADTYdvpJWAarXK8nubgW6nJ9QIJsMcv1p2gU6dUmo+hLn6sB1qe8tL1+KoxvQ52BosXr003WT/
5llRPgxW5m7xREy3taTIUDjcCus2ch8TdCKElsuqLS+c4VmfOLsbPY6zCQ0Sz80IdT6IlhY+CPgI
qMdbd2XrLEwd4iC63ebeE+uK7jF2EhpnkQm9ZmvCLeE9bcotJQ8VCje3F2nJEBL1AOvgbnvdx8Ot
pixa3WJHER8S8520783gBHRcY4pfs6McU0blwBkmDMjUf+TZfcF+Vh3attbUTOaNqFx8/twmQSHx
B1OlxAOtrWJBJ50de2MMI3BsFGJNRWRxJAZujcAJzPypSlSb9KzS7HRMwFoGh7I1uXd5/sl0yJ7I
NW3qhcs/Lm//7iBl1uhUkYkQ7NWy/0SrHa0fK9DctvW9nE79GpZuYWCzthgYddHfaqP+ehmui3To
bVzvZuJndI2IvSi+w8/9Xn+57XILawQaK0ADcOefG0eUGzFwoRXnNQX7t1UEif4NZbyVELdkYe5L
mbWG0MepLpGwwMcxtrF7SAI0lkNSYu2VtBSo554UQLvRKn9FkSCiFsAQEDsdSuhzpCFP95q7vT1L
S6txbmL++9kV1fRSSehsotZPaOhytAAMJvE/t40sThRo2MEEjNa6q2yGlfGRTlyD9J/1QqIjXzsB
rncjuuBnINr836vrb28wnHRdDfc1cdFIn8H7vbLSC8/VC30Y5QbVVY3DAa8BLZPbBbLrfiGa3hW1
65sJXhOVbFZWZc2esiEbNM+1NQVCg2Tts1nRXR63+9hAJT7y7oumWSlLLfkZGFHQhQhFOWDLlXDG
NV5b4OIASsg79OR31z4O3cdzNPTcxOwiZ36WkLpzhDZLl3lPpv6SNS+FuwKqWvKyGekxJ80RMNWk
FuUMemMgkTqwofzGCUqRrsP2tz15qfKCRk10KiB3jrlSa54Am9dTjrbCQ+dOuk8Fmv72qBPaic9z
vidVcV9ncA3Gd5GeBnL07mzSbFon+pJldHf7xywOGAWJP8lb9JIr2cg+N7XOLDIgIhI9ASVQ9qWu
1zjzllwD7WqgZrMRgXDeXa4bacAFSXMDnmiRyi9kuS1bOvjrVGSLhqCDjEQxkDp4yF4aSppBugws
4YfGEU+tbm71NHu2p7V3LLCiC9HCPTOknAvodNHjP+BHrzPZQym5vTVcBjKkPvqC5O601QAn4aQy
nwaTlNtpNKO7pkVfyhRZ9jaHTMLGtco6nPSu9FuZ4j1MrZ8mEDO7bCzj+3xyIDAQAa1DjEhs0GdB
NwlDe9YYeR2SedVMvCRt76vVF84xyz0RJnUBuA1u07vM0dhGjm3lV01WhaXB6iAD+y3AMoDw5F7X
PWTgAb/zGm8o/MoF4MKJCjsEpLMKOjZa21wW+T16ab0tRQvEdiiHzDdbK/fJAEX32rPtXVogQMa8
7vdaMtOUWNoEPnsH19auT3dDxaw91/UosDVgd/q60V6og3T3hDoieKB9R2rjsxbFxp1pTZ8E/q3n
uvPyzeRM064W9KtjZz+mlDpbYyD2Q5zxR6qJXYYX7oZbRQxhxFLe9/2QBWbZ5z76dzW/mWJU9UdO
HuIpG4PMjanvtvH4opW4eUt07wWV5FFoOxP+gJz2Jk9QTmqNpPhk5UkVtnqhha1dZDuo2NKAFOYQ
gHmyeYbAub2jpLU3ravFe2sohpBVlufbnXzzUrfX/QmOv0EGRRhB37R2gMoV4FO1RHo/ZvGTA1LR
sGTD5A8QfvIzc/pdjs6EQ19H83BhlFBLrRo/T/F4ABCzfe7yQtvQYczC0UyyjQF61Ye6Zzpkt9sO
PzL61la28SninX7vVU7vBWNKuu9NHutWCG5qaG5m0SevSXNfx819K7z2XXTd4IPnQbzHLfkOvYr8
acrweGm8nL20I+F+3fZ9AKyng/evdDa6Jb0X19sm+n0fvQ656x0TIuzdZDURfuvoPMjcasM4LqEk
6QHsFaIPwXpMcyaeBOQBgq6Vnj/WsgFjtJCfEsMpj5ObwRnhSvndgF2DZohBQwKD4YmiQzPSIRX6
pe3O0bca06C1V6Vfada8O1Ulnt22NYO5b+CdlrG7pSKOd5ZB+0ePm2jorajcDrSQYdaAzzyjTn3I
SkgeEiOWW3Dqdvcsz4BjBxgu36CBnIQOTuKH2urte1TLMNBBsDDTst99FbW7rk/YiXDGgryu40+G
3euN7/EOhds47rQ7p0jHnZBV6ZuxntzrnHh7Q2uswJmS5E5Eursran0A/XHfbUpZUQB06yiY8j65
Y2Ytd9303rVGkMBvQQRrhyaVH6SwmtNGaNpHjxFEP+e8vBITncmJKmOq+bGiG+BF6Mq9aSHkXnxe
iYRaC1IALao4XjERVPU4GAW1O8PUVs7lhYB7YUY5QqKkq5s+bvixnnw3+ibZNpHbKFq5Y65ZUe4w
bMRqeVHJjxO5t+QdoW9FvQE38u0jd23KlGuMThNHNh5WhKGHW5ZAGdDH2lu5/S2lC2eyBryOZpUn
9EVenoVFDTApus74cZRojfRJ7v4yGNJnmTWNT22B/Cs2TBpvPUFFwFuhhXTweCjidA16tXDFuPgl
iot4FbjeIQLDj04UmuOGaCtDXfu+4htNkgCt5Gj8aIwbOxzXGBAW7tHodgIKB20jc/paWa6+T4nB
eyzXUJ9E+mSAbDw9muyuideYVBcHcmZpdpyz+y3NJx3HWsePlPwGMmDKv992vLXvz+5/9v1KEBva
0thEXpVDiZLSFFqNa02NC4lxTBdqVTZKOnh0Kqs9dqSN6g6rLUCyMQxBQn5MbbSZOwbqGHwW4le9
JtO8sEIz/NFyECLBnaa2jGl95/R2UUBwxC5wy5Ft6dd5ssW//F5EzaNddb9uT+RCnMCFGe1KoCrC
1lKzheA1NKu4qkE3O3h7s4SeQDHUe9Cz4uJjrCVxFlYNxtBxDPj5PKVKUCpG0y0MD6DwJA5x8Mi1
bqHF76N8CgAxtELR7XrpFW3FjZwz9JEI2m6MSj/VY76W5VgIeZAAn5+FqCyhwq54tpOnbuXVDHpw
2U5ju5xvSP/xAsWFCcW50WCREmuEibbYurnhGzHx8w/39CDT6eDlhheBC5Frlcs5wz1ZNxOGHQQG
3vuKr7yhF5YCCzw3o8zqHnDly6XoDLz1xtTC3nEDO1xVOlr6PKAx4CT6Q+ViK4GSaPokhTvh4AGd
Ze+gYjq+3d4YixZ0zIsBZAjGMP/9LMIInSR2AqqgI6gsITPmttv/9n3FjwZdNjUCDzs6XzjdDmTF
hxYCCcDByGHDUUG2rMImZFyB9oMBwCst7555n9PhB5+GoHFQem5+/sVQzmwpU4X7vDXLuLLjsB3p
q/ZBFv752ocuXZxZFpTxkGFWZ8olYJAZC37soHKC/g/8k7Jii+xWmK+F/MVpO7OluC3LTVv2eKId
TSGSYIj5P1MHhmbR2BnaK3PLl5x+uT17CwEF/aIziGbOJ1whgog2xmYzQpchydlOix5HVtyz6Ott
I0vePOs5g0kSYQtOcenNkWOOWodL0ZF6z5bws7UeqnlelAoAmETQGYKjC3BoNQ9keMzkyEPxY1Sh
tR1vyEb7qUcQafU+DtW6MKRsfJBnu3MnPRZI/+W6/+SE+lH1ZhUr8NkFP7gwo5xUIq8gsQPuiiN4
nAp08MjaQWdt4lvxqTZW7jILDnBhS9k+xJVJmuoGP7byaEa7Th5Zv7u9/IsmAAP904qIHaQkUCnE
nKghsfwp+6ehG47bpbbixoseAIgWxGxnbhS1i84ahZ3jNYBdmmaj6SeCJ2+JyZOXsmZaWJpS+3gK
FUWnfytCyhIZY8nSCmuCXiTD870yjpBfJFFoWNG0uT19Sy8Q0Iy7UGqZ1SuuKg8k43FjJV1yxA0m
9HAhY8X0263JvQFxYitJ3o1a2wyouviR4226SPud0uhvxnv2G5TQlIPyD+oqGG+nd3ZQgRevBgcY
kgV/8cy+GOy8N85OvqmeuBsVWnLMGZGbevpu1u6aNM1CPPJAk4bzaRbXg7lLG3mdiWZqaHKsQD8V
AAFye8HWPq9sKQdKFXEc2agWuqGOw/vHX3wedyagXuHxV733QAgzKFFWWAri9WjgY4/6AOj7bSML
G8qDRMD/jChjaHMopvR9mxy18mia3xPb3BmGCPQ19qyF2IBDYVbvcYHOuqJ4hJKCsOrZjufcjc0O
SRzkhdagHEsLAvAmVhqwP2S1lcE4zPXypkzRT2S+AyEQayudfUuDQCoG+lmo3hlXimh968k64y4W
PN8UWegVm2wtCCwO4cyE4rJJLqasyWDCKzdxHDrh7eVeHgHuzHPrHqAHyq5Dzs+QMbiejhK6RsLS
/bHZiGIlKzQ/gJRjGuKt/xpRzoFCy1re27hrIAFg1UeN3RPySOQ+zb635Y+mWwF6rY1p/jlnkaRJ
yzrmMcwV2luUMN/Rd5a5kk5bXpb/DUm92YAHU6QaStvHzL5LnR1ZWZaVGVOBpIJMuVt0WBaoi4Uj
GfYjG/al1m7crH2qqXipenC6xONKAJsX4sZCqXUmWQJSXQ8pzJJvsdn6PDp6xpHn/W6oSx9A4f/k
fIbi214/trYmMInxSHYFgaoWlUaEPsl25Vm44hHGvJpnHtG30YDjE4bs4leUnGzIjIC69vZglgLn
mZOr7wUnNvSq0hOkieMNY/tSPnmlX64hBRb9DnD9ucoOimwVxww+c2Y7A14lRLBdlEJ24i9a5zww
7/7PgnLg68REnQFYrqNTSL//im4R//ZErQ1BCTn2WKWuS+BkTXrI990HRe7mdxt+P7VRGJ4BVZay
1pWTI8ttE6CCKPXZcCrHL3n08Xv6hY3Z3878CQy3ohlc0OzoXhHk3e/JeqvbrTah3/r99mTNk3G1
I89Go6yG6dRxj2odXgT9ppkqX4JrwNA7yLM0YZ1M29vWlpfm37lTlsbjjW3GNeaOOHtb94cPsrtf
rY1yEABEbGU6cfFk1x959MPln4vU9bv05+1hzJNyNWkWsAc4dYC4tZW4UratWzrTgHy28I59UjwU
zPBLMgU8pSuvqEVTUP6du9yBtVUzQnEZl5bTeew4CRuglNFoHqH42u5om/dHV/RkJUIvrhD61EHw
BbDTVa4xLRrKNdToj24CORsxs2jSfO1ZvWgED/ZZHdoDgZjiBkOGjntk0diRlj94lCMLuHKTXYzH
ZwYUP0Bjc2HzymBHFjv7wgVW2bNfrSTe3PaD5XGgUQzqpvMLUfEDlmXV/yHtu3rk1pkof5EA5fAq
qdMk98w4jV8ER2WJkigq/Po99GKv1RxuEzPfNa5fDKiaqVisOnUOCFXgaYppr6OK2pz+t+9z+xs3
0Oer3S4JrpXyc4eSpYqJRvrzQbkOLRMTJUixEDBAoiLvhxoFqPKLTQ+IzN7x8zffF5IaMyqbJdXw
di7XKGWPGMf/9n1h+s15IK6fdcXZn+Kg3qleW9KjBzE3zqoETL3IWLs6zGvBCYRU8vrLdJZobgAC
c780q66YJ+luRYyPdwTknuBPLpc5GKyU4M7BjWi4YQ3EB+AmkTNN8fXpko2HS4shG4e7C4z7l2bI
OE9JWU9I/Xo+T2TVYKFZHXBsq0TM/soxiP4RiitI/4A3E/BPwRLX1zDTGU6rz9ghS5qP2oBuLKYV
dZgYAFi00J0uMxY32WGq1ngMlrCrvfsymQ9tZx+87Ov1kcs2Orj+OfgZiW/4hcuRpymSn42Pst0y
HV/oGxn4/l46268L29xqup6xBLcB/WotsaVq+pLtju3nhV1uLxrp03JBajDbN0O8NB8s+nJ9fmQ7
A9VTKOSgfmWCUOJyflZ/qaepQ7gRlHZIPnq3Yw3KfhW8kjtdcVegNS+AwBB6BV6xVpStPlPq4Twl
aRmOzgNFk2h5nNonEgSgUFBVtKSLvjEn3AG9288L+OOKs5F/wtvToE/XJ41PyqvhcLkky0WJ8RWp
T5C5bpknfnpedeuDNU5LnCVAug/WdEOoHQdIe6bJ+DIy1X6ThWzgKINjwiFGeoNvmM2tMGm6VgQG
yANxu+7raY6t1tzPpnc0TfrcT4HCO6nMCd5pNevZJw3MZcBvk2nel64Wo7QUOdB5BJjvHV4KzCaA
Q0OMCjUevqyb0ZWM5Alb8wxwleKls0qAVEsURbTQGRuFKdnJAggR5JucZh2tW5emcq2fHMqG7Fy6
MesOoMAC3Oj6JlGY+NtMtRmNTiBRTD2k1EjzYrSfh/TnHPy6boJPiLgPOSNTAIA68Kqis6WlUzsB
hIXOS3dbDl+z4PP178uGgKozsjecBwadHZezNOdZnfpOXp6bDk8De761jSfiqxCoslGgkqPbyNRB
JUWUiscuQ4LIL8uzk/xo0q/zcrg+CtX3BS/aEK3AfgXFl93vgVAqe0UaW+ZCt7+f298sdAVF9MSC
HsB5CJ4BYNSzP7r+01UR1qpGwddqYwX9n35Ks6Y8T8OH5c6hikHIPPR2EMJRT8eyqFEhxCDoHWSs
w674XbUAkY63aEohmuqhrpozYWdpC2GeSWFuHqOpDNvkyVkOyoyGyopwD+i2vxgJ5TvLhr7l8JLZ
4JxvD175+X/bYYI3cb0x6/MBo/HJn35t0Oj+ct3A32yyeNI3yyM6E2gVkd5uq/JcesGRstsyuNWS
k5Z8avNfhT5HrHmi/U8rOI2QxzG0G6Y6RIqpFInjDS9fKUj8y3NComWO0+yYrujTPl0fp3STQ9AT
7gyXqy1KkGSVZ0LeuAWEyznYwLwoPi+7z8Dw+d/nhWCwHoK+M4ELPaMlqXD25e++3CXGIc8Uy/V6
GID0gXkXoCfOcyXi9rMlqGq2onaMN3VoI7nJwuvz9Ho10OyL6rMDZhfQHeiCS4O/AT22T6szOj3D
Kf8K8qVev5krlQrt6wsAfMygG4MhQN9eRYftUqBC54GAj5AXtjz11o3pKByPzAT0usGEgSwH0o6C
97QBt5z0nuXnBvLrLWgzVb3ZssXYGhAc52QvjdWCwPrc1jQE6IEqu+skFrjKH2hc+LZ1xdUoDJ/R
Navr8+1CPvXTx+trLZkg4ERQLAHuBa9EkZkEadkp6DQNa11BNgfqgQxCoEGjqpG+vgCwocB7A7FC
UJK8qta4aeeupZNVqHY/1skOiO/HKodMxDGrhxubvvn9fmlN8Mxa4/ZO78NaeXQeclX/v2RBLCgw
cQAK0OagxL+8K2czqOcuzclZK/xwfvLppDh/KgPCz0cbBUCNFAb8IgZl4Tzurq+55HxfDCC4HECj
zZ6+Eny/IV9n52aqIzrfFM7z261ARxTNmoAooj9UOBl5MdMuaIvujLiFHJl16tNjSY7XjcimCs9u
OEP8hQBPWAvSG4kR5BChc352wWfb/HT985LTgZ//7/PCSoxTrrez4ZIzqVjUDlE9xn6yRu8w4iLK
9sFRCbi+gDXyPG3NIQpHzt5402dBOKIZNF8UiX/pSMALBP77/yvHe7nmrZdD+6U127MHWZNjmVfs
xc6L8ZM9dUF8fTyyNQE1lOkCMw3sqtihW5POcYq8JOe2vD2b2psrYgCWbL7ON/cmUq3dtXKdEl+n
zk2fk9DSSdhPiiKp7IQAdAsEPXr0wEYhnJDSqLK2JliSNp0B9zwty7lFm8yqWBTJTKG2jzmC9wWm
QJRYcLQl8TywNpxt/ZE05/LtC3HxeSEg0XDxakOFzyc4H+SsclOSLQXwAHKL6JqEZKuYLgApjud1
s9UC1YGWnw6YeAeFxDhYDaqIrKSWHFD1ImPKTQkBiaMXtWMVa3vGngtLEKcbLI8m0IJc37h8VS/D
YA6x+WeGL9dmayWIQlliwUxJPnf9DDhjEJrOh0S/1bSzpdFoWn5etygdWMCrFXhg2+htvrTYDQ0k
QlcbSz/X4WzFS/tBqxV+WLrJNjaEyaMMPqzmNvL+F/jhY+r/vj4IyWHh2TBge3TQx76q7Pqa25TV
tKZnk9yt65PWjId8bI/6pJJJl41ka0g4+l5d+BoAoSBqi/ISDXOzKvCVLIfDha/BnoZ2c8QQl8vB
vIqglZWT05ovuren1slWQaEkkwWRRWCgkDKGexGdI7jPoY1FmfbBDJ7tArzt7g+IWoXrGwV7kDtG
wLuxI8wVmj6Dehxgx3ansK1eOhWl3evXDgxYgJSjVZqTZgpXY5PmC1BQaQqcRYeT4kckNcNhMCJA
/EKrfzsDyKU5wSOjepiUDQEvbll+6Z37INkN2aGxFR5TwkHE3wmoWXEgATgZhB1A28HWOzMDR6cB
rv8ePaz13oDUBSWfZu+rB1bysvmYkFnheSQ7G2YRTHIOLmAWhTNaAvSD9C5Jz+gerV/m4n/8PDe/
cWyrOdZBF5RgUi2HKDd5Q6zCQ/PVFlznxQD4ydpYGBy9DIIeHIpomqtitz1o+Rc9Q3/zLomuexvp
GXXQKoGmRtQUROQ0opiyqHKwgVa1/mRoQXYC4+FwMpp3FEmxFzaWBOdseS0aVbkgid+DXiuqiCKS
kS46HI0DSgvwc4gINgs0jKMzgaK1/6nPh5wo9rJsovBkRALaR877Fa3lMvVtZpcgC59T9kJpuyut
4BY7/+0xDK7kf2YEP0DryaYr45zkmvnCcvt5Gd9zOgBQ0nFLIngFWeDl5ko8Z+jHhubntL1d+uN8
uL6jZJ7MDBB8IzhGskMM9obRKtrWcoDf9Tifoxn3RRAX7U2b5SfDUtzG0lX5Z0xk7bf1lgRN6wGl
CnnKLHW+QOojZJP9+/qYZHsLKXUTZBYIlj3RO4OhwGgrD2YYvfld6IrTLv865guXDOBKYk8XtGMt
9DYDjby48cDutbcrA3Dy2n/fFy4vc6YN3l1AVNv0KfD6A5g5ItAWKLyibCm2VoS3Y5M6fmfrGIXT
ftxr2RfXUxiQbSyw37omGD/Q1/WqDKTnjA0tjoZnot+7B993Uj9RfT4VgbbLNGipv33RQWDjIJOD
tBoipctzMjUBsTwoXZ8RroUPI56S178vGw/UvvBlLo/5qiCk13pl52hPOM/0xmX3Pjjg0U0SxPmv
63ZkCwOnyANxfqmIKB5nXCt7NDvY8esidMfsaGrk3ndUVLmybew4SHQiJ4UchahupYF9p587zBe5
K5kf5qOrmDC5AddxwEMA1yXS1LYBq9GCPYMfrc8geb1jhYoeWRZOIkHBWb74I0IECq25X3iLP8N3
9VpcTEk42o/jlMUgIVCMRW4JsR60YBAci5iedDD8wacL4j2o5Xh1yMISjA2zq7jeVWbMyz282lWZ
+h7MpBPqDsA+dYB2t8Nw8OfP13eZ5LWHKgBe3QiVAVwRUTjEAGZmXikPYENqHZ1pbxt36GRzR7z4
o6RX3PYSmRsEExt7wi3WJqCZBiNFel4QKDcAqlj9Hl2xTZjvK5ClxTlgfu07MgwXRoWwWXe7rMgA
xTxbVUSqWCOKXSE7qh4I8znrDmR/xZvAAPuXZbRQGgiC+5wtcdPdZn73Pxrhe2YTXDJ9cYsKHBDn
tfvIvB5iTydvUT3+ZWcVaUSgk9HD7iMSuDRiBeY8lR4el637QtnTYh+vbzfpTAUeOkuRY4C2h7Cx
x8Ay2wCSVOfRyj+M83LiOEsG/ZPrZiStV0hh6HDRYH7H88wVJktbzM6nBMCAkWhDmNLkJu2SvaWV
59WZo2Xh1Tw7atkYQsojGpMpdqu3M6pd/gbhZnXN3Clap4NqebD39duFqQq8sptoO0jhLGW2kwe9
xRuKptuifdHsZu+tbgyFktBWqXfKNoZvQH+Yy4ciRBSehONMPDIlHsJ0elyh5qqIpWT7AgSNkNEE
d81rSBu/bX3kttJzY9SP0+zea+b0OKBZ4vq+kI4CLwGQcOnIctn8Z2zOULciLDcAOoT4xDLsy0Lz
/pi9k6temjKnCpo0vM2Q2nidj4egyQzyBMTSvY2QrTUODTkFVRamYDjLnCl22ufRUcVZsjtja1TY
DRo1a2pSIzv7nDqryQD/e+myJMp01V6QLRYyXXyAcBOvFIqHOmnAZwJgz+S395mGklnQ5lEejD/f
vlobO4FQEkCD9zpaDD1mkHKJ09mIMxX1g/Q6CkCbgFS6Ab40sXLiGNqcmMOanWfdvSUreU5q/0Mz
aqHO0jMYAj4mQwesqHsuyzHWim53fYTSmUTmG8ELDhVAe5f7UffZkuhlwtcse0Dt8cyS9JD41nsu
KHB1ehyFiAKL6A7R/TwDAztlZ4ssKHP9melvj6gSk5LBYFeD9ACYL5TMxbujLVJmm32FrgoT8qWO
dlqH6aCVs8JVSPY5zLhQL0a4B9JQwa2mYMCqLRNzls8eitkz2IPcKNUe0/HXmxcHbCqgCII2ns1L
85eLw0g25S2FYprZF6eUWQdqOJE5uIoqi8QnIegGBgAEJFwfWTBTGzY4HcCpcdb8Y5odVKV56ar8
+7xICWhmc0HNBc8vooF1bqHgc/zJTOPtwcl2EGIfdwN8a5qX0MkbnAGRSQChbPC2NaoYSJaZBDs/
aEqheAGohGhH68GnNiPrei7GL4FW7TuWRJVN4sJZQwZuRaN8NswutPPH63tBctVe2BXilrQNJseh
WCQHjXRZm4F/7lPSnpoVdHaZ6vqQ7QgLgwPzAnb6qxcmJLpXrWOT9gHlnm9V3URDPn16+3gAcEWH
Ff5GI7VwiEbqTqZrQ73NoF/7sd/pALwFP4Arj7VK0WQrOa8e2tH4ixkJMk88r53Xt8CGdykUIBHl
+5D7SnbriA679R0lZO5EXYA+wSSA/rrLA2unNnLxLVIZ9TLsytU4jgDTBJ2zuz53f/PQQpr3wo5w
0zYuHUmbWkCdLtp9ojlR19f7WR8OefcEgpmDZVSRnYwRQ4MXyk7HwSfR3KraALhfuPYrBL9BCyhp
gQwQtyO1Qpu2UV2iYj7fluuXIJnCUgff1Pp0feh8ZFdsitixYjBqQK4Q2HjugEzBQ+oX0TzS+7E3
D047nV2qSBRKjoKHKAOEQ3COr4UAp6boaEPQPo0dFpdkiAfVA1hhQRzS2BUWs2iAYCa/B4g5dOnv
d8wZYA2AqYEDFi+fy125lBaZkOVJz0YDLsZ4geCKEQflx246TO8AeqEY8M8WH+wmviVTAHVCC2Jx
ybJLrVuverZnRaZb4glhAulUSCshmBBrQ7OJ0kMWOHiGTrdGsa/Ke7Cq2x88VRFKui4bO8K0aaOR
2gkvc1rB40ogevDj+rKoxiFMFYTHW3Cq4ft9vvPMY+9GoP1lv4O3Uyrxng/8z6FlKGoJD6dO6zVI
T9V42bheevSX5DOZ7U85s2k4LdQ+FeAGVFzGsqHhiQMdR1yRWCzB5KQ3PvFmBLCB06QP/hKkcQaf
xUlvu6hga7APprL9c30+JXGGh/skgNQvuKNeRUv9YJsDNGFgFBJ1pP+B0uKPJFXcJVIjSCAhlY+Y
HX9d7u/BgP4LKGHTsz78oIEWFvMnsC0ppk+280BJxPvSkPzCtXVpxGlm6g4LnjdJMYSzQ0LV+0m6
PnjQcmoqhMliENP43qABYJid29Cbb/Pg1u5Qafny9rgSWRaADUFqDbCI+LbwWrRltEWDt4X+UvQ3
Wff2hiMkA/4ZEIlV4WzsadVrpB/cX7m3S+vIKkFzE5pVNDvx9d0lXRM4TxTaMSLwdVyuyVhWQzDS
FC9q7Ubb+f7p+udl+wpd2vDvqH+9Ln5RKE+MTedrHzoXxDgLQT8MWInuxilRtU3JoqGNJbHyBaly
i6YtKvi8ZW8dHllNI4jdhpXzdvSnh8ZmkN2h8oWGejE8WPTEZQuuAj+F/hPY/P3bbDUaRVwsCwg2
VsTbs3aqYKx53sbzqxfTYg/t6BxN23lOS/+I2DMKyl9vXyoXxSSehPLxZBJOZ2fSrl9cLgBDD3VG
w9SMLFsxd7JFQhcdMocWqiKvRMvdtS0B9AL+wRzX0NAfagPxlDeEvrG7PhiZIVQRUBf5q4koxgZM
q6ZibmEocchN0qZJmNnaAby1cdqu7yiM4drmqQ5sCoiHCM4zDVwG5gO0jbaGGUEKzns7fSsvs/4z
wEe7iT4CtC84TEdz++SAHxqsz+wdbgAWwKhlA20OlQIhI7SSNNHa1EbnawECbb0JFZtLsh6ACQDN
x3Vc0MorjCB1Vkp9xnHs2VKFFEe0Nb3IS9nvfvh+fellT1mAKvnLCNsZFWThgNZrUY6JizpiwpI7
v29/O90YZeC5R7PjMU3XM+uLm4DYO9oy1XOdf1uI47e2RS/kVnNupy1sryi3WPNdDZzfpN9Sbdo1
zkvX55E1KTyFxIPDJFLIvNWNZ2AvN0eF9EGQVki9djk48pfDrBfR9RmVOHFwMGJvIO2OORUP09BM
wRwkPTr1PCdC0BPakxNXgapeKjWDZg0uuoloR8whoyY453q5Is1luTfGaES+nxwzO1DE2bL5QvUC
GXeuuQmh3Mv5AkDDbTXO9Gl5xyEFrbwiypF4btx1YKH5m3h69SypO0YG7EoURMo6crpDwo7gCWOu
H7YgjqkdT7E6kqDHR1IQ73O859AILRxdq+4GfWisEs/VNlqKEhVtcK+YRy9Lj723u74VpIcLvSK8
Ix1luVf0mC1N+q4IuvKst2moQYosq4IwYwbc0hSaYNoPRoio/K4d1fPob7O7eLRQGubJjgA1VfFY
IynpZYOJHkJgzbxbgJ6qMOt7+5ZW8xwi3VPHrkV8lKPaNkqQX4SMxViGzJmWG9+tQTznNndJ3hd9
SDOveAIlyYBmZzfYda3/O/MWcjNO9rwjiF8VAaNsY3OoN2dbg5cVI4bG9EfHH0iJW6/82NoLsEw2
rolWBWSS5U/QIPafITFocMuWLGD5Ks+dG8xhq+enocvvPLwkW0gDsyMyonf91MQzNDmMtN1rTnUa
oOJ2fY/IDhhQVEiKc2o59KtdHjC36VIGOp4arAX0MGXaMXtHARBMwP8smJcWvJmM6+jBQtWGg347
qqRrZAuGCAjhpI//8Cq6/L7Vd1aF41afx3q96auPPuggUvPnO6YJzwcbqHJwZ4i8WMQwy9ryk/rs
ME7CE1cqnIvMEYHU+z8Dwp2bd7aVkRIGgELZj9W4mxZIcOC0/EHd5mbq9Tpcai2Lrw9LViFGdgFN
kFyxCUU6wR/NwCB3fhFU4J5tI6sIotQF31T528mbkHo30GwO2AfXrfZe9ysH1Oe6ednSba0Lm2+s
WOM4iYeGM3KX9MGuttK9P6jAFjwWFn0RqK5RxUCSFwpu/FdsAjLgHn1IH6Q1cihDCEqjIzRMT0nW
gSekMk8T8gIlr3zb/s1qsi/NYt76c3Hfjunv66OVhVW+zzHSvDEUrvHyd1DIGY912WCjdmgStoOe
7LSUkh240MYwS61WcbQlswvRD84nC+gU7jc+L5txa01t0SFoG5R5mwjYvSj3ngz28c2DgntHxoOL
N8NxC6c70Jt6XmZcoEMBwBFweiF1oUcLjewQOpPXbUl81YUtYUDQXHbqJPHLs1Hv7SAszej69yVn
EMMAywbPsULtT4hFrRGNds6MVsHCesoNZ5eQO1r96ar7sf4GoU2FNUMSfm7NibFAMvYASScw55uP
BpQyu5MBMtesund0CFjP9/kCJZXvxB/DZXmm6dMyz3EDWd/pO0v+NO5eC/5cH790fv+NX0zSWaO1
MrT6VueZ7ddHg52uf14xvX990WY/2hYUf3qtrEApokXB+kh9KDI9svYpTT5X+rfrxiT0QIgYN4MR
NovXGANzgxzWcvSRr1/79JYs33TtN/Fvh4SGWnJbtUOYUDNqiw8VPaE8Eza2It6XncHtr+BTvhlz
ZyB8wdVenbXheSRhlYarijpD4lYwUJ4ScnnJ2ePTvjGxeC4kagesWumMO2fV9o5eHcvA/AD03vH6
pMpH88+UcEBGSFw5eg1TenVbF0O0QP5ERRMkiZCRbABMEvUrFJzF5CYgZCRvHHhr4kPNzP0WTH68
3FXRkL5cH4xstyMOxwdtNNwBt345b+Xs4ULzcfVVxZ5AHGt3/fOyZdl+XnCMmU1pb1oYR1cc8yrW
fTCeAnRwuG5FtiKAC+H61nnXlVjBxKYIqEXN8kyyWK9OUw+lZ8X9qTIh7K8qGFbStjDR5nZcpfct
j+XfIYCKHBM6B4AgR6eSLna/6Z272JPh4cEQ5t5dWr3j6uCYKty8eAwh9XO52JpfjGhDXRBskzGc
H0Bno3hISmcJbwZgH/GKfNUAaY9D4XT6hGdDWkNPSY8qdme7Cm8iC9cQI6ItEc9uVALFjjHdMNnS
pJglQvy70chPrQ7stbNGBNIByKNFZqdBczc1wqJrnnu3iUzoS17fcrKNDXoASCmB4dDF+bmcys6e
WjJNdQXNhVHfQyDN2UHBoD6WNVTQqMua53fYQ9QNICaeJ6DquLTH7KCxe1LV5xwzuiAzc2DZVxSq
rlsxZLcTgAb/meHD3rhR3qZhBTOoFYrJu5tqN/TT+qEqs11je7cZ6Fz0rIwbpIcyb72xiHliDdjq
bfbdocULNauHMSc7Yrn3bud/VPw27oqECBadO+jWRiMaKDrFbC9PkZn6klRnZH1/uh2liFzR+TpC
o+QmLcH5wUq7DDt9gaaOUdy5Q3cAHzZT7D7pwm9+hXCXGXqymtBNhMNcoO77edVbaHcO4WB/etdw
sb15IyxWXTisGa5nYnVOdbaW4l7TmoNeGQcrw6VdNATimtmDO9tPvbd8KOvmk7uoAhX5QP+zLyLu
qmwBd0sK+8H8bM1PqRXqPRRMFDtO5jFQWMMt5/GzJLruvK27jtplg1F2kUUfGvQz6/n++lyqjAjO
e7AhyahXeXNmzo+GHjX2czUVrlV2YXMOV9SJAWt5VWfthiXw0tStzybK7Xp3t2hBpLvzUatuut5V
jEcGVQSU9J814VoFk9psd41Xn73sG0o7aJfKIiTJQ2ah27zIorQHvXB9Y9v3aK5VrJjMRWxtW5cu
gnQ20WsTtovRCWv7mQVZBILZ0MXhG4pPqM0pLhVZAu9itMKR85AD0LPer89QAN7PA0g79Wdjbnbj
+OjzFvFuZ9hQcxxV0raybeO4ZsCphXS0Jws5Fda3qVetFDkbNHX41s1SfTdGFVRXtnGQ8MeeQeaG
M3ZcTudEvIEsKTxut/bPqxPc1o1xQ3UX1azZO+WJCksh3Ttbg3zUGxc/gLW5nUAMfh77fd6FIIxd
rXjwD3kJMtSQmY+Ve6QqPCgfhei7+VXNy53ohxcL0Ja7jhN4BAC21qLy0Jq76wdc+nlgDfj1ZJiv
WnGCyk4H00VbUQs2sJrcd8PxugHZVuCgxr+pKST7hVWqXBrQNQemkTlPrD1pw1NSKCIK2Rj+ekEQ
OhpIkHB/vFkX2tK58C0IXJjNbc2+eLkigpWdWwQq/C75q4QpRPrJnJttxjCEBmRire/EZNQekaBB
t8N6tnq2q9f66fqs/W3hEJd9a1PwU0UF1rkuB2wWRO77qikjsPAcUq4rPJS7EhS8KbLcY13F6HDa
t122T9w8RkoYiWC8dfzm3FVrlOPffNre1TS7AwXJqXFIjNFEGc1+FXa5y83xloImTau72B8pZOSD
WyvxTp3t7vR6ja+PSboTLHgDFy9r9MUIywSU9gq+Xd5SyE5ju/PaQ/12LmowRyC7imcLPAIQQ5c7
ARFs4fg5QXfvGCPDo7mK0yJ1ARsDYunUROdVygDRPbuOHzrWaQEBrUOrvas9Vt5uGB6p9rMHuZnu
q2ZPugn/DU3M/lnQXEITARDIowYO/C7svY/pfCbDOWlpVKlYR6VHamNN2H51MrlmagKFXlP2TLMl
ZmWpevJIUyzbyRTuQ3cGMDGoUcxM3PLYDG7Ieics3T7Mc/vkglOva9avgD98ss1uX9T+Y+Wg08ix
omwGd+Dkfr6+P1Vj5v++cSOsRL3I57VVLwdrJUVdaVXcx9ITsJlV/u8bC+2cMHRj4FAbwxQuyXGl
T5YK3K3aJ8Ipc6mWm96IlStaFiX2xwVEdWl1Wkq2L9ufRqCIaVSTJtz0Q0kd4iU4ENp4a0Elo+gU
iThZKRBnGq9u8MH8rXpfTlpagNZ3hbL4OYWOPeu/JsVHJBP05GE2Hhv24DtP2jqEXfmJkS911YVV
u7Ohjm1bNKzYoa2+Gu0POkO2W1FaNvhMvnLRmx8mOJt88eq0W/DDSveBtUXsAzKf9md9OZnDEhML
oPb2PJo/VvJLb76zbp8lf4rh1LCX6/v2/3OO/t8MgdDxcobQ+d8YeQWvV61G1Gnuwwx4X5gbzd5B
XLJSPRzA1ZPafazN9LDSIbLxc8E7fTQS/Qa8Tr+u/yDpxEDQygE4D9V98WXCFqiYkQWNxMMyhhY9
odXgOEEdbnAUF7/0PG0M8bOwOU/rNNqrMaMhxzaXmwZ16aHpb0elRIDsSAEriQ5ykJABnCMc27nQ
kiyrcP8vjhOhs25wp4g4aQgxJ1BapocqUTVIS/fW1qRwitclS/u1h7evBhbl4z7wv83IQ9Pgscz1
aNbRp1Fm8Tx8nfM9uoUiU5t37vQwtAi3A5UEg/QZAXEvB9TKwFm9QlEYgWZVhPckNeuXhRygZRnW
03EkHxyWh4x8t+nXuTxf30Qyx7K1KcyAa2aVwbhjcYL8SMJszY7XDUhXdTMowXM17ZAYa4lBORPZ
od0rashL4GrhOtDYsJ/H9HDdnuy5ghAS5PIWiomvGErpMBazt2AX9SQ/sG6Op8RBgWa6d3nbSGkq
hiefv//MiZGKZbJitE3sIHCNEWDLmWI4srPngdgd5xtoIfCDXJ69pgTjv6fD6ZjA9zrs4KALOG/2
1+dMfg42VoQQAXvZHkfgGs6EofqxPNnubVOXBzDQzP1zw57s4kNi3kH+NPTIRwIO22R4mum+rk/X
f4h0s2x+B5/tjacBF4apJRS/g6139eegiNgQ6tau9+9cTzVm1cwK7mYYdXMqCtjKsu9a9cicX/Cf
ef61XAjUAT93zpkuB7f45ncH5pGQN97aKmZEaaALZS2sMJLdAN0LE7/SZtVakCOdreZRp5/0ZYgK
eiwKJwSVcBQkEJTz7NB1HwvVuZQBW/Co541OAJRYqD9fzrW/kjUHkR0akKqp21Hb8J8oW74VDqlD
tNb/dt2u2umZkewdlxYAShd/8sXsn8e8+TEVgyqJIl167HJUFbgCsohw8aYZtIq8aa23+12X6ucM
wpYaXmF5X+6rvoxHpnr9SUi0DUzBP5vC4YIX7gPioUEP8M0HAJ12rDR3VdPvfH3Za5TFdl18GOrh
+1wkR73NY7jKmND8jllm/I6dv/kpwmq4PjObib8E7MULQa4d5Vzrrw/dvNpN/lEnX67bk+7+jT3h
pBkaazRmwk3qA/w++suhnvNn8arv182oVlU4ZD7LJr0YedzaHxsriKvxM6HwYEkXpToKbdhr1w3y
aFCMFrdLKtxnTtNRMPvDH+dp85x0za96nk9Z0obNAtJfm9jR2LAdCieKe0BqF0lw3UK3L8IXIXnh
a9ZUQdAE+aNsvDeq4a7RyQsEDnZ1Vd7qWnPKyzX22Dv6FQM88U0LuSXIgIioqtYD7tJo0F9sBuUx
X9tTB8weBVaGOI5iZqU7ZmOKL/XGN7eZ0SZ2hsNiVcuOGdqTsY4xK2oF2Igv0KsFRDeL5+jo9HxV
R6pnmtudDjNlQ8MhvzUBpah3vQrlI723N2aEfdIso0m0AGbMhH4vNftP0XqKkci3xL+R8EhlO2FW
mtTTCo8GqsX7zMruTDJWobY4DAA7NAhW/Ze1XHbtAtnQ64dANjiMDc1NJlisgLq7tJyC3ZNNA2SC
nL6MINoRJp0iLJFZCGye+gE4Fqq3gruayFgYzAbg12tO9IEU/+PnBe8U9FqB5AQ+r9Xflvx7ogL1
SH8+J9sEDgOPDbE4SicNP38FpByN4A952j/iCCniC9lxQa3/PxPCENDXVlmjAYC37ce5E9UsylSz
JNtgWxOvlrml+eiMiNpochuA1csjDOrcy4d6GSPDLn/jGv2gpX10fXfJTiikLnkRFlSLoPi73F1t
uqZ9k63IJ+XIyq10Z1njZ7tKHwBuVkzia1PIlQMTh+4JQMrw59JUA60OEEdDlQ5bELjH/FuHSGRI
vMe29d34+rAksRhPzCPMtizwyJpi1V7L6zUouJYS+Lajdf0F+EO4LkWotYdh+qIbBMcIuR433xWa
6iUqHSj4El0EggFX77kcqDfS1bQTAmEld0L/KHDMkT4R64AIrTdCF3w2Kouv9ydGi2I99OwACDTF
2tE8AS9NTDzqu0n7BFJoKOGWSPQoUgfScXGOdN8DdBWdPJfjSqY16SAZAbKzBeqlo9PvKsO+qcbg
zlxUxGqvjwNGtLElnDjX1dbA6XEXll4BbnzttqzNmC3BnvRJnNf1TqfdY18zRZundIi4e/mOgWaR
uG3W0iUumB7QIDnacd/M6FdNpzDI6U3ZQb/v+iaVrRr00lwHMGBk38Wcz5rMxGkb8OaY5FewAMWJ
k+5piljmtXcEZRLSD39JEPVXvSlmnxhdNiCx5CzrjKRWh8Jbp+KDkhkxOayeS1lgDwq3o2eOy2RT
BEyt/4xOi9CpVZwDsrnaWhAClmlyysTjXCUraHGaFtV7RH95Yu3eviSQKAN41wX/8CsJttRM0A4x
onK4JjeddmrccJ4UHlfqmrY2+B7chBIg50r1niKqXdoinANITHyu+yV2i0MyTuFkPib0YZmH0LA/
Xh8cn6PLaAwRxGZwwiqB1tGoVgvPksLqd6S2w0x/ydBwStYSZUwGAgLVvpCv2r/pFFZNo0baMwcW
Se58HOv+0LEqLkCRpjhJkpzH5dCEayzzBuC8Fxiq60OXftSLJgrao2H+ybIffVXGXXU72Z/RQBja
1k0NSm57ZJE1nrzs+focyxzIZo5FHEsLSTjIoKFc4el9FuqT82Q24/8h7ct64+axbX+RAM3Dq6Qa
7ZKn2I7zIjiJo3mgKFIif/1Zcp97u0oWSkgO+gP6IUBtk+KwufcajkVXbhnRD9djrXxPb3bPZCRx
PfTWUeX3Ik3corzvqYUfo+Zpyzdnjf66tm49/XLdZpQnZmPh+Se9uyL7UPUOhCIs2PYXg4NYXEMD
pJ6w/b+04eH6QFdDz26eDPYmuj5Ms0pCtXkFVjprPwbvnru40eM3Q57gvOHbQ/l/Ow7mcAkNVKEi
VTBkr99U/KHVDiNbGdu06a5syjnbjmT/b1MiK3opTP2QdOk+T+GhzcqQOcrKTlk+qf//jvRmh4/0
RiM2Xcwk1/5At9sX/Pv1b7V0cZ9vgNkh46aKlXsdTlDFsP1UgTJSD6FanvWQoUhvqOJGzOzvB/YP
OM3pCMADGiU4jG8O2Bu7JleqEtmJ4aa7Qkt9qVU7ynkw1E0g222hH8skC/tqmxs37rDS2Vr8jFAI
0KFAgWr/HNksNY1aY4UDyFOjMQ7tuAga8WQr3wSAoddneDnU1N6zJg7lHKpXJ3nLeYuXwgDhOD3o
m7BJdqkdWms9jMXzBQqW/xtofpaZTqaO+YQMiCHoor20DfcnAGKV3OrmH6d5vD6shY4JPuBZuNlx
RqwqL6x68rv0nsoauLaqgUX5s90eVeM3dU5Vvh/IyrN+8bg+izk705IGfP8GVTOI0Do74t7qxPJp
f7K8lbxycdudxZkdYMJI1RR+wuhiW6gAvpDx9/XJW/tUU/yznMLM8TYmOsbRjd2GtbpvEGfjcC8U
kJXp9CZMO/S0r8dcvNzPxjT9+1nMRHhuXcNp/N6y9yl80sugMsLrIVbXxOy4qonJ1KzCvFlS3tVu
Fia19UCN7AgRwbDCW7JV1R1a4HttFCuxFw8ySCehgz4Bb+Zvqho0WRXaizjIaho49W0CXBCMYtKn
OOdbN/7Z/L1FFNY/2nfQQkYLGMS5y/kE/llPgV7KoJuhbZvKex+qPESd7uP6nE5L4cuFg17BRIOF
w9K8CQVRPpO7NU6qMm+DwXtvnRXo11qA2ThareHSTnBp9kr1Og5wPreTn9fHsLjcz8Yw/QlnS89V
8oFWNUJYlvCN7NGV7i7hxG/6By1/Mce1/HLxmDiLN1vqeeHIhDaYM6KjuvQtHRR/8LbrBuuLU4dS
HKScbfSC5pWDNOZ91o5QgchZAHul2N1dn7fFLXv2+7PjTlH7XMCvEoAoN0iGR7hSrWX8SyNA1WVK
MCY9hLkCFE2hkOkJByPI7E2DBotKw78fw3mE2RiYUFhaCBe3ElQrPAzENNod2prXoyxdsqCtquDG
uN6EGL9cYZK1Tt7XCi5ZaH3oHduI4U1JqC9NIyjoSiK/PGn/DTb9MWfLucGrPdcpgoGGv+2yO8Vd
sxxcjIAyAKi4qNx8AYz3pPW60rWR9uWeXzGg/Dr/+oStRZh9ljYr+4qMVnb/zZPPufNy/deXNiAw
ABB3RfPcg8jB5QzFDjRRE2Bi76nfKHsxBGiojmschKVTBTKROioy6L98qYNLk9uwloduVVZ9tBUO
xywLILfoF9jxdeIb+QpcY3GNuWgxodIAOtl8t3skGTJnQDyBhRWTH61mBrn7vdHMnbDfrk/g4udB
eXyyOZy6MbPkqgEg2hprlIGI9r0H3uf39Z9f/D6gWaP8Dg8XGEdcfh8SG0pZFvh5e7A2Sj+G0nQg
bp4FZFiJtPSRoJqAHF+fZHjnaT5B11pnKjICnVsBHfIgV051c9N2w9SEjNK0+IeFDWso0LlVEz4V
c1kNJlxOIHiJ2lYdcr9Ug+szpy8OCOW5T2OHyWbncuq8pozjqsmL+1wwFfSCEl3rRKJObFjobY6D
DNsMSnNovb5qALX/4DV0CVIrJptSwly7SrgMYHev7QaaDxsF4ms+eLgttEfEcJfZ7eDLBBzY2NN+
m41oQJRr2xDiyGARKd6IVrGhhqXC3DfexnJlhc/uGxMleFTB8X8owTsAMM9OUTIYfaxUbIgYyYJa
jTrzhynJygzOErXPIKjVovo9eZDCn+hyAl2AHFiZNyLKO6XFzQbDbNGpXQm0hT4c075RXgvTTB4N
uyI3JiRZ1hLhpb2F7q89OVlMMO1ZdtDmPbNsiBDfKymsUlT4r2EXrLUBZ1MJQzkIQp8FmU1lM5YK
kSWWCc4/UuS+i4LxYPzDRXQeZHYRCafLoIeBIIpfu9txjTm7OFF4TwIQiDfll8aIUXtQ80+7ArIh
Nj2qxIKBiVTylfxz6SwyXUhpTfZkDqrRl+vBFJ2ZAD4J3qmaH9VS8Steb0CU8mVrrpwNix8Fgl0g
YaE3Cx2py1COS5PBSq38XjVbsR/tsoESb+z4qtNm++vnxGd5bZ63A96IvQT9aRvKyZexjNKxi1Ix
wQHtQUOyJPZ5NTrGnWXW8JRI3cH1XaMegTKM2YbKGAXkkbrfMdVvqujrQOVmE1KoLx0chZtYO1z6
qtUaqAJ7XYQ7twsNVYHkT98N38sM5rFZ14kjuNydn6B7/CsWKo8hbdWZd6Ts31Qu0htv5FWIwo65
ccsMfE2TuScXjahApq5zXyGrCWzRfIdexvjYqbXcWQb7jgLUu1BF8agl4HrmAFPdCNcuNj3oR5B/
wuNOFD9VQZJdL/NJlAc4tlpIFPj08YmnXQ43Y6bfjo4V+72aWT78iiLIgNv7oXEsvx8a7P2yyvye
l2+qJ36kEHoJgCGR27R4qcZvrnxogJGE2soOkmtiW3QM1i+19NM4H8IBGC3YnFIO2SYRNIkVxA08
whzN3bVeVYWEgutpNAaY2SaKno1RNgHVe/foAuwWEPThtnnbkH85AIABAHQQ3POvmjusKSUrOJ68
EjofelcF0nxt+MqBvZSSnAeZLqvzTJSVOi2TNAdwXA3glfyil95GVjCWGZItvvjK/lmAYU+eb3Cw
1YHyBJtqFq/sMda+7PP7XO+5X2fxcO+lSnNobC++abCoAy0V48ZRdO9GY2r6RAl6aUGrjsMJfFx7
a5C8PI4oEez6pDRWqkNL2xutahsvMVT2vmxv2wD3Rngkvx89GZRqE2YqCEXF88rOxpzON7aHuiHI
arBV/KK+UNZxm5sdHjSZaZcToWz4htTwV+nKxu96075LKsZ3Gm6YW9uurZXbczbG6faEvzayT8Cd
ICczp/9g81E3HpI+Yna9Z4546jwnGCC7tPKpl85+YLmmcaJEi0fg5cpqS7cw+94u7zXxClZevDKJ
S1nU2c/PobulhraLTPHzIjuS8QiYsGNtebsxsl919g/LwgVI3wL9Fl9t/hihY6NCRgls/NKO7xMn
OdmQ1mblGkZr6R5DBxxoMACfsetnlzHLm0RjXg9K9oSbr8ElNsO0sbYKW7laPtuz8xV4Hmm2C234
O6PvyRDJTu5yNqg+U/RDDP9VS2QBENFhQUvfo8PecORm8Poo1Y1XOx0DQ7T7vqxCZdDDYVi7yWdr
8zPngerCRCFEBokc/HLNpLpK4yEeyvvO+WWaPzz2Ya35NS0deOchZmlVbWiCtLkoodz/3tOnxLvT
221cPCZQ7bu+zdcGM5vkEuKhqU4wGMsUvlcd+nFiL6/s5uU1gwmbMh/Qf2ZJApUZ1FtrCrUYlM3j
kQcOKjyZc0BfciXSLOv+32/z30izrFux1S6LG0QCoUQNIFjSBXkmjaMe59k2NnA/ZQ2cbpMWt6Mq
0G29PpsL3w1QZ+TD0JFBwXQ+UGhStZACr6ZXEyDeVuXeyjg/xLW1J7n9WpvK5nq8BeUoCHuhGgyR
KuhS4KS8XIuxAZFZjycjEGawjyvGGzt9VRxtm9MIYBglrjY0/U68znfIn8Ecgkw9tt0v13jCi8HH
NILunN1p7pqk4ddzD5kgDGnwFJ5ew/O+E2z1lDRJYhHV2isv2o1NvovMAHDsQ1Lz2HqP16fh67Rj
uqf3nIMbcdJ4vpyFkdiFopiqiNrscah+kuqthO52pRWhqr1fD/V1gV2EsmbvYghmd40tpIiKKgYC
Z+vlmwIIY9d5Zsk9ESE0+64H/HpD4a4HXxwVJmh+oN16OTatVPQUDhMyqoxtzsN05dZY/HkkulCI
Rd/uS3WpLYUhhFXKqEvKsNH+GPHT9b9/oUuOAbiTjhNakChXzD5OCcs31GQVEbHxzuzhuaMfFPHa
uVHRb6l5X5kf5fAgrH7lYFsc2H/DfvZwznLGVgIV0Ba5jIBzs73H9B/wdBDEBiQLCEWA+b44KfPM
KtM2B3q/6LvAJDdZNlEVd0r3sjKBnzf35UV4GWl2Rtu2YGlW5CDI1CApG+j/b61B/WkknftcwQEU
+gWN/b1znfxQla15KEy7DRlEBn/Usex+Og4BydjCn6eODt32ILuBd2KIbaXSF7wUrQhYLSggZIW9
AazdeU7i5HfBHIsFmbTiX9JTBYSYR7p1S8K+G5nzLWeNHrTUrneJZfJvlTbm4ybJveyua3T9TzYk
nO5tPAduQD4hzwrvSNAyG75/Q+zeZlU7PpKq6lANUvqH1FVeUqfwHuClUW28slF3pRhRHErqIo2G
xO526PhahQ9PBWPjVFA8Cnjm8gOnBcSo7VTBE5MBvVjqSeJzQHF3Bi/AbWAK7CQS09i2NGY3VTq2
h1yz8G4kXB5Ne0gOZoN7IJd9ulOwYCA6D7o8hQTClpdED5Nej+81ZPVoq4CHpJsCWW9PaaAbWeL5
zFLd70NdKXdp3gniW4PFfw7uUB5VuXU79if2uncTyOshU/YyN0IHSi+PaW53N1TlD6nSm7t6JOyQ
2824SRtAn0BOUfGSIyLgrdkHDiSV7mLedhFDM/DN0jPldwMayzYbc/5keopyIz0iA2H0zg9iT+2Z
rK/urE50u8IWOb6wJkWgCSv90THNfWhwP0LyKvstoba5pRJ1Q9c2s23VErrRvdTZysxqAs+JhyO6
PnDmM6p4P6Rei0csPA0AdwHusNHHQNOK/ADCjo1fGXjQjfpP1rg1RAeEDKXlpiESsz5QaqBFgmc1
04JCGYtHtXeqZ9l07mOhN/kphYaV36DjdFM7iXbH4xIaHHFXAQcCE6ZWS9pXUjG2E27pBCV06HdO
GVsnzUjAXgENAmL0qC0IncKzEtbZYM87va9ZpXMsrdp4V4Wh/NF65FFeDhEEGyTXQ1cVbMMbtd5l
TMVkDxVsM9wh36BEBycF0fRbR9F4qFuUHey40Y6Kwbqdk0C0NovxGleERgJCYx7oea7vbJMgqahc
a+Xc/5ozXW762bFpxkrrdF2R34HWtdW97yTbedCQj71f148XZ+FGQ5EfahtghZqT1PvlBYPiWjIW
9ZjdjUZqvxPLySvYJln0GBs2wx5AmYqZsbtx1F7ucZHYvhx0L2xt0h0drfD8sSoUGH7/QI0xsOBC
chq7vAp09taaKixtnX7DMhDwB9nL+7RSh58uxYrR7WxL+0EPYJSiB0QdzLsaL6Ud3ITHTT6AmJuz
ioakK5tTH/fGI/pEZKfoMt7yGAYhoy6H+4wpStjS8lV4tNtnFiojipk7IWccOq6Qid7lVct+sr6s
t5Xt/RI1XP4SglqrIzMvaLzYOAmColTnuVvdYvRRFXLYuJ5LgOUsbP5EjKLcG3ipbrqi/1NRA+4k
HYQLDKGyHberDlmA0qVBVWJBjJB9Ac5BxUskNrjv0Kz/02ea6as5H3YxhTNQWsBXlZQ0u6s01gY1
TcnDUIu1+v1s9fzn/QxXbmShuHeBE7j8qArG73iC9RHx0tZnTXODXHBb6zA9UTtnRfdptoI+g03m
Lag2ToLI86zXywuvkujgR05lhaOlnCBWfQ9/yiqIXbcA1UzfwoLnt94oK+n2wh2PPauiYg6qAJou
89woa0rF4lp6h1OugSwbGHU1FMlWNgiman77gnyLs0GHHeGXJpIeJ8DKC5ne6UNocGhrbmQeosGf
s/B6oMXRnAWa/v0sY4mzXJE4PRGI38Vm5tfVSu66lIqhRgd4Bdo6IPXPFTXrVBPwKVXSO2LIKBXp
c8kGDp3v4Y/Mhoc4tVCx1U+gdNzSdPhoyfi8MsIpO57NJYosmElzOnLQ0bwcIkyYchPyi3HkyEZk
fmpX3o5CfODZ0ivDJ3D+CO2elnueWyKkzCG3XVXSzdAOsAIdSf4G+r52gvV0vClh4hhIu02eG82p
Qo9jBXQwmt3Gsertu9iVW1wQf8CeISfilfSQ9EnbAamjldvCIvyxLqX9kILXEmi0FLdDCuKpDuJd
aGfOGKKkjVKt9IrxTeCrPMSCOw8QIk3+xJ3bfEtUZFLXJ2eOKvrPNsL7xYT7BZ6O81pUocVWL3SP
Rqb3pCp7ZGx+1tVhrBRwjgxT5bUbEhw5K7XV2VPtP1FNKGEC5gOe7pdGYkFKJ3FVClOXNkTSwfE4
hgxBraC8U1rernGqdDfGa4jkhSebPZVWgZ6fNKXmtBtauZQDQZXdlYZzauIU9iWx/iIccvTqcpek
8cPK7E4v4dnSsyH/NlnYgJCC+uLl0itGUtW16uCsaJ3m1s768ZagwrUZLKZvZG3lR8yCynFW6t6d
0dveDZOpckRbOV4z1JpW+bU/RZ/9KQyMJo3b6d0kBNFU9OgZ7aM0xr/uOMEy00EbCBAOBy+7+enI
rNzhhZXeOZoW4Kbyqf1MBBqvw8rze+ngOg80e5+QgigCtq3pHfNecwgalYCaXv96SxGsybYcNnvw
IZo3zwTxWrtxGUoV2ugrlgpboJVTfrYNUDjyQIzCxjOhFI3DaTZZnvQamqtYj1JBBulKqPrVfqco
PnpfIWTvA33NGWMpIjQ0AZUF0wZ83tlZWAlUpTPa4vOUrnODh79zKy1VbrSaeFHa2rg51ZKmT7LX
12yDli4CqDSqKJVAzW2qVF2uwFLwQnVjaUS6RsQuHwz9uYLe16Ojy+rgESC8bPRbYJBlt9skx5Wa
kszb6lJL/vz1h0XLFUgiFJQ/VSMv/xDNFcaQMGFEbVkes6o5rlWRF1bOZO40EdEgjIxy7WUAndRF
kYjEiepbzbqr18jRaz8//4iDMmbUgFBPz49luUfP8/r8LBwVF3/+lOed5QQNN0sNKD8nQv235r8h
9E7XPLf1hUsZ+ASsemwwnHhzrD+gd6YmqsyOWqcsYsgBKA5UmDIYwEEhYHDIxoEjwcNUfxQ7kgHY
jX5se1RiIBtplzzCytMH2dHYFtxpHnJFUzccjbD3gtTijWRIrHyknSjYa9YaAHI2+/+5u7B7PADs
VfBEZ7NfeLkcFIK7i4vOTwv7CVCMn9c/wCzEdC5cTM7sA0BYNC8LEPAix3ksDl33dwhsjAC+91ib
QPHAqgkghMvv69YABcQm0yJWwB8sp7d4wL9eH8FsCU0hLPCnARZC7c34Ak0SRqMJT1RO5KY6871e
SV/UNB7wAONsJdRssqZQgHEikZhMzyZb6svRQD9AGZBWcZQYEq/yy9RkPzMFhZW/HhFOL9CSLcjd
48E6O6u5joY33oYc+B0gjZosYPw11f7+CfX5pJhyoklSfb64MoKig1WLIYpHY1NCuo6lG1u97dka
4XJaQmfpwOesoWNn4gE+kYPnoE6t6+NBlf0QaRqrDy1MlDdpBx096qZvGrZe+Pezdx5uNnukcUAE
thGOkNxHRSAcZbIxrd/Xo3x9E2LO8DhDYRQdyS/cS53VDtNVd4j4MNmP2ztXRKY5+Hn+ToH09MwO
+Lhiez3owlJHaocX6OSIDiOEWSLiQFNlrLsRQcfOH/V7uyN+ZqwkzEuL3AFmFfJhaMCjN325yLHN
eoMCwBaZmePLl5j+Jan0cz2cB5jtIlsQZmKND5H6ArN639ya2pr14fSN50vuPMQ0xrNrBUY7oiwl
QiR7FQpgyu9AxijErZydSwsb0ESIB6ObBOOxWQmrVns3bhiiSO4r3m6EIczW/qfZmmpXQBADRGrM
vnniOIwOacGjlHpb9DJ8gbeEaX9cX1kLjzPgQeA7505lBijTznaN3bsdKTQwu2uKjbnNQDHkKIym
gPTcFBaE1F7EmszY0kI7DzkbWaYA7WskDY/EyWg2Q72/PqS1n599nQEPcaK7mDiaPPTyDmbpf//7
wKhPisc4o4EWuFxjrdvoGuivLGrd3k+nhsSaoPLSdp+MskygbvFl5o34DopGCbDdLErzZz2xw5L/
qMrv/zCKqf02ARCxjmebURaOMC2rYBH1kaYHZrtWw1ochI0GGTpwaJLNr5l+iCmUxFUeVTpK7ofC
2/b17h/GcBZilsOwzna0nGk86umRi33/dzkqzqupq4eKBf43YcZnU9RytXDzzmaR1zfHtqcnmz4C
U/e3Y9Bgow1TGSTz6ITO7/wRpAet7scxavsjWvmo7lz//a8nIn7/U30cGbAJwYDL1aoNomAMmMXI
hP4Wt/8w9EhSeYxNvinNcqXpuhjMwfXogVKFcsT072fHrwtT20xNqjHytPpQiZMHlppQM1/tLV+l
/zBzk1sG7kMkyqAkXwZrAW71cNSLKHlvjb3rrkzcwskIbDFAzpNRD7aJO/t9XRp1WXTKGKEfdm/o
DJJKbhtAFuQRzGzIyHbes1kUTwpPjr0xPF//bF93Dwqy2uRNiwYY+uOzQ2zkXWIyg7GIafpL2arf
QJD5MGi8MsivZ+VFmDmOy7Q7CX7PwKKhcv6oAqpKqBRdH8m0CS+vZISA3RHq2WCNoyB3+ZkKjfAe
xjEsSuSP3nC3qHlAWYSGEFEJ/yESyh3I1VFT+WK3nlCXKprbsqgwxI1DeBJwiwRph1SwHOkKA3mO
4ppOhwmraKPHr3q4C6YveLbWYy9uieGMNGqbodki0hCoFekeBi1xbrxBHzfMVgOzuAMGOPc7t06O
uW216LZ2xZOAEe8m1TPPb1tbbhpmm37MeX+4PiML+/Hib5y+zdnfaMpGK2vOadSV6qZIofdbDvVR
QivH1OpXUbWb6/GWvjWYdCjwQAdokhC9jIfyn8vRpKVRQvTG1xNlrxO+ASnx1JermkPTyTVfWFA3
Qr19ss2F8OtlsI5ZtUqalkaa/iGHj0z57hjPXNxrENitUU8+qoVysDpUz8nv0Vh53y7N7HnwaWOd
zWynK4qXMkIjWlM0zfThnTjD81ioXiBre2/wNR7p3Bjpc705MDtErReVJdgFX0Yci8lbzqA0KtWa
Tu1HbU+MDMbHOmoE1cjym7Y08jumQx0i66wk8DpAp6xOYwHuHmvlSy+dTyitINdWzam0ONvVPSmr
kqeyj7oBzAjaKncFLz/GdA33trSizuPMckU4MKP0paLxWJOTxvJQKZUgL9Ogr/9ST/4/84t8HqnK
1ESa95DcpGzdOO6AzE2V5CfEYqhfFHn6+/oOWZw3dAaAsbTx1J8DyGxO5WgLrY96j9yLWuyddtxk
NF3RjpojvT9H46IbMF36wNDNWTq064201A30XCSXG2+o5SbWgEWKe8Xwa2T9YQIwRJAYbfmN12W1
EaYjQ+BZNHAJWssnugblohpJScXUv4RNTn8chIsAwEBNALZ08ysB4OGxF1lBoxoyIuiR+EZyVPQj
t16vT/bC7QYkE142EIU2VNShLrcMtdACzzjicPV1rD60rl6525ZyhIsIsxxBgBidD2UFUOK4bcH9
cmDfzbMK4N2nTgNPZHjB2923dRlcH9nC8XMRd3b2VRU69JWNuLR9IWYSuBQaGHtaPObxy99HguzF
JHKLvO7rkR7XtUeng84q3uHtkY4Rrz8o3vDy8XqgpY91FmhOzGN6bEIdk+Gu0uGLfbtmE7X287O1
4Kk0zc0Y4xgBAzE9DizEWr1rcTWcD2G2GtD0qCpDmS6FNhK4250mBlew2Fb9i9TrECslKLR8K5yV
qVs4VEAowHbycHJ91f3UrViBo3dKocNbiQ1rzH4zqVPcJgacU65/paVQEHuxJkgEjIbm7U3Q5Uuv
0VCZ9rzi1knNfRrfdtbK5boWZDaPdTXoMO0eaBT3Ei4yr9R5z0CLuj6SpS10PpLZFrIdCmq+i9wo
dQ/JhLKw96b+bBnfTC/8v0WaluZZrkCgWtq3JYYj0zBzAry0qRUk9JT3K6f+0ho/H9I0r2eBuCGB
qVUlWt6xuFET69EpjJ/Xx7JwH0M+77/ff/r3sxBjCX9iQ8Gs2XgLJfXPzNACHaC8NXWOxaE4Duof
KPEj4Cy/0HvipKTEVipyYR0T21LDUZHN5vpoltYAyncgLgKJPLWDLkdTFSDe2NmUr5aV98g7dHO6
Qm2AxjLcsM9qcuy57F6vB12awvOgs9WdDnk6xjW2kFbeAqGSGgBd3Cr18/UoC0MDz8hBlRqYFNhK
zlLxLi3cBP6OLMpEIx90Sca9WjbuwYVeVMhd0T/kHltjNy0lqQ7yGiAgQDnFnM42FVexk4SG5SGV
B5u+d45902XDBi5QARhnO2Lz0EpPcZqf4ngMO7ny3lk4OCDHjnYD1KRxWc1XTcM8AIPzvouoUftD
YsJm7UVfY+0uzCyC4D/ciiboVbMxwpNBJRWpuijVvGOWACLXdrdshEFfeWz5aooxrcHZMwdCAp8g
c/AA0G+8XKNmNvRVkeRd1FX5g1XGqq/nHQxCi3eLTtD2osj8hJvPFe/8zk6DsSL59vpaWtiMUw0C
HAT0vswvxDxepnEnKo+gmZ3/8MhbNrA1uuWUx38Z5X9DzOkHeKBAHIo6JCq0Peqqp1zYMOp50mXu
t3b/aJr/sFLgmDF9QmjzwNT2claNEozSxDRJlNXtu83GZ87okzIifbs+dQubHXsPv480fAJizL4e
Gy29k71NIi038Uo7Vewb6x/s7O16mKUvhOoK0lygHlAxnh3L3AM7yEk6EsUPvXVy17yFl0aBN96U
/gFC8mXJi5oN+BIEs6VsBnLD+Tt1AAtfOY0Xdi+ADADP4VUJhuS8ogK+eqsKwOKiqrSOVKGBZPAC
KsaVMAtLbdI0mSBaAMTAZfjy0wNKXdSkTFQ008aPNjXf4t773TP3tqqU2Beo6/ga/im4/oW+Rp3a
1GgaAQjnfIVpZU7vibEVamRBFzmUTLoh0RXfTkz4QxRJIGJQoTWxVn37ujCmsCjAoyajAQU9YSTO
7utylANR6lKNWi00n7m2uz6qz8m63LeXvz+7QfGwxP3d4vchB1r6kBGGEz1sbEM2lhG8ADdFZe7Y
0P/Ss+Y7XjTvXSe3rYIijSbrQClpHErN2o7CjSRTfC/VITdm3uexsc/d8aHlHvaKTk+lJDxUDfYM
ZedvY5IEetLuGpdvNJ08FXUL4BQHLS4ZNzHqcD1w/AazXzro0uOtnaGX3r/Unb0vBiuwFSPQeu2m
4HyHm3OlAj4HneBtC1LJpO2N0iBOynlfxattN7eLARPepsWdLFx2HBqqn+pR4/sk1bVH2H5m3Aex
oLnzTPWXovTdk0gKz/Zttovtk/wxpKwtQyVzi5MX23Vot+6vru1QM+2ZWNkNXxfI5585Kd076NTM
y0qKyRoHkFD7JFwwbb4n4fUFAs32Lye7jRYQoImoyYJL70zX6dkKdEghUtFQ61S7dhWQzN1YufhO
mQwMbdjAwiXzNZKEJEYPtTa2YBkerc6AciSpD9CxfAfVwadjD2hyFz8ojnsYzXxf190BPxc2MBtR
iyaAHAJSN9FDnxF6SLVbsFCMeIB3bnKn9n1xBJ0QvjCl+aEL9yZpdHS49e6etcltVXoPpOmSm7Hp
TixtUDXOyMZuwBvJs11uCPYnMQgQ7XFOww6G1H7rQKi4jofd2Lqvdd7ngBONUTrWg19odKNo5Y0+
JR+ZQQx/SGGdyzxJDySD11g1mLrP3XLYjLAUD7OiCHVH+eO2eTCCnuNmNWg7DewvFeI7HNIzUDLK
/EJk/TZGvZj4cVq+ja59y+v+NbO8cKjdg9mSO0ujJyvPQ8NIH/s+PYyxejB77yaGgH6W0yOEil/B
sT6kpr0HfwgSvSyUVIbFUG41Wz9VI93nDfnmxN1BWsmtTMttg9qU7N+aRgsHam24o5zgLINzefA2
1tDC+FPsG+F80+z4sUw5+sZep4aFtG+TTkUVkgzvZq2+NsYQol4a2ZW+IYMHgksZ1cWQHiqFA3nu
jhs9xUpw9U2aWT9heXVUk54FtZcnQS29xB9FmW4bLclAScgiaeSoOA75YzbS0OjNn0ptOVsT3kMh
sPqQaRnqH0bidEeS5TubwdQN9Sy7BfvHEGHBSnNnJdXBdCqQOyCwGYCmBTCyG7/nWdody87TQoeo
QJA4Q+gC7+2DdpYGLGl/jD0Ew+zYWsGzLmxByJ4BqAz1MxTr5kTCqm60gRbcOpmK90NrmteUr2zy
z3bR5TFtn4f4rFycbUK8ZMqejsw6qR5Vo9jUE0geDvqrUJpaBOCo4WyyjFBTtzEK2CK8451+ULNc
3XTVH0N1dzXUcRWoHY8fhIQ9FtWpYRRdUYPYUaV24O/YYW0IvoHntwyhFC9filyjtwUcZVbunK/J
CAqbFgAqBs5aPDZmJeEsTlVAI7TxZNttQMeIwl2qa5/cJF2Zta8n12Wg2RMKeGnL6Q2JpE3uG+UD
nbH07ysd5yEAk7o8HJk1cAVP6PGUwTYh/9aSLen/uphyGWJ2Q7c1OIftNF1FtZFwm1R+qGvpoTtD
WuLSw/JCyVzFg30ircxmCnSVNgYk2DrZnVMDJy27ne6ypxqYTi01Ag+UJMNjRSjV/yHtS3vj1pGu
f5EASdT6VerNS9stO872RUicRNRCidqo5de/R3lezHSzhSacGdyZuYABVZMsVhVrOWcedr6RmjuT
z92m0bV3s522nPSbOKdsm4B1fBYCeDK+szjHO6HlL5pTfu3HZoMhteFuHosCFjahj1kHdutp7Oot
bzHdmM/12wju6ztHy8Im1r7pNY8GTccQ+PDCZhJpUwnkN+sxHYb8OJqCgY9tenH8cit6a2/CAfTc
+hrnxXef0S9FwuwAM1ZGaDQNggZ//FFm4rttdI+mzo+TZWxSwY9uwe+SYQ5z6pPAA7bN1KXfUbxB
KGPbjymKe7spSSpMcJqPHVCm89b6pE82fFkdWoKEetPsLCqQ6ELvGBXGA67mIc3mV6MgdjBk/iMS
s6+3XfL1+xWHhUYAMKahC/Qq+04LD2NMqXCOdicSOLOaB7yfXnozfal0LYgdR/EGug59l9Zz1Ohs
lOkwNC8lPPIpr5jIZ+PozyUQVyj14vupHLvXIffBR4r5YtwsOnXHsp2q3e3FOsvHLy0fbLSDKXok
eFZ6Kj0T5Qu3j4cjBVTbY02a+s1lHbvru5qEAtmlPWbq6BtqmtpC5+H8LNB4dY8GH0CPJjq5B+lB
sxCQep8xv2s/NmmXg7CaF1ZguxRDPmOd8gATeenrVBbjNk/sn1VjJq/9VPE8NHmbnMZMFy944dtb
u0gA0oASjP7Z5ER/b2PgHlqigxvGPQBa8YyOTKD+fYt1u9v5leu/ebEJAzRpJdJs9fDozm38aLVc
PNQeTY+altYbpJi7w2QAglj0cQdMAiN96NsRaF9m7p5aEU+f4tgZ3kTJYbERB/82zBbz0tDMMMW8
bBzU1NEYIPydJMxi0QBJdCR7oEOrcq6LHZAOAwYCeSHYbgD8yFXDPLMGvJI9cSRt97Ux6ba2RejV
ZFPCSjC73s1D/JIqcY1XFBAQr8vDVQesydXD0mtdzUvNdDhWaOLp0z9V+ka7u4KijIghiMr+odC5
61XiiQx9Q0YRD1q5koj3iie8fprgN7Z9/yzYHSDQLZVdv44aUApeJmAw4ArLKzeJ1a6oeeKV0zGr
o6l8/nj7IVpebJBUWSBCx+2REhcDKMS7WofbYP7AwF1saYHRJ190B3Q3H98uuCiMMaCojfZqyUEB
i5W5Y0LGozG+euYOSje6D4OqHW0lakA73X+lSEYIWmHwYblLLkkDcCPuC/KtW9L+9tvt5axEDReC
pI3TasDlVjoE6dUfPCAAlqnrX/43EYtqnEVzo+mNdm5CRO6HyXhsrVAbFKOv104Cx788YZem9+sJ
1C63YqNjy3a1MG9gkKQ/6i5s0WmQfjycw3CSDTlIVZtX8E7cGPu5qwxxzG1X/EqZPu9zEEU9pxkx
t4BhQb/97d1b0YRlGgoVaLyd4AmXpZ/tXlFVjdVzRxyB04nx7vxgYVklOhfiUUU9vrKLaB5D37aJ
lLRteMtPOROl27M1MXi6o2gd827u03lfcl7/YtQfX0mnZ6E7DpgXvb3AFcuA2ZElW4cWJRhZaYEk
HvO+1gpxtK2m3jaTru+EO2mKc1vRcxu9l+A/XUY6rzCObdL0QOjk4mgMzXSqxylHPicxtlNPVK0Z
f/uGJL+BiuNCH46EHbrJpPgy140EQzq5ONJZZE+CWVVgABrnuXfq9kT5TN7zqZuPrmsnT808az8y
mqcgFHYGtJux8ls3e+l9DK+95TGdw7JDD5pW9NmLL3w8xysjRiIJZC6knOfAYbbZh0nHim0B/otg
LCgwMsYOCOR1Ve9GUXiboZmTRzj8PuR+pwdwnMOBju17xy2BbkcNd6av6u00VvtRH/HaFBwAx6QE
6CP8dDA547ahwPobvDxFFDImAfr9Qp7Zyc4abdQuCte/S0kHyztTc2PWmn3Xl6C4cTKr+IKZ4t/G
2Nm//XF2wpZ33bazjP7eNIZ4m9Ku3mdlnT/rZQ9cuR61kt/ogteOhdeZRUCMDDgjTtMOUZfFQ6nI
c66pBVQCgM4OekCv8kmcJeasY7rkaHV6fByqqv2eA97l0eiqSZFrW4kmkFZHig2N6y7yuJKez03M
CRX5cGy1vtzNju0957GIn2sN1JBAaiLbuKuKR9cs4t94htJ/WOkCQQvEXfRGoNp0ebnzNtfQedsM
R8+Y3psec95OBm6ppFA1nK9YkYsHr7TO3igoAdbQeKRxgJldL9l4IpqyZ6Hisr6yjAS6gIAFfaeY
AUGMdrmiYsyA3KlleZTomgF6wv7FYBPgIoofFhrNbhupKz35K8s2MSqNt8FVW6hXUrcHt2seob/y
iF70T6nFNi4pf90Wc7V3khgpWZCP3gTw2yqPbCcOaGICtRpJyETb5jmAtPzdbWmqRUl2CqAt2giA
2DzijrGhyEVxikEd5/v/IuU6aYC5dlZULI808eABJ7R5rlTIF7cXgo64S03AZO//F+E2B3PYt79M
lRe+iskvDgbx66UE3rAGkDk4GFB9Po7U+Ma8GnkjOyJG/Owmw2trmop9W1dvFIaB4YZY82+m+swb
OxQdfpk/5lGDtluQFlU76mB2fH/7dK6877IwQB0sEOaIaOTAmRBn0LxazyNf+5qfvOrL7c+vLgKT
GYhcAIMMD3+5b3Fr935FeR4JbgKCBJMViW4fxn7ae01597/Jks5oLDuPOVObRy7BmPgBU26Am69n
RSf16hU9W5FkR2vq8algWJEb+xmeouOma6xHMXt3gKJ7EMCkU8RHq1uIEXGCRyiYIOUuAYbn+6QD
Fi6imG3OI8ansHE19Igr/NOqJoBDAQqHPAvil8ujwoRj55g1KyJvvDPSQ/FR/7MoGiYf8MhEWwAe
aZefd3NnrgvqLer8Q9deCH8X2ed/UAA0dOAtALCiKxDsmPO2L1KsoAP+sX2XFYFgBxTubktZ3Scw
yQPUAfEqClGXC6kSUohkOY+OJb8ZioaVZr/fFrF65OgRR6LSW8A5JE3W4tRPQW1aRDkgptF8hSjP
CKjqJbti05ZUKKDjl84Q0P1cLqQozVjX+jiLjL6+w2rNYOq6JqhBS9iO3tEttc9TNqtwfK7CIEyE
nktd1n5m1qqqKBw3SfLIssVTFaf3MB6hZfevbTn/MUfth8b7XUUHRdVixUWgoxazSw7GXZFdkxZb
cuSugTKcR5730PA8aJMHBwQJt89tVYhjY5oAaY4lpLxcWzIi8GCemUc12c/zk+Y/par354r2WUhN
o/gM7UPWRjI/vOuLkmMsOSqKsA0BtHV7BarPS7cUnF08N2N8fk6DKbmvVUzpa9//v+ymgXYWoAVc
7lAn6FSUFlqDOoICaFgq8gCqz0vxU8/RhzE6+HzCtkX2NroqNoeVm2kBL2ehWkA++mrWMfHM2PQz
K43QdxR4oH9pTXqY0EI91rNCmVZFuYtrRmLDQvr7cqtSNvLaBD5a5Fo0qEs8/s0/Op5eo5Igdc0Q
YCgC9wKhLYoiUhwY5xnQ92mfRr1dRaRwDoCYC3NguQUW1/6vrjy0n28r2tpVwc3+23aw5G6k+zgX
ROD9zNPIzAogqJsPQ9u8DZgbvi1mTSGWZibXQPBxzYtgmBX3rDRLo7mOkvmJfPy6LFO16GRedOEq
qyDm1ORlb46R2ey8b2m3vf3rZYAYnDqyWmfflwwK84barbV5jPCgzm17x62nEVB9jRcY7F74n5Lm
68zSEGwDtwWvBDkYYwHSGlJc4CyRH4sMvU1DlpMhYqhu2cN7QR6YdofZZ54ogrYV3UPWdgHIQxfV
NQCVywQp9SQZormKtP5hyjDHMX9Hs0M9fdHB5Hx7XStaB2nAXoOFRjQlZ2YIODgnoRERMZ8etcw5
taX9lnaqAvaK1kGnUSPB2xRJLdl/j7U925roBIy0wCD8Z79XBKEqAZJt8P3OnGpUgiLMi/XVzpoV
57+yTxcLWOSfOekW9XfbWr7vsZ+Jthl1gM/8un0UKwd/IUIyAFkMEDcXmKVYwid9SDe86GBqnhy9
2AK/lJe6YkkrKn0hT4o7gF1JB9sZBR46yGiZJcq+U4BfsMu7U+MphC37c5EBRMftwqPlIuZAD6yc
mkj9figqg4soa17tvSE+fXzvzj8vvar6Xrdi5uLzUxGgYSHrNj4m48F4Rfc1+3pb1poqIB38l14I
/ycb6sS3WevVlYgIkFE6EJzMn5EzU9zLFV/nOX/5mZY2R3TvXuobMoQWoEjMPkJfhqhQZLRsZALR
3ugN+9vLWTsZPEIAkgnXes00oXl5hop40kcU+BSp9T4r/Jri+/LJ8xL0OWNS9FF3ao1N/mHUGCjW
2c8n0kYNGJnJgaDYR8S+S7OHebxvP8h6u/gcHwE6olfQTKIAKYVobTsCHTgpuig17uFbCnKogHre
Kk78eiD5rxjfAZzHMpEsdx5OecEMg5ld5CEHnQ0jOO6+lvFPoA8OxVveBJ/pQTiBe6K/NS+kwDc2
Qjs53FaGa7XDOw7JXxDMmJ6J3Oil2vHWR1P8TLvIwm8ogFJN0UD2o6o+HJUCLUFf8DcIurdhGC7F
4DcAIDXxW1xXF+iayLF9EGUdZ3YpQVKL0eQVWGEgASizWQc2gc3tjbrW6gW8jYALw8Sw+lXVSyvd
utLB1xSln9FaNFY/bn/+2sbg89ibv7pwHQSYddEIrmcdgsGDlYYVyILFR+89Hp1AV166XZeBIDmL
IrJuim3UmU7O3hdosRWqtPfVFi0CfDwwASKGCppsJ3mc6Hph5fGpeERTJvzLB7dI+rykqnVdsknY
+DyGKIy+DTLtV2IrYjHVEuSb36dozYiz+BT3BKPYeQBY6NurWJOA+gMu/TLjc3UKPmkTjSS9f6qm
H8CyZlSFqHSlSdimcwFL1HEWuDiV7zLT7/xT3FT6rmnRzIR5KuuRo9FDsVtromAlXSAuo2EYh38p
qiTaCOSeygc4wdFAY2ZtFOEwKdIWaxsGZgNULAGKAkslHfuE8oyV1Fw7pS5wzwAeUz0UpaZCpllb
CtKz4DCxsZIrdB3BQGU9jHUSef0YWX7y4A5kDzjeze3TXxOzFLKBEQJhMFmXO5b6SKMPKcD8kQw8
+WJ4ynTA2CtJq66sOnQAAmwbtWSCyarlZ5zpADe5q2GwNT4R0J175QA09PQJHRVoWVSBNy034iLO
gygMjqHKC25HoG5L6lY0hRWL3E+iEqC2r4Vf/KkE+oHqESw+Hl3Gx2Lf+4c7dC5Teq2T2ZjYICiN
Nlb7Ttr322e0pnBI0MIWo//dvcIhtoZ6QkdWk0TZNHpbX7jOZk7KeHtbytoRgWwWPtHHzOQV3Ql6
Kqe8Q/k78s0/7fRj4t+5/n0sf35YClKoGNPCBUVngTzNVEx2n3VeQSPPRQU+DrvODCy72nSZKlez
nLOkBxeSll09Uzl0SuSjrmc0ajFg7DYsEoDFDjBI+7O0011muq+Mm7/+YXUmCrnI2pjXjSFDmjnm
FEP3JhONcUh2A/9Mn46pmyoU7npMcsmcnkmStJx7s9GajZtE3ZibG+IDhjcjDt+2lma/ppo5BO2E
iQAgQ81hBtbIh4rPoAEpagLisxRcq/+wcBsEvxgh93ATJDMCnPuSUR1waZVvh3X5os1lQKxvxP9z
W86KuQIpLUAnLUCCoWguuUMQVpjGaHdJhIGBJCQpM/am36PJn2O84bao5c5e6c+ZKGmHO7Bv+4JP
STRP4qRNUwnGyQKTVl0cFA04YZgfzPMAZDUV8Omq4oKjFP1kMJZX45os45M5WJoGPH2WBHPK/yCH
viQ3nwFD/xnUXN+9uPkwcOiiT+iHRukenUZXA5oAkMfMvMWTCCMnezbwLZCINrHLPm5kIAbpM7wv
AEQjt2/yijCrdmgSFeOEgtDUGk85+k63fT1NYc5STxFirh3iUuZEhcFEHGhKelkZgNFxMIwCc+O3
9wyP0J2DAeMn0R81cGnU29LgqBjWozjc1p41RYUDWtqVFzxMmXKwFHNp0sJIIlLGewqokqAGShNY
jRUbui4HOYC/YkAxcWnlYi8fEETD4pj2DsWbpv/ZqZay4hiwkP+KWP5+ZkiXdlzHyhMa1Q2aiZL3
1j369mPuf7q9Yyte7kKMdLU75CC0kWs4Kqq1aJnKf6AxR2E2V3cLrSJ/T8QmMvZE4ekDpoU8WE2v
287usZntLetVbT2rKzmTImWIawxG9ZOBMyEV+tryuSnuSs9SmVzVWiTVxhD5zMUUYy2JnwcTAbZ0
hSczYLIUqry+HPAzw7qj1C0naC0hEiRPl/Mf/WjQkTsDTsjts19bC8hKMN1nOiA8kKPQGoXVGTA4
8clDpBgYbcm2dJie3RGktrclrS0G7aioqC9ruep5dlyOpne3xJMwoa/McjDQYSpszupi0FIGzHBU
Ba9CatrD3mhdFZ9YM/mb1pp+DWRKHny0QijaA9ZuJh4HC1oaXm9XbQh5XFulyWl8atsCpDxmY+8x
4xYiFuWhUyjxDNcWhkgCXa8eahBXDd3NWIDGuYHxbsZdx+rAccBG8uF67ZKePROyHOCZtZktrSNT
vXgIP8idp7w55kLh2dfWAeKsBYlgqRDJToiMFRjAjBQ2M946P+J8Z/++rWQqAVLoMOGlhc7GJIn6
vDRDFmOIyRqdMbD70tv+b6KklweacnM7rrAWHcbSLfaW/Vuv7v5BBu4luAgApHLF6sqG0jarGgEJ
hbfGZGobtf+Q5ljinf+IkHwMF8RmM3e0U+zrYLdCvilRlGfW7sq5BMm9OEljmMmIRcz5bhwM8Pfx
bRmXIRkV5nIt5DgXJB3+7M2zadY4fAYWrfyeiye/uG9JYHlBWuCffzBomEdBCAigNoL25sv7UhIP
xWcN62JBVQMhalRlCNYs5tIxjRADNg3AmJcCzFhr5npqIaD6ZfB3VTV47a7A6gNFfsk/XUWEQ28L
C24YmQGubeLZfCq6twoU8bdVeNl0OZjHwCdKt0gs45kiLaLHiXdpWiKmLjkTQVzozj5xSRtOk9ZC
H+i0L1IxNAEfPPZRTCVYNPSfwGYiDl14VC430M71ojOcQjtZGDecjSqwM4XKre4hXu7A3jbRySwH
m3kGTzc0uXbirsMisF3H90VWkQNr40JhO9euEQD50f4ItuKF0exyMU6X8lLwWTvZo70Z9K8WEipp
/g33V3Fiq2rnIYODPgsf2HvSibVdNXt1BrUjdOuC3FXVPaz6vnRvWjHThiWddvKTR5B6uPXbbY1T
fV+yN4TbiAHc5doMYOACkrz37bYAY1Wnz3ZIMjRN3Ppdu0hIvdBggZEG2WftHWOq78bf/woNVF1B
84fwAAMiwMNQ8deuqh0mbghCAaAo/+2UOHPVQJeYCCYvYbT7LS1CzL4Yqn7yFRFIfnroRkD6ELPt
UkIXtDojYAeod5p6c6OBsBPMPM/V8Ov2Vi5nIVmHCylSwD6UqK9NluaeKko+M5/tqjE5pT5qHgkb
fgM/SaHbq/IQd6DncoEalsf1a92NuwasTacYVKN+Xx1skQclclXh2JA7s0Ol9fYCV5QRD2AbxUMd
aEX4z+WttTHJUFLaeCc3G35MPtvoU/3ltoi1k0LDCPr4EFijo0+ycklrpT3Qgt1TNz+Z9JVMz3an
6L5e27Zl7hNBNRpTrrqvQC0P4Jsy80+OVmVBWRhPGm3HoLfYF9vFBDCxMkXk87faKGvGuchlY89U
vDVJHYOKzQdp+rAH2AxIfastZd7TgCZMgyY7LfP2NOs+96J91udxO/DixZkwW24WdzZt7iauel1e
Y0QCIBJlGqAjg0j8GuyhHelM/ATvC/BDvXItjQaWbzPB7rt43oyC/zYS/Li6BCcjJYqbsmJzAD6E
uBnYaAieZU8zQlSMDgv/RPqiA/hN3AEqp+B72iQcGG119chp9jMrfBUK0XXb1bJqfNlElOABK1ty
PKAaAhxsrPkno+ytxxlJzMPYMv2YYrDpUdR2tq/GnD72zchf2Njo2w6dbncG637f1vPrIvnyQzyk
kpBWAs6v3FA6Om7apQ2qfk5KbID9tcCIA4j8IwbBjUPq5mBaqIs8cIa4f25a2jyWDfDyyrqxPoEQ
pdokVVaGMR/rPd5ByRjQRquPAKvMv97+oatHdfY7pQvZG5yQIY39E7o7aEhBnhNUCLHfummIQ945
dD+0ur3xaaU6qzVTcL5D0qUx6gEZgz6NT6DS3nj0vnCmDZgaby9vJRC5OIblR5zdzJEOsVOMEMKA
9QDcF29XiXB2Fa+G5ade3X8o1tIogDBOzn3krt1rA038U0OsnS+a3ZiqUqLru/UfEXJ3yoDGlxKx
r3ca5vwzQ4M35hKjYVCGwGtyQDiD3AeoeVCQlTasHDzNcTrqn0TykrRIeo7WLul/3z6Vtf2C/ScE
u4VCgFzeyczeKmYD9rLMUADAcPHov9yWsHbu5xIk5XLmVjfjHBKqGTB/h9r5yd4JUfjLtbvjEODQ
Ay8RaCQypJXrl6XdFL530is3bCo0cABWp/81myBhp1Xoptvbi1o9G6SKMMQEojlDxvTOfCuOs0H3
TwXIVrZOITiCnca/oxg4ULwX/x6BrNLoh/+PLPPy4jBkp3hjDP5ptLzfNgWiRescLX86Vgwk8NSO
hjb94cRmMFT6oQU+1CTM0wii4ttLXj1HYA6jH9NZRkOWv5/dXwGy3amdJmgKpn2bwAJayXveYJwe
k0nsfcaIqcKXqwRKMVCWNdbs2zMU520mBajVf6R6UB9ur+pvmHO1u0DkRrnBge7IcDxlAnSPLM39
U9u7wx2mOD7P3DSAzTcWR5EX1VZv82nT1I795sQFuSvYjKHFueChwKTCKaWi3MypB+rhmfV7i9fN
riW9CO3SH0IfHaC7IafxphK1CSZitJqi/kAVi1iLsxBeID2Ox7JxhbeWddrUNbMbn3KS7YlzsO2D
rWMMHLMZhfgHM34ua7mJZ2pgDGmNCQEfPTSVy188o4gP/ZTQXx6tupCLOlbc7DUDBeItJP/wfsVM
khRGaJUwstRk8WkcdsZ3nn+8N+RvByNe+mhAsOX4yNZ4UYItFYns/ME5GfnptnqtlX2BxI8OiqVP
H5V66T3ktaMhOLPik5Ym06tTdfnj5HoZpupcKyQN/SFm4P9pk+2ePLf0fk6aDhg1phsiclnm/stm
AiIYDDdI3eMtc3l4XRKXc72k7Qnd6HYIrvvby10zwwj2MaEGoFW0okohzOxVWWfXFIlHrfpex8Pn
kpfbrhqD1sXkYsP4HyAh/otM1JYxk42K01U7uivMsuMdFHLQHmmz6a0vvGahJvAu/FHrVJHBXzP8
YE5fYEuQt3Hl9y1HlSNxY1w1Mp9m8z1DogCzSoolrer8mRDJ4uuVo6Wt7cUnvcuDirJAlbNfEwBI
KlwpZIWW1qtLPSizoSM9QJhO09Ygd16l2CTV55e/n9mI3ug5YiJcKjqSP17qPqOitrmtaWvncL6C
5e9nIuphyGKWQMRkPPtACx/2Vq+4u6pVSA7P9XM6cwOb1D7p4rWhis+rViC5t6Qnaea6CQybrt8n
bfx9LvUnsMEokpkqMZK9pnHZ2kB9ik9puY/JJu5D8DD+w1nAoqBCY6APUC7P+G1JykS4/mnyNp52
EB5qaIpYYPUszkRIqygxU9m1LURQvIIIumQUS1iLNVBagoPxga6GEtOlOrHcycZRCBgRfR8nyP7v
mvl7rQLNW5UCknhMT6LvBpHUpRSSMb909RrOoA/pM7OC9pWpGOxW393opfyPEMlh9rCFAl2C8akp
yydqcQA5kSPAjV8RO3dB7SHG72f2u5/HTdK3YcGNl9vqsBaNnP0A2cmMSyK1a/ADWImkT1I/jKX9
OJTktUjGDWZ1/6GuDggLwGWgRAx0SLmjIsvbMXcAxX0C6i9m4jWgzGoK9VhVPwLgEQhC9s9f/n5m
bXIf4xtVgqd5Q91dYWMeyVERQK65TswOIkEE94I2IkkDZzNFMwVeaKcmdQpkJDLytkB/73S3M+6T
HnBvyBZmG1Fj/Pb2eS0KIUfA2Dn4NLyfgHkjSSaFmzHqwc6VIvuKqltkZWTDR0yP5dUWbMtmqLlz
ULaZwjKt3gYAwwH/FFSIaPm+3NQWOJvE7WdU9vNJHAqNIExAXL0fHU0HnGPb7G6vc1UeBvEWlk0g
uMj06QbQUBFKIg2Xgn4h/UP9pyL51PC321LWtB/oSKiCIEJYOMgvV+UiXC2KwfRO6HrbGgh9hup5
qN6yGgl/QxG8KmTJmQiB9HumZQRp6f5nkbwNZsCRKQKR61B/u72qtQtwtipZO81EHxwxQJIwN4YX
qii/VJ83LzctHxpH6/CsP2Xej6H++uEJU2QAQSeAxx08FCJEye5qeYEsZewgY5MHSR4IFYr9+s//
7/elMxdAd5xNDd83yq9xyYI0UxW/1rz4f1eAdNDlBiWGlwwD97yTUz0RZ2/HWz2+u33Eq47jXIZk
B5rRJXhHLjkUPbmrcmNjpt09nk1vbaW9eP7wYFjsxciFs6k686teqqAUll2S7dC5fEkJmpag7ArP
eQJ1Dghq39i89xs3EOKJ1zSgQzRMv24v+a9bvxKJjDxm8pAeRgbscltjWIO0KwvvpOl1Kva8wehc
Us3pS9/E1i8fz85nIxNIDnNAEB87d5r3bRNnR5PmfZBw+lVMQ37AQED97CCPvRU8m58ZBc8JLeiX
CoCye61yGmRqhlExD7VizVBjBT34AgUJjyHpNPN6y5liC8/GAQkv9rSt8D+uqv9uRbNROF4mNJYB
5qu8mj5lxBDUcE9guky+eoWiQLSi1sjKoxbpYym4nVIMPDfOBGAWVAt5wl/tNP0x2XobtDo73D7o
lWUA1fK/57z8/cx/N22Fibw58042oPl50Ks4VVcNMUbXkbvBTCQyMJffF7Xf1ImbLN+vd6hN7oeY
BHO1t1i1AcjVP0QjwNT9jzTp6PGERouHyL1Tzu6z/A6oVv+wW0DHMJahf5zLcmpnu0UrUhuiKL1T
7ZO7uGnfBPHeb4tY0V6UiP8rYvn7mYgWBJZN7abeyQL1hl68I7EVWvFDN366LWdFwUBDAAVGIwmw
C+TCbdJnFbVrLAXF4iwsHFvbN1k5brmvFQr7uaoDGCQAUycUAOMsl0vKCNwACkfeyeTtkfdsh2TI
PXh0XuapuBPjhzGnFp/mAW1u6VGxQLdwKS7RNFJQgDUi03vXZEoi7NWsM9BsQRLhoJp/hWhra41u
p12DeLSf8t8TyrVh5TK/CEZ90PZG55v3M8ogMxqMoYA1pl0PZY4+k6DOjCmgLdcCgPzoiohn9TzR
DbxA8C38FdJFLrSqdYSDivJsWru4G3cO3zTay22lWbUWPuAFAVu8jCFKjlBzk6zN2sI/uV4fPHVc
RRC08n148KVJBmkrDM1K4QKzOlHrDYIp/XuGnh8V7sCaIwfMFaCCYVdtpIUl1eBVabbG7MM1GOOz
DT5TApw9p8g2Xqp9oqAAD1wGqgtXvNQleaxmFbDCWsEbrVtAXEVZyXQBsnOpmybQLWteOWjPcLzA
JUdSZGHbveZsaXsWu9ruQlq6oe5Gtw9uxapcyJUiiNkcE66B2v5UudNPv5q+csM7jBagn7qFQOK2
sGvaFwvDAnCO4AVbCEdlM8nzhCVG4ZZRjL6CjcdSuudTimuSOpMWjPGEWf+88rZ1r3/LRM5g4JxI
p1mxWXraA6Mstbu6NeiGld4rFCXfkD4B3S2buweR9G8u0A8Uv3klHX35myW7a5istQ1mlxG3+L7s
tS9+Rx/i2vgClo1dQ0RYNlPgW+PBY/ZjFldIFZgKO3mt/Zc/QfKVIFvKQd+AbdPnb5p2TzAWdPtg
VAIk92gLOup0WWP/2caoeK74/LUJwu9HzUDHGDf+Ta6YYiyXdRxc2tHSvWnPR85eesj5hzWcCVnW
eOYfm8wrulSHkIyFkxPSaXP7+6pFSM4qrXjVFssiLA/kMxuM9piZYp+u/eHlPkmqVvWT56FEWkZs
+J71d9bfoaFHi1Y7U1O9H1e81aUwSamAGA1v2RCsZ/reag+xzVHc+FyOYN9Bd6r/rNvVrrX+CN3d
gZUqS3a3t/Pa8FyKl1QOvE5WoccQP9iwd4ciA8jgZh4UafVVKYiX4flRqUIJ4lIpgIYS18XgldGM
2UEzNPgerxDb3d5ey6pqEAQVgK5AGUeOydGyk5igjSmjlm1NY+fXu6pVePHVG3omQtquea48q/ec
MqLuWy6++a7i+2sbhe5DEE2D/wyhguRgac7bmhptFdnpszXuSTiPCPsUIzBr+g0cChS70DgBTiDp
NHwKPjkgc8GUes9ifogxQJpVn5FSGgVTXKVlPy6fqQZCMYQ9KNlguFw+Eqs3SWnlfhW5ox8kVQIs
oU/JcN9O71V3YLbiUfb3l1+JQ6wM9i7QiF7NbNZzms+JBW0u4k6gL4qbIszQX3HAb8PLfNRnsOL0
OVjvS7obCYioMU83YAhxdIJY04qDr3mAWszgUryB0XsHvWe73PaKEE/AItQoBxhbD7KWTy0QBV8N
Z062Wea7QN/BJKre1p/srM63Vtv9tKei/wTAKfdT6SD7WQIG/240wKib2i1YZ+rKqzZ94g/vTZp1
YYnc+n5yYkyjdaIKGj6Xn5g5tCr4xWv9ReM75mbRV4d7eEX4hjzFlExNr5/K8XPMvrFE1f55fQcv
BUjmv0oNj88pBHjTHom3TaqFKAV+2AcsQuDIUJ/GBJfcF2d6GZudztdPk1UCkagLZ+3FahVCrq8i
EsrmknFFHIqJTnJps9CV53Sm1tcRTiUkoJwr31r/LbYqxRW5PhI0PizpEAAfgZlIfn3pZkeFBiWI
Ki9kTjgJxfevT+Ty+8s6zxzyzN0ObG/4vgm6Im/nj1u//HDr2tK7sVBhoiC75MUvRYx2VuaaH6cR
7dxN2/kBrRR2cW0RC4E3qnS427bcVcwcrlOrLtOo9h5AlFaWm5wp0lIqEZJpF4mWYwyepZHoQ7MK
c3ubfDw9Ac90tgrJuk9uqXeEYhUOCG3YlnGFyq6p0tn3/zJfnR11laILt3IKwFMWfxLGAl8F16fY
I9mPj+7kNH6CBUzpF4f/EU0T6iqQGJUM6Snk1RzD/wVk9HWoY1aG3FuqGHKl13o5CFw5lDss5NeW
33C2UVM2Ua7VGo1cdKTqBg/HHO19x6y86+M3RkDMiN54/3tPf/fOL83/XaYH2u/ypt19NGK5/B3S
3fSJaOPSiGk0m5ve3Hl043x8AhFed0m4+KAfWdDoLpeqxWKYeAcITA9N2s5exK9Ntv/4Ks5FSNff
bYRw85ymeFcg1wqyqgMoJW6LWDHGF6uQDiymoD3RGohI3a8G22rlwa1Dx1YsZO3+nC9EOg54AyPR
WIK9irftcKj1fzhuBCWITeG0rulW04VNN8kJjSr9rs62vNy3/4+0b2uOG0ey/isT/c5ZXkFwY2ce
SNZFUkmiZNmS/MKwbDfv4P0C/vrvwF/vdhWKUdzybuzORK/bzAKQABKZJ8/RNpcnanEIRyaktTBS
2g1trsOzUTFnHl2jvFn8vo3oFHEjtVVTcqdW0bK6S0j8FBEXxc527Y26uNBH35d+v2NUfTnE+H7v
PESFm7IHCiri5HcW4siK5E6sBy9LE1oxJMq3enqX4cSnV2d0sO+OTEi+NPKONE1hYyHeqOVR6jnp
LRtXjIgL4zTePTUiPR5HmrO5Y5itMWbbGtouGZKX1PrWm5vefiJqkJfPv+FfR8OSbkkL4gcxcnfx
08S3ob1J147mNf+SrsjBAOqHTOL7hkeNgGQrt/zK92UyPiVhDmBd+D7wrO3PfI0JaO3z0tPK6FK7
aVIsyKy79Rv5+D9NviVdjXrWGRRnbfzUdbfQnxvW8k+Lm0+Q5KHnRUCKJXfqxpba3ODxE7pHLXCz
JA9J7zLj9TdGcWRFciF0wNqj3uAUzKhnFfvQ8S9/X2zes01x9H3JhVrQCZSRrYKNab4ZgrS4mdaq
5ivzJMdZfamHZjtiBKN6S2e0XqMw/7MK364eB9p4Ic+NVK0IryVfqrsMXVGQD3/qSnRQeBXwJd0K
kGXBXYELQqobAgA4y6m0FHzoErOKe6Beoavo2D9qdVo5aRemCghiMAbh86gsybhaMNWqGR4PAgRt
+Dy7c9JP9rgv+nolQBC/VFr0EztipEcRnWYodGACrZwrX8HN7CnOk+6UPnEScLN/hXr55bURO+GS
OekC0Wk06U4Ec6rxVqRBGO948Z6ZByhwX/18Q8vCL/4/5DXOBQfDui5mnoVqYJE9FC9t9tD1Kxvm
3AuECaTNkBNYSDqRCK8GyH1pARgk7MjcdPFahLhiQQZMzTRP2+KXheTdId64lpY73/LoNELUg2ZQ
ANWBpZZWv2sShUG0HhQrZNtn1nNV8D0A+LtrVx1mUPcSbLGC9VHakVA8U+c56zRUh9g+LLqd0lQ/
tLDejJw81m2/sncWR0XRYw+9LgFjkEY1VyCu4oB+BZAev7WS0KVMdVX1++VBne8cJFNQYAbPJNb/
7C0EBAgaD2PECk083aX1+NzaTY4M2fx9hHg4NOY+0fj6NCds6qKpAIS4+A8piozjwWnSMVcDtahi
d84KdArbP4x63DdGdrXCIHovjrNFkrHMMBoLxXQtcNqbbn5EhHR5Apec++j7cs0wZUQBFhA7FAVe
l/k2uh9/wwAR1DtoyDiHG1pksLQEmbUgMz8lyfcclY/LBpYcDeBNHZsfLPzgXjndPiAgrY0WxMVB
nCTEpWFMdoAA12j9MciKTy9Olkg+Q4sO9VU5xAD6vdIGBYthkhbS7Nyz1hrq1ixIdxq04vRorin8
Wa0+xWn5ydLytTTqL8Tl6fkPn3IslPNBiQ5EpjRjhgpdbuD+MGMkjVwzxRUTq4e6bj8rseHa2mx6
UdP+LOe6glp0Ai7rch9WmtumikvqanN5/c4vWfTqaYAJ6RRQcFVu1dGTflD7Cb1zluHVXxQN3ONB
Pf/GygGBiGgEbPDnLLEq5zYUmy0tSI242EPUFWTwFegsLg9lafXAlgaMOR4ZoIGR4IKZM0aD2qpa
kIDuKXrBnf5/NCCd4bQKh0H034Kf4JBMd7+zV49/v366lRrTitBaOGvBHLpj7K8Jqq1Nj+R39TxY
Q6ni84q9H6qbUl2JzRc9Cay2oOgF/5IhI6r7amJZ0ZtaUJkelDlb59HRDvr1eRb465EVaZLCunBU
nRk4kesUdNaJ/+dlJ1oACwBDAmZmRJaCu+CsjKZYKYKaRA0S8DVonxjJdrEVxPqDnpSHZu5cqwv9
IZ/As/k4rKkRL60REIdQ09bBHAF84KkLlN1cNXFN54BS5icR8/eXR3ceewotbTSNCT1tHXXO0+9H
WVlWuTbPQTYBBOqCzqTxLCXrv0yIgLaDrrIby+DDSsS75Bk4rjURhaJXQYb+sFTrW7RHqcHInAiq
I/l8b7Uor5UdkImoJvYrRcole6gUC1UisDCgvHY6SjAEx0YTtbhVNbIrOrpv2U1Otmm4MptLq3Vs
R/JFztXCKnktxhW+zVmzb0r+5foFoyjxYLEAzTqLsGooRM+Oxucg5OXOitN7S4XUrTlM97luQXA7
vz6Jhik7Mijm9ugxlMdaGlMVBln7Zg23Jan9ir8MkES8PLCluYOEgyX0bAV1iXwa6UpYj8CuBzpQ
C73jqfOa4MWiBSC1TQEdAGZQ/PnRSIyZV6gociSyksq1QP6hXV8eQ2ADQW88fqF3dEa7kFRJEkE8
FusPJsPQCCCG6qbZx+WJWgiwjo3ItxrPu8ZOYxgpR21yEYRvqsIGAkJfa3VfNoSQGkcDGlll8vOU
TGFWiPqu0+1b5UfY3TXjy+WxLCwJbmahZS7+F6Txp0uSgTo3sZXMCArzLXJ+5tcnoSheceAAxWsO
HTbyxi+1bm4URZ+DtLxv2reh3mWx5RX8+fIwFmYK4ZKOKBToalx3ku8Oda2VXFHmIGndrHskb5V1
dZskBgL2RTDogJANgdPpRLVNZHEko+bAAL4+Kcb7bgo3dbNGvrI0ECDdcckJ0jdcCqdmKq0xKae4
62blXp1bz55Tr6lW6q8Liw7IM5BjqIGAEkl+YJcTmw3okuMIKx9U/pD/vH4xgLnE4wM+hU55aaqI
4oD0l6bY5lW8BUI8KCrn8xyqK2f94lT9IuoHrNqCsdOp4qOt0Kkf4VqDvuPKsM2q7i2Js5Vy+FL4
ASo5oKnBg4W9KOcJ7IZmDWERzl/HgQq2rkCXOk9uAAvZZi1aGbs03rNIuyHVDMqe8nujQ2yvT6NP
l2d1IVAQjHYIEdD+JxpET4c7kZgDA5TOQT5M2zGPHxSr+NKn5NUIISZh87fL5hbQu+gNhV4hnkZg
TaKyxDlYJdQwH7o5sMZU36IDOf3RN86wTxDu+TGIrzfcAQAMXXL5W9NDWqAMTfAgApz9O2eI0IDF
kxk6k0htnY48amijQoFtDiLIpjaQFQRTPgjWMs9OVzb5AmJYENGDrlIFYyWA+sLnjm4obhVx3ebW
HOik7O/jKHvNlAm6I3PWx7uclOUD+gPJrdqYrdehk8vvFfs3nrzY+HhSAzeGNlL5LAO7R2UXvTYH
UxtvDFpBXnNNuXMhHDsxIV3EbEwZaw1QByAl4JIJLC6K30SZl0ZriMilo0Y8P9AVC1lA4JRPJzSe
nSmEivwcOIYHzqr8elpmMIoB4v1rYwBkLvlGNs7IhM2cozFoiNC2vhIni+tPygxgAyDqh+YEFJPk
hLeT4o086AkPtLwC7OxrkqubWvtURJE3Rc8gx7i86ZbWBdeMmCfodwO2dzpb+mzHDgsbHtzp9uvW
U6LX678PPTD0EoiiHyhFT7/f1yYKjFnHg24fdT6JH0CbmsTby0YWllx0leOGEXxrZ1QjeMRNdj1w
K4DUefiSNp9/5/PYm+KqRxwmz5EZ9UTJOitgxVcG4TTUBC4bWFhz/P6/DYg/PzoDmNEqTc5gAEfB
rtFB7RoOvkNfdGvYTFHtDXrkX7a4OGPoQgJlCRX1Ov3UYpzRkatJbiFpu0miXbFy3S9clMjRgfdF
w7jQRyXNWDcODWsheR9A4jbBPnli6W8M4NiCNGXZUA2ktVo7YPOPDNWgxLBXFmVtDNLt1yeR3mIQ
dtCHG03bqI3fruyNZQuAt9qgKQemUizS0bIboWGVovswiNtbpGbL7KCH3uV1XtjeWIi/TYifcGRC
YbUqqKswTcDPFoo4Dc3sK/t82cqSNx1bEb/iyIqVU31uZgwkUfcg9tbX4BbCXaQzEYwz6OsBDyni
elP6vkNKBlhrbgdW/I2Ut3TaVck3872ZrwfAoVyCcgUSFaKeIadlwdfoFJSBGXTO31vlp1Ndn5Q4
+b604lXdawTnrR2EdPBGddMCrYl224qv4OWXJ+zvcUjLjn5/PRkGjGPUdoO5D2PfzLbhh9NvLi/8
onuJNieDCB1GOZWERkeFI+FDAsX6yBWvpY+Z6aW/411HRqSzqg57nZk0JOAEoq9xoe/tsP92eRxi
Ps4d7O9xSI+5lOtqYowKCfAMe6+HbBuxgaORaY1wfWmj4DYE/7kFYDA68083ylRGOcWao+u6dHnt
R6F/9TgcsQ5CIw8RpfxAqWcn0SY+gM7L2VnFTf8DvYmXLSyMAPU2FOJF5Q0qNVL0o5vt0I0GsYIe
TPHfk+vZBSlibtAo4/9AIiHj/UmtOqwdLNyEFZD3ae2BlNQYXq4dgwMLuPlwlkBHTh4DGREImVOq
B+3kccN1hpvL3z/3JqSfwbwKShO0LZwBL2ZiRSUYV1FGQectsAubUs92UUyu3uQwQ2zR7agh0pWL
oBSNAGWjKXrAJwA8lC2xnwrt0GU7XV3Zgefb/NSScIqj8z3uiJqVDSwp0yenvi2ABNeA1syvB2Gc
2hETe2SnIqlSlGCsCDQyeqbx2Ne5W3XBZDC/aQ7d9TAcNLCgII8wG/xpZwR71GnMKM9sPQAZFbwg
dq3ofrA1V5+fLzvE+aY5MSSnWEpeQc5HGAqpvpn6rw2QdpctnB/4wN+ALFUQ6ADyI7v0GBOGvtva
CipoYc1mBvGvdPyoumybDNmHPo9vl+0tjAjAIqRuxStFYD9OV0qpo3DotWkK7NH+kRMcNXZ6NdJO
nDG/CBABFT17GGtGabZpbk5Baj3HWzNeWZOFTYoufyENgNQtXuCSr3VVW+lxhM/br1l/aOJ7cF38
xhwdWZCiFsvui6kIjSkIs8ztu098LbhbWgTBXoRzHv+F8+x0EdSY2omhMx6kCRc0ye4QGdcfZajY
/G1CCoKLiJIJ3Z48QEO7183+iPxgPq4EqQuJH6QeQIaBpnCEu2fit1HJDX3o4U1De2OEHjNcVu9I
tIsUD9vR4pue+GStyLEwe6ivgasfuDLBkyC21NFhEw1NkTVdh1S3Pnq07dGbfP3kwQIS6Sh7I8Uj
b5LQhGZcb5Roloo+KPTCp9ofst1lJ1vIH4FpCclbUBWI/CfVT4eR50aY9wNqNVV1zy2+zdADpjIC
aombqL+Pytt8KG6q8upAFlZR70D6XuiEyPlcJHppPOlIsrcgVYvn4ftYmxuVmV8hN7OSIVvYqJg+
VHBAl4LjWiY50xOr0NS+RNLV2bPh5yio9L9cnsQlVzg2Ie3UNKvQvNPXyLd2ig+Vuvu2zVZ8YdEE
alzIUoByF4m202WqlUKrMyVBbjMdIncouwddHVdsiP1+GsViUcDdAPEz5I3hdKc2YjYa89RiGMro
bEFY8VjU1CPF8DWvQz/U8sFN2nrlGF0cF4oHSIugH+Zs62ZKimc+w+oYXeRayFD+uLw0C6sPZ0Li
yEB0jqeEdMaBRmFISBXyoEzu1TpzJ8gpDMn1Vw3oLvBxhLWC6E4yMoYTzdoIKb18VvwUipnF2kNp
YZpOLEhLw9tZSQcNFrAi9L1fa5MVf11aeaAJBfcsUjrQLJYcuEL/jt6AfDAA5cttWSSmm0K8h3X8
oU71BxrVxM00002ctUTP0rjQ3ohcKFqhhEzdqcvVE3id4571CKFGD+q1HuQ4LzuA+OlnQ8ODAuhc
FQyBcirJCAk3ex73gdKNrtUeuLKbRtdwVsws3UEGtOlwhCLYQGeo9DQrVfAhawrsGNV405dbFVTj
qrJvultC573WxX7G2C6iMzogV9qOF4eIuA0XLebxLKOMetWsREbWByz5rMyZl/e3vAeyLb8eHAVM
yZEh6a7gRicS5nkfzMRIvax007xeK50seQT4k/A/iEjPoTMoDyV2WuUjxA5elQxQtpW9ujRZCDkh
H4aQByha6SDN9R5UJxlKfHVBtx3OUq0nN0ZE/TlfOdoWYmogzlEEMgXN2JlUVRSp1lgUbAjG9nmO
xk1WfYsUFC/CaJtU75e9fOmYwyMEAFq8fgWO4HQfmWZBTNbB+/TY3pOpK70iLX+AEXslXFi4IlC6
+NuO5AFzO2hjb6Z9kPxJova++W587cbyvv6+EtIteQESdVCiAK8mgnfpRO3KtMiNauqCbPA716xX
duvSdKFfGAw0uO2gVybVeMYsKQbWtn3Q8zyY0HAX1s2zTdew80ujAKoDbqbi7EHe5nRVCIAK+lgQ
7Jcs9n9G2lof+tKxjaQmpMngzCiwyqteJjlY5cM+UFlQpn+awysCeK0/VGj4Sr/aawpVS1sHrow6
OdKbzlkrJ1WMhuU5zpkQmhosfm+q78WMwvFaumCBkwRcwkeGxLwehdYOlFep3gpDxYPRpr7JpsM8
h3uDVJ9ro3fVqHs0s3ILmnfmmfmPNCI+FnnFBxfK6PgZQv1HsJEihpAup1aF9Hin4nJien1vdd39
mDBUcUGxahGwCnR+VxSvqpod2oE5LmCj+4QaL5c39uKc46xCMURwUskbuxo1pyl7bDjIjbhFvqdg
t7ffypD6l+38+pB8T0LOHLgEQLeQj5V8aSC5NSkhThBrtP0pYncln16qcUCLZTO6Kid+kZp+wl5p
F31MfeeWVmEj1cG8RqXfodzq6+X00FOUNLVsVxn5o11om1ZdoytY2rrA/aAfwRS6BnKQ2rMIJfcE
EwLx37I+ZGgzp9n1wDIH7GLAVqP4hMBBhs4gi+tYAG3ywFTvmbbTvl2e7IVzAWkjlG0AKgMNpRwv
lrEe9WalT0FStm71avHrQcZ4MOJ4wyUKiCbo3k430DzGemgx/P4yS7wa+TBAJi8PYeHoMQ1R83V+
pVjkDvZCzaJKrccpUHLDs2mBdPRTx78b1kusfoT8jtafLhtcnLMjg2KjHJ0JUVU6GQ3xxq+Vg9Lq
Li3efscAkro4eLDuZ7UbAuSRHalTYJmbxvGn33BcvEKBakakCwSTLQ2gNhuLTw4Zgsh23Aeqf46v
JzUWj1B4Lki28K4+o2zUO1ratToERpO+KbOz7WYQezsARmZlG7uDtaaesnA4HRv8lVs4WhPTTDLo
g2lDYOcq2G22Q514VfJJ7a5/wp/Ykc4miBjbbZPDTkade5XT2ybuX2Lneprrk/n7dR8cDQdKQTpj
44wVAttxrz+Q5oUN79MaTdSSJ1sayhMIlgVCSNqcOgHDUt8iAh0Sd7YOYfty2ZEXTkj00IDFXrD+
q1QGs5XzmIL2t58Ckw9uqwPCAuhHuxJwLg0CrPF49IKDHOGNFAgSk/+1HdmcuG32XF6vhAGJVzQE
IR2tIydBpcvXiatGzcdmDPoY4WUbrwSyS7//+PNSgNlQAwSnczsG9eTPtpetRZji50nX6cnPF+fn
kS+pCXB284jvU8gYdW7Idpp2W1UQTfQvr/aKIUcOZZuSaCm6gQOj9Zsc7M9PDvdyCxnQlVfmsiH0
3jiCd/gsEmG0sxRIFY0BAYu/YyZeRLib2c/qDGbTfsW9lnwYEjF4OYFJyzl7O42lgv9/MmH15/cq
+0TVQ2WuHCpLN9iRCXni0LXQTg4dxmBukx241KYOnYcghL7LqwMhCZjgN5dXaum0PDYonWINM7U2
m2GQDN+K/G5MDmX9nq9dAsszB8AlyIKgMy2DjRRum8DKqmOgOLiU0b5kxgrUAbqV+39x/+Cy+W8z
0v5BjTvMgQWG25X+3Jo7R1nLRi6uD/o8kI9C8zm6xE93UAHg/dREOADqRh3vsmGo751uzL1Qb9id
PdkasmzqsLdb7uzjjFv7y6u1NI8I/pGaBDr7nKPU4hny+xO6Ksvwk6beGpM/rDVurpmQIoK2RIsv
ALpqoJXvPIt8zfnkoFXi8jiWFuoXmhGARggvyXkpMtWMFK2OIoL93vq9uhLKLtUPgOxFL62YpXNq
RRqOPKzmHs3bQOhZtdt2X1h/4Pl3bqVuSb6ZlLl2sgauEu4lH6+o9YJqGBXLczx4bZpTT41JC3rt
faDNptLGbaXfOcwPG80TFHaXZ3FpqcAIrNronoEOhpynLI2Yk1yf1aADZZ6H2y9/mIg5PM6VsqYE
pour82xsSLHg+gZ02pb7t0Bxg6oQlM0DOvBt2z4m6hPKC1uksj2r8Ttt9nIc9MbYug2S2Yq6tdVb
ouznccOK0DW1Dyi0duy72qNbKbup62FzeS60pZ2JphvMB+h7RVnldGfSyuGsMdAaNZu7sLO9MtQe
jZ54eKaDBfdgJjv01iISBqXhN8u8yeonHBaeOSEMMZ6G4QYBkF/laynyBT1CyMyAchsPKqAnEDic
/qzWZmFGc3QDIWtgFgcnoW6n7lVlfCrKD4WlT6Tf1FbpFvZhqu+T8mOGPhiZBreaGwg8Obd9X7lK
E21o+jj26RNtNS9qxxVo4/LyYvoE7AKtsvKLvs1YODANy1unXxwau3x+ULvnua63Gh7TFUXqLtw4
05+FtTXZoTBuKwY1sBiPf+brWrNpcuJZ9gTKzNBFVeCJpE+X13fB10WLhagDwAfxzj6dx7Ch4xQW
6LUY2pY/81KPDhEz6g1hfA1BsbCNkV9Bm5EIhYHdl5YsjQbFalosWaW01SFrC76d0oHfWnxoPTpX
7QvN+uq5URzl5vIgFy3/4gRFslQom5wO0tIzS0tR0wlGCuozovoaf2j5A2ui7Qj2jrm59hhGXh7Z
RoCr0BeAU0tM+lE8yLQsNau06KBgf6fzuz8vj+YstMDXodAs/B4VKGyt06/zWTFHNdNQvyktx2N9
FrvAA/eeNYfJHgSo0UqHyZmLSPbkm2uslXZ0xi4Ywa855bEOSXcgIJANXJm2s6BTGBKVKWS/sLnl
IEAAQ7NunPpAqwfitSSidwCTGC5Vks/6EPMd5nsNF7U4mYKYDy00qBidnfVO3hcGMbtAmw6tqblK
ejeXkHJZgV+dXcxiaEdmhIceeQQimG7QJ5gxmOWrZubG0/tlr1hYJRQNsbtEGgjOIfl4SwxIlGlz
E9hz/KWf6/yZVbPmGU6ovV22tDBlaAHTgUTGkxPpemkf04IAW5kwWArJNxBoPSqFcxOO+WbI+zUS
y4VRmWg0ALoP4RFA79KoWDJrdlRbNfr/nsr+Kc9vVPvl8nBWTMh5DfSvQtirhAlNuW0jCMxrD+Na
f/GiDR0FIoKNK/JNp8tfoJ4aJ3VYBW1ij8jNFAOCmDx/KMLZXtlEC6uDIwHiaKhNopFZ9gM9qrnT
lVWD4vFmpjfWvG+H/ZR/XJ60ha0KcAK6pQUUHYGz5ANFWCEhSNImcIbCKtyy06Z9r9S6qyF1c1d2
cb4n/ZysAEnOk/S/7ijBkYvKNfKyUjAS8qJPjAiDy4dbtIlU4V1lP9oa9usjdC377i1LHsP6pqAr
m2th+6KhGjEa5hM+L2dZ5j4fuaKXTUC6LLtJIfTmUZuuPRHOw2vwamALo34tOh8R1Zy6SW0X0zSS
uQyivnvJNf110DVvMCI/BE864DWZH/eVr9UW95xYXXkin/uoDnAYSI6RpLLwnJS2mhaCVxOiJUUQ
pYOfqRE4RVT3evondD8fWZF3m2kUZR2pcxE4TP08Iu8WznRz2TfFDz0JqSUT0maLLQJywlErAlL8
ycvnHpVx8MtA+PS+j75WcWBfjQiSDIoY/+hwjysDqma5XgSx4Tma7SraGtb13P8wa9hucAu0+Kry
+TE7Vd3SDhbKP5u7fGVXrX1c+vlpRxnNOD6e6Xdc84fw+fJ6nJ9Ipz9e2rRg/J8gZYH1UOht/cLJ
vkj3ZrW/bGTRewkSVhTN4kAGShdsRBwlslqjCFL7NmoOPL4j1gqYYGGeRB4XvR6qQFBTMc6jZW6Z
w6B/GheBCipKd0hX3Hb586gfA1oEbJGM0G7SErKXSlYEk+Y3uu3O8Voa5/zQxrkiaEL/siB+wdEA
Cn0YgDAsiiDXyXbKcbQU8b5K7Z1GwgPnxcq6Lw0IIGMUvwA3R0AsnWZx0pMSorpF0JXUHY3MyzTv
8qKf145xSCJtLN6l4GI7ixjVsKQjFGkxoiy8m5zkLZqLQ2j1IOxW75RO8TqS70ytv401ZaPNkzfV
5X1CupVHlHAu6cQ5+RnSxBo2a50yU4tgtobMS5LpESjVTVt2OxvUgID4/0yaeeVKOqeV/jV2tJYi
pgB1yRl1AViKqdIORWANdjA5+T5ukwOUD7YNSGb5XGyg8HI/xdzVnMo32tnLphQ16/QxBpWu2mSb
Gv3R7uUFWdiFmoE2b9xeAMqf3SF977Rk1tU80HgDIEcAZQE/r9YKngsHPKxAA5FamiCClxyrs0tl
5LadAwJ14BSSEo9x+hwz4lVN5nbjc5N9uTysRYN4kYApSvQ9y9ALtPsoczGkBbSCH+2hdWO+rVHX
S+L7xrTdtlKRSciuP9DA1G8gsWuCCuGsO0dRynlIOxwHRr3v8w3XIvSVr6QnFpfrbxtyq0FU4vHT
EYwrRvqOxrCQfE3mNQWoBSuCUxJIU/QciITN6bFDIbGlk8JmQcRep/o1Kz5n+ufLC7Rw1JyYkDZg
Mpt2po0WC3p1/1N3dpe/vjYA8edH52aHzRSqDQYQ6weIqu1N65uS9itn2cIteTIE6XYpBz3VjBpG
Ou21U4udARWwMeZetEZKvGZI2j110zQT7jgWWL0bG34E2GJ2Uxhr7itWVToTT8YjXchmQow5YzBD
5t7Lsh92XriVFbthvEW6fWPnH3aN3CEzPTrWO0ZylxQ7NobeXD46veLliH7Vg1rMLlEO9Zz7afmO
x403DrbrONmeZ+OG6rU7gViZ3ejFFjKsL7PGt7OzgT6K6+g/QVTisuw1bzkUURhSWn5ta37EVT+F
CBm1fqjDl4xFbpY+c/VjQmKjK3UgKD478b2qrd2+Cz6KrYbMhijZA0kheVEyTHqYF6wSmAail5vW
SlfmfNmCoAvVRXO+nGwsLc4qYmVVoGuTN1L0JK4BXxd2AsbwtwUpVIzQX85LO6mCUnsZwl0yvVrK
5vJmWxuEdFr03WA7tMmrQKMfun5omH/5+wvufzIEYf9oMw9do1Zqhu+P6n0+AqN7w+dttCYvL7xb
8v4TK9Jiq8TqJ1PHUtgGuUNiy43CHWIhl1RbRRk3Tv9xeVSL9sDGSPHuh/a6XAjUMjVXVF0v0TFQ
eFUE6cIyUMm2GkNfV+6iqxkBLEC4cTuhlQgUOkCrnU6ihYyJ2Y1hGUyzcWe273lxdcleWADWACSh
0NMFBPHUAtcNPEOjqsKj/pDabrcGgVt0s6PvSyPouNqh67bEbrTezPyjzFaC30U3ExSZghMG72np
ODfyfp7qRocDQDGo7J8T/Uteo9iwBuZfsyOd5s5gpkkWalUQQqkisftd3d+FFBJRK4+fRQcjIM3A
ciO0k8tAStpmINwhVZARF9Wfdt4zza3SV6X05rW24cVT5siWtEW1IjGcqMTchZxuKwh/9kN2M7T0
+mBVkGf+z5CkPcrmqqCJjiEp4Y5Wljsxv0v/4uj/j+/Tf0Y/y+D/7/n23/+Ff/5eVrxJoriT/vHf
X3+yJmH/Jf7O//w7p3/j3/fJ96Zsyz87+d86+Uv48F+G/W/dt5N/2LAu6fhT/7Phzz/bPu9+GcBP
FP/m//YP//Hz11deePXzX398L3vWia9FScn++OuPbn786w88fo8OJ/H9v/7w4VuBv3fop5/FR9k3
0dlf+vmt7f71B/knYJbI5SIWFCVqbPM//jH+FH9i/RMwcJAW/kJKgYheVENZ2XQx/kj9p4amW5SO
AHBEYCFScG3Ziz8ynX+CAwrfQkJQYBRALP/fgz9Zn7/X6x+sR6okYV37rz9wyJyc3UjQQs0ZBEdE
nDvokZVF5DmilAgSo6art13nGv3EN10BeSanzJvvdVU53lSNxT5OC+0JMp0V1AsUY5OqaeHHWpF6
Q4bHVxs2iZs0VN8Jdrsvjp5/WABm7GZthDROFaGTPOq+JQX5Vtnhl7Ix3+ep8OLasLfUSv5E/8yL
ytnokjhnrhZXnQsVg8rr2KGLLefW5tEz+MV+AJXXu61Z1TfTXNtuFce2T+hEPF3PlTvm4BlWx+FH
PTnje6c13JvmOPk0jaIHNEp7d45U+77TIMNNCGc+i9TCHQq9h0eVGcbZVoCVtPOWRhpYtcrCfFRD
1dmHZJwOToMGzygGZLvt2M42+GfKwq9RMXS3mZ49xaEBKmQVv9JzLBDrpQj7bnsF4NQssQnwHNpX
sFA/6XE67QZWf7fjKb91ujx1i7bcTFp4h67Bxg0BAd6ysviwktHYJZ3Touwc1dtUB9vZiOfmVgVb
nIfFgc5dhUriXEa9VxaWiiHRb2NHdHcYk86HUEZ3i1xBdNd29GsFxjxvshv9o1TTqQCSwLb2pl40
d3EKmHuulrizR/szU9EJx5SC3+cc+YRKV1MvNfTM05SmcXk+I9msHMak1bZ53dQPY4kUWkfTyEs4
H31HZ8+xOVkA5TitXwGd4eqJfp9bbYof2mhuk8TErae28Kyq+WJwJH7CmlP8R9ejBav+bKQ8d030
m3lqb30hffmiDiH6wqxp9vN4+FJVHYjeNH5vjShhj9XUP+hhUrtNx6mHmYYSYcw1N1H4PglR3jDD
InLBbPmKVg6Kwn39qdXq0OXtcN+ZPZDejJUbtSngvRXfVszYWuIXQGn1W1iFbhdqB6vuRM9YAbRx
DY6mIcz9NtQ/VPDhb/o6xexV5bYy1fcebwA30xVXK+LCx0lwl3fZ7EYR71zmaB/NkESoXc6PSsQ+
z5Rss5LErj4pndtar3mthFuwmE1bjvztBgW01iurqfEanembwuibl7FS99SIbbcBMUo0WrlXsvGV
tCaIRdCkdRO3ExCRNG03TtO/N0b0UsVT+MlSahDFRamxMWI8BBDm+NzUb/WW7jUDEBYlrMhNWduA
U2KUGrRQO7ZxcrPBW39qb1SmOS5NmvfWzk13REzm8sYO92nPI6/phlsV/cn7AbJeakrp3uHGrrJY
CnIVHS0EXfPRgSLB11jZ+6VYBLAHj1ui1Bz99/Sr2kff6VBDTb7Q3YlE3AfOgXktfpNbOLOz0/oS
Urc2fmc+5A+VM8XebGKiy9aGuJDm3Aw6qP6mOKpuW6bPPgOrqp9apeMaUzy4pZZ8xZkQezHFuqIx
F+Vwkr2CxS7fJmam+XY7fjKs9D1Jxg3ohWef6oOxQz9I7odxBfkRDUrtOBv1ndmW/4+5L1uOHMeW
/CK0cV9eucQeCu1S6gUmpTIJgCBBgiAB8uuv607bTHebzZjdtzGreqvKjGCAB+e4+3GHICRGKkne
jWypoK/Kdhkxd7He6hXm6NgCzxokCQzhIeYz340DpsAGwm88tTZ6XNMpfk77Pqvaxspq3iD7LTZU
/8r313MXmuMkAo1XLeG1kGwrgnbq63nhD14QnoMegyPSM/2y/4zs5h7HRh5pOAQlkamuaLfBqAFG
Q4UNzF3erF+a2nZPzPajraH0mzU8RMnAvzx9yeGlVjajxfFrqCn4vL3Mffq10O4iF/Q8o0IGlRJj
uKN0fJM2b6vewlixzZu6G72vrcGvLNNkLCcp6I4iLVhq4wpF5vUsUhJX1i45Xh98Ht+45kB5+qfV
MzIWZDsWWbhcXeC+4RLqCsH/W/GjsKnG0zql9p+dz/+oKXlWHf75z3bj31qU/2tT8m//1f6P+rn4
p//8o/4/7FyQpfH/6lyeP9Er88l8/lu789//0//qXNL4H3BOgObA/6FXQUv/784lSf8BThLsAFQf
wLzjHD3rPzuXyP8HQiR/pNkYzNG+/OTe/LNzCZN/YLXlJwcBSy4/cpHkf9K5/HyZfxk6oZwFdweh
FhAGIOGYyv5jOg875q8NjIT2yKaxTZG2qzlG4yIvI17ALzOqmCMyz6ha2E0VLYz2igyWynVkEYuU
sCR4UbNydZNOApqkbjhOXtckFxiDLC1qOnfv6xyIN/w39paSZjtssOD5JbDv+9VYkRR+uHZVvvoG
XodW12HTyPpffo9/Nmv/2pyhmfv5Ev9nssaX/HEr8pE+gHw8wKL/icXSYPRgOuv8fWDT9uDzaXjB
w03ns0sp9XfU2/qawkR6rRKamGUnQRKvSd/XboNOcdKwSVezFz7M2Wb3mcvT15xtzRMokwkp2NiK
10jtZdkuCnjzwFQeHGwQLg9Zm3d9Mcex9itmIhbt+s0tAClc8kWpFZWAafQCD0l6wSJZV8wUtgp+
MBW0Y/oriZw5oPUId8jFyT6dDMatwI6yDwt1bPsXGss9pppdZ8UppwKbAiT2y8Tv+j8uyvhfgxhy
czRN5+v9ahutqimYu4fIKF3oNJcXDPrNFS3Jzx73kvRF1wbDLRQuMYWch/F3brfhCbdrGFWzP7Lf
qu3z91E0PYC41VRQv+VNGZkmHoomjuamhrXz4lcDkIYXYpcJM7INxK6VkGmVEaZBlHGKNM7NpaIt
rei6V8xGuJrXIHcQ3VkgfGuXXTOY+R7TiYp6gbjj0Mw+q7CVYwDVr+TQqlbcr1mr9nRu+K7zPPE3
Gyyp+5nRu4wKHaL1CeZLPKfBNTAhqdC+u6uPrvtZppzs7ObpQwvPlHurJK9aLOftRiSJiMJa98vE
MMQsViRNf7vWyfeNNv559ebouizNsltFOL5Gc+fvwnhpXgwVpBr41gTFCieQwkEzhhsxztqi1cP4
nSc2vtFImwoHZikH0gzY6WDImZZkjrAf7ekTgW7hbpgntV8ldVU2Bwb7v3z6NFleDbO+yz1dYwDZ
yr6z6tCHaCfAamKdagjCW+9jQeHHvDOWQ/ONSkROMkUfPm5+s2PIcz2jE412IJzJUfTSf4VBHcht
FZo9ElvggSW97qONTPowpev6F3M0hxSzXfnTsLF+Kye+AovlkakGf10uG9Yy51OvvPVX2pqt8HBZ
pwVa7NYvwthsdRjSbtf1DSrBth63KPhtwoVeNPazKrwJXyNeXMC2qyjDcEjLaIEBrk9WpEeR7E+Y
mSsTujR+rsBFud0YU1LHUzPemqWthw2PjI6zgCgPu7KJ6+Pz6PzabxK9Z4yeTOM/DhhtSt5t34mK
jjMcrQc1zBeRT92u73ogD6TI28AU/joubzbwTzQPfmspgir0mj/EfxoHcrelWd3JoS/WBUl/kr8q
sz7rRJ8oD59Jw56wIPwYsBH9W1zkYVdlwu6TmV/DpC0odeB7EPBQgCkxRdunqGtYFeo1OAD7qlM3
File9oImcdE2/l7SlzWPq7hdvlgYPbM2+FjZaq4JSdSN6Jwik9uE91Mgvld0IE1hnLsbDLm0a3Ja
kGXqT/4hQh+y6T9dGIlCRuQ0wA6nwP468qcnXSZyeob1WY2KVCLCEIdwHlkRDdnFcEkhYdPP0Cxf
VB4VoedqBvFws8UHbPBh3ABqM0GMVGpmwppu4W+JxPCSDIm5zuiGj1J17aHP+ueopfFJu3g4IKJr
/B0y0leia9qd8+Oqbdebb9Q7gff/H5KH5JDo+CSsfbYxh7lLbNSTD0PSoJfNW+BGUUxLXkIgV4yS
nRag+pF4s8oYjMdzDbUz6EkUTNl65TZ8xAtcfdYQEpRW/ME+7qPofmbfHOXdJHerlbreOAI74+4F
PP0zy+4YZ88ijDgKX/8NV/oN/jkgB4aAXg287yPjk1LM9jHtsCwDooF7c+mPyDbCsA3TG6hCmfex
Ke/mnHdNB0x22XKxRpLrklhYSfPhAT9u5XR2YEs47DyXsnpg06PZXCW8lBWTmuogYbUiZios3Y4k
4tdRx3Ws/DLm2Vim6NQLGMfcBahUVqiHYMvmgij4iQUUlS0Bfc2T9wDePFGO34rr8A3ijJrn/cPM
ulur/Qd/zkXlZeKkEyMLj+QXQSYGETFE8COyoNrG8cIT/CZCcsNL/QSpbcFT/GlNkkwlz49+Ky2G
vBQ9p8NUsQUdJqv4tmSTxMQ33OyyXAYy/xpsf0ezH5OW5tOEvLSrcyVlebqHF+x5yyZSjPkE+7j4
6q+pwXFNHpt5Pks63PVbVs6CvMZhf/EtKQSLtoJ1y0OLyyLxlay8FPw4g7NZo8KjbexSmC0vvAGd
f4q9Jmrq3rmDiV8CQ/pSklSX3M1gdvSI/rjJ6QFoxsV18dXBCG4fDX/wfjGsMvOw3EKXnqmZ+zJu
RFszFPiL38ixFKvnV0HvntlgI0icJoyhCgkm970y7hnzJzn1SfQIf20MDl0E9VOPv21DzF6Vd7LB
obc4PVA74nx7uAZTHNYGYSFi87B7pxJaOnQWJ+71635BdmkxzYCOws/BJgID5kKLOCdJmedrWo6c
tmeekWvarAQHp8X4xkW/W9qxeSIQuempHNz2uaTzI1Xdq2+S2xZ24atLpcsuK81eMjWV0MDvFpsW
EB6esghPSsb1lItdh7CAohPumoUXM75mA4LOlgg/00T4fef9vNMBclXWO5jaVbb3X1OSvkTrWG4L
gjLzSPwKOmZR/Vi7i7tBFKnru5uRikHJMX2kib7fHGVFvw7lqpNTs+FG2vxD6pvXbKQ5DqL4nPWG
qhXAeWMavkefYTckbeErZHvAE4CEinSIvpc+fVEr5ughHpZqGsALdrLMDTEV7+DpOBl33CDUx4Ea
0V818mluguNAkkM/cjhK/cRusRc58TMlUbmmTBSsv3dpLKHvfpqxpy+dqFyXo2EBFsD653WEBbCv
ciDXYb5nlp3amI24x8aTgAq1UDR+wSf+lc94ZlQdA+3tWmswZS/eu2Ouark6ra35K+iALaXxpKNu
n+v8lxP8ESsi+FpZ7Ys43tPGPIZKDiWD41XJBv7BMqjRVLREYDUhVErXs489hKmzqFUGJ38lHd0r
zztgQk9KDQEvsuirzbmq6XiVA9YCaNVfJkd1lRK6lQMOahHZI3dsrEcxXkQ2Q2GKCpaMOThVtPqw
e9T3QdR/ac/g14p6voeEcq6IgNPPsLqwNu6p0chjDCzQzAG8UTYP5xYyEUh4gtcmToNCzPxRLGap
eGaHg0cbfGqQpcuE4TSwy2HxAlF4fIx2UafQKG8epoAItmzKFy8OhGyVSL2bZ7+28Vz7kyf3maJd
KQJ/KkgGPNSb/ADu/chHD9Bs193K3o2PEBYpT0T2DxEM7AqLigJ3vPQj150otEOE+RrKohlyXhK0
F9WS8HGHnWw8ZN58tRSwfiJRKbGhW+fj6GF73XsFfP5At+0K0wFbYYk6L3MK/nkd6R83xBXAvgfF
kRUw6JTsJRG7fg3wgB1qoqhi1Ca29u/dxPnJhmjAcbbOPtI3Xju0bocGjCLl3CsXrXcwlYgKplQ5
b+yvnwtWNr1+bcl8P6TBK5Smh4b2JYWtvZuBKZqfQ5m03XlkFnHUeXpzMiuVYu1xJWYsQABeSQyM
JeyGj8Cht/WgwYGYZ0X5kGCyBdwVC6C0gDIUgBdF9QO2wl+FYQfYrl+B9JdQR5bcdCi66dtIvRGl
DegOC1xbSeUdJte+pJvHSxiy1G2Hg+qv5jWR6zUKbDEm20Gmy1vSwPaqi+FTkR/46F6sy3Chkz3y
mb7XBHzjJHbLtEZAXrfztrgzD70/kDAuwLr4T292Dqj5FU5oc/KtO2/hjyFUDEwFC0yHEFbdnwOM
tFONz7CMQVLOev3ox8EWVmyf+KyfmW3eo8m7Gznz8C5HgFVDQoElLl9ZJx8QK3zRU+wqgpIJ5DcG
bOVisLy+DvFs0oCfyOZXNGuOJvIv3POKXiCBrHOXfgLYFo3Nc5+sDLgdd0WLDXGm9VjYaL1ijWUo
htyvmxAXe8tnmKahuDZRNYWPWaNPGlkTfsK3HYw8WFQnLcqOpxMUevEcttjTEK2otjj8C5ke4MXl
Ihyrk2B9Jl6y1mNq9qHirzrUjwCG0Nej5M6mreZpXIqImJ1t3bLHPjN7lmHj9RXyIEKY5Se5Otgc
73XRshkDY5e952k3HX02t3uZGbuDxCQ/9vGSPIxou2sN9BsLlsp3R2+l/dFj6Y+IAgbvZtrCPwP4
0bdMsdUWvk1B96nmkDJdoIZAIQTRnV/4zqM3MUXAr4ga9QAthkdOLMrp71gm4bsXL9z8tBk9nFkH
yqFsFH5T9iBG9+vEkCgt+zUdyg6Wq8/J0mGcWyQmy9z54Z8WkwZqBvcl9Bmt/muT+WeeYDb8mc/9
o4oIolCHwXe7eNTk5vQivxU46fOiODkQsEl1uwh7tGabD+NmyF06wzcJNF87/bg1y0egKIDzUoe2
EbaVyTsPYLQdtwlpis63yPNlHqiHfEp3a5qN3zFq/QVsQR8XJA/oS6LH5Xew0fWUmXZ4R85QUlm5
5S0gvdWd/MCDGJClqSpT6/eHgPf0SUALueM5CQ+z17DvwG1mLXmqW1KExHbZgXsd0L8mh/Xb2Cn3
17SM3DoqgyJIKegLbGWpvO/2azSuGuVOJ990hjEp2glYP8BfLbpryMYxuLgpPrmWo1olaI5NmyCu
0U/MwUDi/oqdHv9ThXj4jnd/tj5PnxDCamoY8WhTjK65M2F4lKx9RdjPUIyGe3s3TQMpx0wFdaiY
upLcur0e5wwTFtJvxTT9gAskP9iYSBxalZAn04g0L+nY2tLHcLkWTZ/HJzrMAdvTNNQvHFtxf2DD
sHwgTio86rhbdrpb0TJHI7luc4ecIQrCGditObHcV7smhwlBjiF/7xbGPiUq+ojpa0W/tsH2/bBk
aXvfwk356Kt4OudzAwLBsviobWwAXg/uYDMkUOO9UW9j09nPZDJvk8O5V/bcYJbaY+ERWo25SfiX
FwrU1WHKWYtpaeZYsfYQ74KFYSzEu0UCKYlm8TtiSpwjFVlbDCGaRg+bdpWAGLcQoaD3iTdvJYCH
4bRMWG0eo6QFqh7e8LHds0j6ZK99M+7SBul6UxLfjSFmOTV5he0Cd2f6OcFrTWx6mJrFnFVi1W6b
pu2LRERWSNJg72rx3R43jHwYl4b+ElBXHJMGHT7+DR4nqAOuI5w/MS+LlL3kKB8HvfJcFCYZhVeu
iO8pYEGaYvZK4zvX2m4tQhp1O2gc+orFmpcqIGAPUh786TjoAYwQ2ffcgCRaqaUXNUQg4Bq2vkFL
3jxTm7pKtXF6g1Akq5EQx+shNFMdLe1aboGWBJXBh605RsoT7Tt+89IWVdvF0w4KNfEW5aaHJN3r
bmkTg06LhHeLVGof2skuF5Zu2wfWalB+2Rw/MOS27QPQYOdoyedbrtbtA/cD1Jlx1idVq6K5tqw1
Pe5Qya/DAs+pApsW/fc8DWgh0bNehnyEKC5HGCXCZ4KX0UcrxwIznCFmXZ+9dMItg0lvmsq8h9ks
fPiGEqFiCB/iFMyUNy1nTCv8mKdDcssTNlTgYLeqiyOG9UYveB56rMUwqsRu9OKpTlwuDvOazdUi
xlmVxvOHT7KsbYWrFHb/WHqtmhR/tFGGlnKhFEsnXve2ZnQ7d74Kaz8m9JwG5gY++ikZU77P6eLQ
46CpCDhQHD130dOWTksZxAyIKLZPMBmrBn9Fs5l3tm0zvKxzftaqNy+D86KTT+esFkvPnrY5E/UU
JGggM9CIab5NABCS1X+mxMtH8OF5h2ZtjdN74pHxQfdKXhCj2L63ZljmXS9Uep3xXu4UGxt082Ym
d4qvjB2CEYOgBLuPtztVXQlvg+YMh93J21mnibmuiHzsCjOusE2JWzFOlad789xp1b5wKqeoWHN4
lmITpncF5T+zYIgXMoC7qKtnTICY4CNMpJnOkudu2OJiwY5uxUS0nFPJ4htEgRGMyfERSx360wRN
ISbnTKux0lOL/idx6wjuRcnTEIzDb38b/GPI5PYDcaobPMRwKRBwU0vQ3vVtbB67NfXhl2XgINZq
lCiKafaqlYx3cwIyTXY+O7fRRp/aZev3UHNM70FHwt+Ee8leab4efTKaL9d29LcNhuBr5l7wNGSc
nBJI1r0ShY9JLEPmPZp74LPDbpTcvaZ5x5eKNqjIwDw0Trj1s+sczZgp+Wi5KFYsR3xkslGfk2Dy
i/qAM2tBpT4s0Nkgr4obilnP5hzeCjJ/lh3ZdsalE7/vPZcDWkqbJKh0OqLcLeuMyU0iwPIY5R1K
lNdMcDqJeTPXmIHDpyxwdm/JClt+EWTPYCHQBIzhPF/6mQc7m6JxLFibg68HnC0Oemny12Rs09rI
0N9tAMgT+BiNDgVjGJbTFvew/VIRG+E3MCsaYM9wCc52y/TBzYhVldBJ7IMpjD6oaYNfEVnmPZ52
f4o2EQflsFABpDFZu+8GVjxH1/v0ZgcRvRI0KLd48hvQ4/jzy07x7DgpgSLvD0P4Mo3Aj3f5uPFn
2H0me4sdPixsbyIppSBxIYVfjklD9n7vR8d+hP1gAfWIfhqlXGpQSN6Pc9663pA9Qq68T9zvJmQB
cKtNPXE3gPqVrgnu5qG3983aBaAU06n9yQ5T5SClDkqXE7jNQW/AnsefvWjkd84vAZQIxxUi3qnI
AKe+Z2L+bpY1V7hzc6DHq6gHWyUXBBuWPpa5sqW/B/U/HAg2r+pcbRgn/GGCVOzQuMi1aKBJCwie
endtMqTnyHkQnYiG68uo/eBM58nDL+ojawhnQpXe6KLKE0CAUMG+m3kAJK388BrGTj9Pwzi8qMYD
dMSI3U6bARxXpoRjAaMFmpXNHWy6zRxtN5vSFCAbW4Jdb9W214HFzR6hv+p1jMb2x0hxATj8gqGO
npdkUWcMmHoX9GZ4sjnxT06OgQ9gI4wfAJ+pUziEK/Q3kTvrfMJAY6KfeY71a+lPHU5FCGySDWP6
1CjaoOcnfH4eVJi8aUWS/Yzv9BpDRn7AFnLZyXUOqxDQ7yfdGCFXZeO0u8asw/af7cW71Gtfs3zU
FZOgoApocfKfBiMbiwU1JK41n4N9CMTbvc7zmNwwYvj9dcXmX1jRbd3aehuo23UWVecWca1umTfM
aRG2fYvgTqKgMFCx+D2OmcQo3zN25gMsNwJBsodZNsCGp6H/vYmh/9sF07BDKzK/2G7AOyHz6Ncy
zXwBDajk08SQCe7CLj2OjQ8k1hctufZBI2+TnOc7GilyhCB5LiWP2A3bsOFlnGEjpr0lKFrpDUgu
TnGyTB58Yock6PfSrGjygig2ddssywtgsQnbF7yZ6qZvwzJbVVRjPux2DZnZkaMqnVv0PC84H99T
n6AxALq0pyI3j8Tk0G5PC8AXF5HhoUOpYZW/hTgKkJb2D1kO2gGqXQvVBBrmRemlBgnQf4NFGPe2
XzsHzsRfazITvDvTOOdeEWkL8r4Hak/T+QEZgOAJYiufDRu8Ourz4ARacFqhLQ1lnU69emHtnO5Q
7PQe0ZFjxaO1narYNM1XDOcAWSPQeaz8ZYTFPFAjNRr9G79riJFsMH9SG8jKGOLdJ7nb7gxWlnY+
C4IqXZP52lsPw1OUTgYwCdwX9/6o0ExZfU9pS+6Ftz3nPH/WgrrHLh2wvUMSyAfwUeMGc9Uw7hoV
by8S68U/4g9roQ6KO43e2kaZLoIlI8dtAyNKJp9WvsqGRyg6AB5oSCFk1vQfHc+mDxQZe4mSdbt6
goZnqEjGC++j7aUJwqEwaTJ8tEwH79h4TEoLDvBLCmi9ezp9d3kDlFYxuhsAqVyCCBxa4Y2hhGtk
B3JpXrrl7ENedFuECz/XuTlsYeZOgcZnlS0Eg0WzTOMRiLS7T/osMqWcgACWwPFaCFG0wOoWJqwt
cRIxDh4qUNQN585LBwtyoDc1rrHhN+mT5QVVCGAHRtQ9Rit0V8GGzcVMVV4InR7rw+9WrjIroGRj
YEfaUHeldis/hLiLdsn2E/eOZkW9Eh35fxIsItwHCkydoxKSp43Zq962pRYr1YXppv7kdHCWqdA4
Jgi0jHR6IOES7tbWp/fcjgM6Xx7R/RgSYkrsD3Z38wT6IVDkTvIx+d0k3mebMfYKmdo+0zQGdeEZ
pO4AxsPIBY69zdErTexNtfPUF1mzRqUiDtxTgh8b2PcKPGhD05UNoVfxMXttcsCaTQs7M2dEmS7z
MfSULlvbX630K+D/5HGZdHheWuBxGH9tAdEP5vfZv0HWt771AnyKQ+NVpBm+dgrStGrHHo961vtU
2+TJBc1xQCBCAUZ+wyS6lYqJKki7l4bql1FivVxEq3dEk3FaQ/eBEMyfzy4NeWhEdpNiuEOSYw3M
9oJggw/a93CK9AoXyKPz80fh+gdh9XUTW4dHEcLvNKcPzazTVz9EdCfrF1o2GQQxRCdHgc4TQQXW
eW9oO3Uxk+jH9uLRJuNQLDGccTRxzxg2MNZLtU8sOmrocbrfG+Dm0ybWsC2CRC+2EGgFv2A3llmQ
y3laEsfVforiTkLgs/TDDljYenIQPFXcTsObRenbbwyp0xssX99y+CBC9rjREhzcD9Q02EeDV7or
2zkGC4rVdYDZUxs2xbSK52nNcgsonoqLSyxUpM52R6Ni0MBZ1n2A5MZMLSe9G8MYJNCcgIF30Z2H
2XJv5Doccsxtc9GHwV8xOHwJT9G0UBuZ9zYkqJITkw8QaER3GEkB9mr49fwsdG53C2rh3qXdCRfW
8iaQilBMoOIrmGwAysdkfgwco6/emPi7xOZgDk0E/VfReoBdimDGK4ZNVbvzpx6XFFmm4aFRi7IH
eFI3hUa4MB6SArlmO38vMrHVLszzucKKFOSMfgPpZTFA7vYCkfwGm6atPa/htF4wLSKSegUqCqMZ
JwvC7Pyegz/8bhUDPraOjfnw1lg9SgSigDPy5zLcuvUMKLj3qjhW8bHbJI/xWrAevuvYty4N3N5x
VdsXSSZ9mSDA+UzIPAHjQ5eRl7Fvpu9xMO7koAN9g+J5Ors1VSB8Vx4fc5DN+96LlrCYoMVoyoUP
IVowr8EGEUQxXbnYDPftxqWcSw9dBwCW1fpPwN4WCMUW6MZz0SVhPUV5f1mdT1TdGGz8nMYmJCM8
ZiLd7cDj9wKN1RY/yWwRp2xLo2ua2Rakf0uOZG1nsErOfwR3OAJO6Lc9elJ6hjQHXuI2aroT9fgg
EUTlmxttY4Gpag143bZR9hqzdO0hAZ4U3pieqVe5Je1uUSjECKDuH3zn+3FhTYARARHxVzSM0RHA
NWFFCLk9HoWCsUfNvFUjEULapAZ6q6AOiiAiQNCSrhKTpSdvSJ+lzABQQSct7jTm0jOPR76jBPEr
CaZbvpoIFyz8yBPapn8D3XJk5MUWHK8eQrhH4QUsl5BAuZwm8pz2PgdfZMabGFABQbotO04kQYoL
D0rc2Ph+IBZB/+PrcRstDwvtwSSzZiR1ltr1uY9n9ZJQ2hxWqCoQeZ6ZHbZu6Z3n0wGBdg8sUB9h
z9/iMQEqkbGsgAnc8tT5mzp46F3fo00FWItuDYz72+VjYiTYm1aQy4CEMVm2HiSXUH7L+81AP71O
8/CwZNtXgM1QWwPuwwro1sZeVHgQR4YF4QJsF0l69eij1XzssTl+P0ZtWqW8G9OyCdP8t+WxPIpV
LeC/Ix8kA2oYGT3y18dvWHqxYK8dptAdykF4bHTklW3ThTD7CTcGetRPrvmkGCQI+XIa5g6jy6Dh
B0ZoWoHRjS8eOIOTWpb+bkW2xxFUYbNr0v6L0eFJUk9hHw/zItBV/B3jz1mafYXvP4cxylfGykhn
Xa39/C+MDLdnEbCgnDP+J4QXwZmkUtaYwNdr1nFxA2qcPYM69x5ZNs8PK1idK5ct4E+K9Rc3gxkr
mNfmTyFJx6hA/lP+iQEf49OI6bfITZc8uKAH5rRtWkO8LjBYwqK9PzDbZnW8ZvEfHH8oPgYTvU5N
3xww5DNATSTfYR495IJvhxnhL1GRqSTdLWRjuzDvQa7BFodCBA86KDaa0SJbO3bX54ZWAMqTB2/5
4TAx2G37tONpydtQ2EKO8dyUPsIEIVD2m/gIEMu/7/pM3c+CzXd2leoqLIS75ZKD5IetoH/EjA+G
wbYAq+Q4/e08zt5mEq8/nqmbANVhSVYr2UHq7Pw3oHGAzkYVXRqMlAXWUcZaWciDZANYBWTnf7F3
JkuSI1l2/RUK90hCAcW0NRhsdHcLn4cNxD08AlDMgGL++j6WzO4aKGSzFly0CEVqUZWRUR5hg+Lp
vefe590ou+gv2cTucJLNTUgp5/AzbmWz7ZR/BWXz6mZc6/hYBAWOpMUukj7w+ofBWas7e8nUtu17
kL+yAqvNNY9PG6BPbi0GuWltBfRfcG+nctmqoLAf6iZfbo2m8qDI/fbFm6IWNiGMm/6HG0/zZoBW
MJvGDBvYpqgePGmFhQvUSuaXl4zxJD5XJHG3w2LOw4a10OpcyLE4u2O/bAdbZaAM1ytz0vP/asv5
1LW6ekVbBJFJMpy4OieykHYX4TVqz802f15h+y8LK77DeTHLd8Etb5/Ua/sW69R/dZXhfsuyu84T
NSS2lc2hPztiW6WieO6a+nnS5ZaMWnXxF92ezHL07gZzNXiNW3lryX7eDWpoz4uujT2WvEXx2liz
SV3zdxVUDg5bZCPziK4cv3iZOe/z3GzSLVOYwdO5bS7DyunYQT4aG2eqhotuveAzTVjMIOyWLTe2
OxCu8PLs0e54vzZYXe4tfsZ0CHpRDnzIu+nGSiz68mqOjg7mX9nfJgzeFrH/NhhLifIiEw8YAtWm
sa4OukED5mkYGTN7PeG7TE4zbFwMrychwAakUUWj0cVfeTlfj1ZTARaD7/wYuMj7W1GYhCycJmuj
ajE3EJG/+pIpJF2Xp9FcgFzEeOLn2Gea/HQUp70FWOLW7YcGY9nHkJ9IoNJKH3J9DV7YbiQwjm/n
ipr1bUeX0rejUhx9h8nuDnUtuxvhvyKCi21kt92xLTyaBxLGH7xyKeeK01/i2xu+mEK+MMZ/tsrk
n4p1rtAoertpuxSlm5ZvWf+UxutLc1YcTOowxGkSTkZX1UeVWRw1pAqCHYxKF0lIg6jm1nbj+wNZ
+KEDzPtPAvf/mDrkz3ENz1EpaYIp0p9l/lOqUSmRzLU5uXsnne0wT9M+Uuw82P9Jyf5LePf/Hbt9
aX5Vj33361d/+9n8VwC4r9Xz/+Pf013/S/SM9yRX1ed/233q+u/DZ6gQ/M8/w2fWHxIU+/qJYGEg
jfYg13+FzwznDzou8ctpkKFZincI9Pgvhls4f5jEQKgtZHr3+U380l8MN+EzgY/AwkTeXJM31ftX
GG4WeVyTp38DnFlbJlkCyilA8JU1Fmxo4Nf/LqBc5GkphtbCNKyLUPQjwJhdBvav3oAywx/FBV6r
FDkocPfliOBZJRgKY3owSOuGVjkHQHaLiFJAhcDL4u3EoiImecYt0QTeeY2xelhlGXXWInfugurb
XMX2GnacfEJnbnudMZvL5459Rgu3W7L4qYoK36OJQgfuudbZY2qs+2nWY4PyHF9UTSynD9yd2VFU
usAiN4ZF3FU008UfMWnqADNFGApdcej6h44Hy7ZZ4vtlWV7jatxSqRX2rbcr05gojIgTrlmYGALW
ZREp6yjy1dxOq2u9lTP14M16dR5aqbartsHSXLzx2NTPlHQ4FyZcrEsedRuuf7/LwguiuJ00eehs
/e0Y6sMi+LK1VkFsCQD5yBCno5IfesmCQZ4r5vF7YGVxLFO7C3kWjM/KK+sJpnsWJwfhcMV5cZwH
5nHubolz36hpuzTuRzAW4nvOiitnRahs2laiMe+XubqSm1rGN2jjjeCnyvW27Vf7liOCtNWUZO4u
KWP/N2XxTpSm9pBHTs+jYRM0ZfJe+5pbuj1b+keSW94rG9psfzOolZUPbcHWFL4VSHUl/J+TeDZC
HpUKP/Q6V7eq836TqVMSDp066sjqp+W40CC4nxcAByaTPkipYUi8ZLLDrPJhLfSoAHqryQ2pTRfj
dkrK4M3KpD9/ac0WYkO35qUpbU28Zyws8dSaiXk3dt595RoyKlehWhjVIu9BUd160yezwWvX5je1
Wruozuyq33TFXJ5QAtzLGPBupLlquDCp9RJ3zR0VWGWKZ1DNdwVd0RujLZfTmnjMJJWVnxQwE1yR
PIw1BLaPA88KZuujLNJtTew07OdVvfIwT7YYfAEOLAau6exboIttbHlHZIb1ArWWnpbVQq1EYE/u
G1Mum3IAepzkjczNmyz3WB43brJ+efPa7JZqoSjx1bkaeMqxVS9K0iQaynwMVTJv7Mo4kLPDYYIO
8b1wTTunQ5dob2HeLvboYUmMoZ/HoGj6ySMfSAdbsZ/N6wQ+zneQi5QVHXv7YawfW6fbNyPdH9bP
3OZaTfjPLUx4ikw/DPlwiUEJZ4RPjqNh13ElMGP0qY7bxxLfJizAnetiBu0CYcqsqK+oGwxW2AKV
xYcCb2vtWt5VIzj7qqmOvFW7sZjPBboxTX/WfqQuNST2SpzQtY90ZejTKB22Eab83DRDmzbKxANV
KZpHvjY3AogfaN43P1TuP6fwM/bq7GnfCNFhjzYwbrBWx6XPLhaFt03ugQyuZynlNlW/JacKV970
qG0FSNTZxCbKHsGExraae6IXd4wg3rNXxCrMdelwzukPsgfiJs3YiA7i8Lsuih+oTRpW04M8Ndu3
pp2+jTiIQeIK72hJ4iGEPIcZKLDVn4VSe2HM66G3xdeC2J7cFmtsb4lxDvslq+LinjonLghGDRti
rnU4Be3eMxcCY77V3PUzmf4Mwuyoq7Wzd1kDepaNeXrWZcokWBZZlzwnAXKCxwWFQTbs03xrmEu0
6OIxydNfyjC/mL444lI/vy/X6UpeRk08rhEMKsisNxgPckF3tdfuwTTM+KErY0Uo1TLusnTE/Y2L
ACduNIPx1olxja3G6A5TU3suRDoLPZNGvFBJDApHoPbNqCtcYNnFkVGtwUOVZZrRUKyfuK7BrbTV
LoktxMveWqOu0VwOajdDMJe3rmU+pnEHTqv8t8JgMp6LbD5OAbJUQUdLpzJ1Su0mOPmJj4BhZc1N
bJFhTYsgyho/1E35JFjyVrQj2Zkmh2vsCSXFVXaJK4K5RvrsLXwzkB9egV52Mv9UtX2VFx49tVh0
WZi/fOUeEjc+Vbo+jCrfix7yitFzPidj20RG3v6E8bulQfhnOSsdxlrWbELJ7zshfgJAopkktJMO
Qh0Yio1w8qyocXNyoSirFNQJbp6yQU7I5ihOPHDCtJKIQ5XPfdstOQpZ/JrGcOnl2vyMhZnvih5h
2MQBG6fC3zuwBGxvOk05uKiX5CG+f9iU4xDSlovbWnILVxcQROCpDgAYhz3KvQU2ptk2zPSVfBHz
y7q+awdQB6Is5dXuSIBfP3Taq1+DcbopOp5qvcyinoCpY7wro9rbOWqca62vnp8Th3znHnAY2unW
k/NTYoAxVh30JZ+SzTqQR3Q8fK7qvivGnaxBaxOXrwOInfRYhdITGkoGXKZx3UAjf3kejjO+wS1t
6MdBd8epktulKm6DVj7HbfoWE06gVe6U8yGGCdokfXau3CAcuHKG4GkfcZfeuUTJ5AIx6N2u3vCq
FuNkGfaTQSRu43VwWUH1ax0fW+2lOzHG9B415CLGRf52YyeyM0Ba61MOIDMZEpOJwxnPziOm39vC
LdsrDmOZ3LoEWIIOGsA2s7u6EIcm7tyN5asf2UCUf0h/BJQAhz5e3cZZTL7m5MKxY3a+n96m9nmy
CSmVxc/WVMekcSChmm3WNOGwiJWXfLpuclS+H3Ilx2KYHTtaEDngLfZtaRhH39THgqSQQXorEwsM
PpaGfk3n5Gwvr/BHe79MdlzpQsMCacvMqTmZFrvYVTI+jG1wGNf5fkxHJA6SHUMcfPOl3aba3nMH
u8bo4+WIKweSOxnfbtMc0yDY8YKFfDRCnLhjjXjirz7s0gK+YWxN98kxus8uNfc2uaaVYyOBz+UL
2N3FJjd5tHMLX8Szi7Ay2uMy4iKU+EkSi6sF+K9NEVpZfuvTtb5Zi/I917/8wr2bK8AFepaGdjnI
3Nk5JISxTApgPgyYYj/12THxRrzt1SxDmXbBvits3l7T3Qb5gH6bclTJG+SDmwUJHcksuR+84blG
z96W0/taDtvSLeqDPZbeedYAuNoLllNffvNWHnOL16TmWj+Ut3y1MMcyNiXLk6tjJMwxv+takxjc
5N2DFHahN0xZZA/ObeOxEXYlUKtT6yHBeOWd0A8tgwZY8w+DSMxK86KTTsduBSoNTL21Jr0Xs7PF
TLhi74+zbTnbukfFV37ZbHXVDlvur+OBpRhvQTBWT2MlqwjLNzgHmBYbd4QsrWfDeVps9Sbqp2AF
52rsx7qetw6+92D098BHZ+KONx47SydtMXHKYCs7TcOt2LhJey8768FX42G21Mdk+j/6odyR/LAm
gySaubdUvBl47Qupb8rJf6KQcdzBX39fD/RdKUueB9ByhRPggvXPbWUdzRUDjNl0lzf02Jk8tYM0
jjpg5cktt97Y77zlVSJZeaYsdpVyhr32TwVGkt+qwzikKYqXEtHiwMkBOW+pHYqAIn8m3RfEg9oz
qqd8lKQdUSbxUtlIN4v/YRVzfHK8ImLHBEcAW2cT8qQ24UwVuEfEHd430O+McwFGBpfasXhyqNzZ
2F782TtjOJB4p8Jyw3QSehWUcolAQXoeDw0O+7a0YxINd7H6qOhv8OWlyDXlEsbR0e27xsouCxm2
VkPeyfywk2KXg2j05BimZI0QeQnr+GwIqMi2mN0Ohnbbx0j9nDGf+Lx7lNLIV7whjvHkTeuxUuDy
KFLcPzHXh20CYNutE0RrY+2ril4ZVfPUyGTUFo4b5bUX70ESNq2MH7z2IytZQknUytut8sH2S5vi
MoOqzNyHSiWWnuB0K0ccMxMu1fNuuODtYuxglQ956Bf5SzsSkli8g5qDO2dBkTeKrwAFSIpP7ckf
i/S+RPKzMN1576bofW12GsSrXVufDjUMQ2U/qS5PdyUmogQv3WQGCvssdUtAqLU/0ljE7+wD5kFa
+VlrbCZr2a8dF0ll1eSNuu4RiDh+SeuYKhFlJezCBqDf9aphhnD7+tgPgP0YqFhvkvnKThz2WVTu
2Zb5l+HYbxPnM3UQsdgArfKRdMdIJ5ixi/1Vzp7azqp9FLO3q2tIkmDSr1abPkyO7F4zM//Ors/S
OIdzAf8W0x7q6t5ZejOyGnUXD+a3bo1Tp0o7hLAEI/O2Wdx9t3IKFz5CwezfWq51V0gZ6SI3QtR0
b2Oa9Z4nfzQmxk3Co5RF4lz3LGHkt9XYZtQtdMFh0Q7lB9TBBAoYKRsCscmysrvjpmvsWA9pH4cp
x+PpLb0L/Iogg+vlHzGa9LXtooBltPQNTP0S9o2xfhh4H/TajQYSGegWYGFwoIYJg0xYNJpsdDy5
u75YjRsqa2AgcE5MmuqxEuqtKFf5e2zSBtAjq6a7PLOHS+J0Rs4+AN/nC1UD7W8SPSTtJhEd+L0Y
4on6OWU14qZmzr3W7xFJqINDVrNoZQtFlTgvpVm6HfG4ERrCaBbjNnYTReNbQPK3WsfNrDLmDnzV
8Uczjfl1/dDkhekQq7tA2cQXPIPEcnfN0BDKReKjaP3ko1EnYV8k5G26NQcMa2optrxYKNTG6CV1
NCJ/IHEwWLwOnKNX/M/iKioLEj/wBBS8LAlqdFisGhc/DipCdSKRywKFI11QDIaNSXB4M6T2BzdT
jbzz6J0ALWHb8HHVBu4P+7vxikAjwIMB3mromQdtu+imuVev8IjttRwnL2VWbaq59u7iXhuhAkDg
HeQXDwPTL5QP9uOQrPzlBz9v7pGQisWPJm1M2cUXJDV2Xa7xThypVL5dZsryEkgh1oAEQh3Lluva
Vhrx8tJWdWrvXMl3qcuX69iZEKzNzEYDJJs8wDxQKbYvE3Q3xE+fx7J5pAY1a2j98Jwut8mg5bAY
G0e0ork1RrsirajY1zMfY3qLi5sM43xm2hXrGJoktUbu12wl6O6If7fTsVg9d34kAFuIX1zgUu+X
ojwI11NX8pQ6lLC8lWqdbvpergcYlHJgBpuncO58dbBW1pI9tHLo4pCTQJxjdslwMqm5XfZVnxXx
3ul9+pBwEhEqWk4TzrOm8m8z1/ebjdtbg7Md5xkXoeYfMRIEYMHwHy7vhbtm+tbFhcOOztnVAd+V
O181NQhECQCHhlNMdriiBmiJ4cdt9opjK4/OvkxiZr2ldzKxqQfTuzSz7zRAsMJ4cHVh/6qaYKBj
0LbuF0GNZN0zoRRB7mz7rkn3c7XoU2OO9XsjBCHbOXes9TiZC7H3IYg9sqbFYkWV01T9np6V9iFV
GYB3Fif3WQzbtPXbldVi7px0O9abWcdqKTRlUal6U0Wmz+NcUOilcXykOYHGpxwDI1ByzP2BsOmv
3o2DI4XCwSOgi//QKr8mAz8499RfO9zdqkmcOk2oPHJLJ3jtp8y5b6vJul67M4B7SoZg+d1WLwgb
S7ac3LKkosDMpgxBRDnBD+5P5MmMLDsCQZaYZB4uioNnK3ezZ/qvs5P2v80O+opEq0lQwU6rx4od
y5dKdQam4WKdS5lwX7hmaOir1l7ODEGGqzy6AG4Fnw8A+o1TJNZjznH5FnB9PrFuPnmM+455RE46
QMoaUdschvG7UlnBmx7YQ7MpFWzYdonn5JMASboHL1ojQgbiZ07tTkEcWpQvGU4IMmNi2JusSeu7
1RbdL5FUFz5HlKj0TfbbyK62wkzGoN5bveYRw+vs7lxf3Zl0k5M05Xy5uvLN8JC1BD82tk7ku11T
4bUp2H0Ait/47quYG6aZBOhyaexRIP0Irm+E4vuGjxc9j5uWTiY0vx4KAc11Akee2FnGTl8qr2rJ
kCwvRMo5rgpb7hvThuMAiy12A8mKAzKcfXTmxPnRCT/msmbT/7J+pN3D1CVZGPu2eYPySe/x/Air
o06EOcqT7a72TnnwJMQVasZnQ6hfIl8ZcWjQWk5W0SU/iKTJx8muuCBIuq2sSumn2Uy5+CJB610y
OPNtQeEZ19bmYc3lciecNubLZftn4gDFgde7v6fO1WTs6KpomgkyoRBYV6a0CNj6QBGFARPjgCvB
MnK9acz5nNsC/cXv6OAgAxG2dsmne6pIxjkximp/N0z0rBY8Tp1sz9eKVHCXv7WL89iZTML13piD
M6UZ35Us9ho/yWC08XRxLIPlMAQsUbFixo41jkySGTeTr2NSfxiMjawtPpxVs/G9a3satOCtJBp0
kt3icPnJ7W+37I3XDBq33Jn15L7kEC+TLaLR+hETdnlzNR3aftt9zWuZ3paEJH9PDA6w1NIcz21j
5W9FvSy/CmkX70L28hQvxtafU1Y2sZlq4lu0ePDVKfuzjsTIqfsqm7ya93w+y/Q4wo+/FV6Vfdu9
k17ynBy+XElicCgbKvJyWTybNBe+u3XQsBUbro2SDW18Jl3r4Uka8zEFVnwSfwIlIOHjhdDFej95
fYzsbvbuV9bJ/GQpxlj+pf3gTGzHmqX7zd4R7yZlQiKJaeXjZ0eZCYUw0Bd2VZQHv3XMvVoNjzuX
t+4rg25ru7qfZ/ShgSaVhSR3QXg4pOshfVs60J8pLa0wMMlbl/Ul4RG4jRvlhi4oMu1tRM7N2N5p
DtPWJFjNg/wabbx+JWdgvHRtb8ep1GjPrQ8gmJyRtbLQt+kSk4Wgo/7Plo0hcF+oeIrmyj40lpF+
9x6V1bLW535WJHOGoT/UsUuqe3Xkdja8Gy9AsU+c4LE0NJfZni0omooSZoWUB/sYsdzG2hQ1MS5L
Znt2L2Q3tSih05rejVzyIz88Xb/PqvuVjUT8SzoUSC1wyaqq04AUH1rjXG9zkZzGvnwBV4nsuLU/
PSpyKAbIjJ07MBa0Aw2zoPKNnyHETO4zFUH9lZnxLkOVobQYZbdD04qWoWek80GFEHi7i9s4j+OU
EFs016bmXI2/yOHgjustKaZ1b9bGe0s+/FBTcCZpV9sFzdiF9MFv+sH2In/8zpyJywX9NSAsJeTu
eB8nbruRFa/LWJReNPjj65zkwKOJc4dok70wfub72hnHiON9HyuA3jkBSK/85cEHD8QX2iVFWu/G
kU4PKerlUNujc2Q/sTjCqfFVrrrxfbGKktG6Q6ywE+NH4bw5PoTd0J0SpN1ouV5uSGvcizzod2OS
nQe6Hg40KVBi5sOaEJdk0dxcsiUxLyg40dK62J2LTEx7hcj5LtXkpAoQcRehzp9+UuXDViXX3HG9
bo5U7IybBd2QgiDxUOCxwuKWEdTDHIGKRbgxH4tfL6hsDRPT0L/KHOm8DdpdfC25aaUzsaui4+PB
HBb2hpuHZgwJMRGV1BT5FJQuhlmquvtp4hOTF/MdlkLPWedmu6IcipsSXOORZY+3QaDFcTDKJy0W
bP75e569E7zoGfTrJmuyl+BPqW/qH5ngzU1ZE15thDdTZsf7kqXdnYbs/aC3yrtQGlegUXRQ+zyr
IqcoirNf0itXWfxl4B3Xe9fKv/qBboeYbxqZK3tL75RJSgAmZdDJXdmlz9ceAjOrS/R7i8l+OFLH
Fq46v8ciPJS+d0jTrAhHf+bpNDF+2eUh112kjeFSAXs3c/YGy+fdLy1YXrfAcJKT+Kzn0X9gMUCx
4jRd07Y0Ep/B6hgrZks+zdwEgNJHHU2rJERUVzvAUgQ3XJb92MMTT559shDxwtGc7nSshxdavtNL
bOidY/XqQbDoNFp6fw6HZiaVPC5USgT+Z9tiK4ZtvVi30yRQdfQYH03ItrqkiLEwPxZIF8pqqaFT
gYUQSDjFTsSuHuyngaOEzoi5Ow1VSfQmWzyG0bzhQ1E92CoJzWq98YX7AFT9RSMxBW/rns4dIAUe
vf24sYJHaksoZlLTpp+s4xJTtpzLo1Uxnwf1R7PA7lbjeTLKnkGc6iDZ1HmkV+TEpimQ1jnYg2LO
0cjNn/ZYsSqRv02Wtd9sQHiA+jnXtroUabcF55k3SPzEUHJnOZBNTXejVbwsiI9jatnPQxmcWMF0
rPKp2BCyuMqCfBGoNdcv85Lp17k0orzFdfFT3YTdtFz59NU5e137DjoJb5hhFuBwr2Hbz8OOapsk
4rkMQWROb572XnVZP3KdLYD9+3KjnakNG/84NUR0JYrxnDTbIUtubOc0pc05Q0D6MQ2m2g2Lc8nU
t1VMcGCZRpch2LWj+C+cuRC+q9Gav8j8OZdRTf23SqbBjXTGFtZ5Hq5KumqpzYFrw6CuDUTSjePJ
4L6sYjae53R4vSRcQYwzDrlxsRe/eq8Tx/k0r5pbwZ/S5V+6fp/8xuyMkLmto6olsNptUxpFSSPI
0jPCVAUFYKMp9o41oTrHerxYXE9gfVLzVrhuvpKAwpCShbn+9FJGDPSY8hfDaIKPmI0h/Q0DBxi4
WHJObMxLxOBflGJuIPIjRbiUgOJqhSkbF97tYVqm21hCae20zjrivxB9YUE10f/cK/D/YZD/Lkxh
UqgHH/G/J0LOn4PqVP73MMjffttfpX7+H9QQA+VbUl4r+Kz/KPXz/D8kFeHAHQ41wI502QvyFxBi
W39YtOxRRe9Y5KVZePIfQIgt/rh21Dm+z2+kHSz4l+qIhf2PdcS4AdKj3Rh06h85kNjLIED0Eu+T
Yrql57an7ocgZzoWXzlseGK510LRTYvDpJR3VAJ3ixtBnT+2Bo53Iu4nqmWg3V0MVDP+TKyafpbC
UlvWPeVcykS1X2kjscgYn+eCMg/+S2Tr6i13rV0Q3PdIT13q33iUzuWt8bTK4ZmrhaTC6cfaE3IW
PoUWuNuTUS20TJHDkEto+w9kTb9nl04sxxv4Z/o5z6qfbQnEGgiqWNKsvuFlvXOFvumzjr5fHz86
K7mVdik5F9s7ZwPU/xpQTZoldOeYKz8soM8WAjwihU+bVKJ/GV3zEFDhH/c+X+28pRxWnaepfx0T
MAL2TLXpt3ctBqlMKzJNEu4xTk72Fqe/B13u18p/m1ICgowVr0pc4O+bSA7jJw0fIjTr505a3w66
SUifyL1ABVxwfgLgl6e89Il2Orl5mp3lsiSdgWxZ1OSCG/jTpf8QajSPfOVRyK3ppWwcIvL2dHIp
onijmY09RGU27vuy6z7GTIWcf8s277uOtk9V09jkOu61FsSl/ouEBu5hl+4tr0UXF6v2f6yTaO+G
a/CB1/CpzCd9kpnckfZsz8Na17+WWDXPpWGpZ7deswMLaG+KqfC29biM0djFuz+/U/8PzhikNP7z
X4A045T4P50r+2H5rD7/6Vj5d8YMYe8PiimF8MiqOrYjnL9BZq74w/YtT3igZg7Eo/O3M8X/w5EO
m0FY6WReG86vx81fkJn4g99gAZkJizW2/Ev/0pnCUfQPjJnjgiCyXdC3GegDDz/on7YfXE8bN69G
OoDnsST9Cg5HFxgiBXMB39xgA1O2foyrkM9rA0u74SLB59RZW0Seae7Hx4k+nHaziNwGlsdkNa0u
1ihIlfG0cJv9ntaGGl9IbW59cfMwkVYkHWjMNH3VRjuf7UZUtH/ZY/JQx5gPfEvX/H4YeueGDJlH
Lc3cOS/AHV18NWS4s/hFMzmhJxe0nyIX+lpelpiPU2IGDUpAlrxpc+jvVKqUvdVTLPqd2Sf8jbw4
128CB3XaSpyoNrKIzn52ckjuW4CLcZMOdv4r0SnyfFcnXEKmmWbe66WYpo9O68/OpJscaKUEnHZc
5pe9UVXeubVwY7alZfTAbEVJ0LCT/LBIWLUvMA1F8t7rZLgde3C7TewH10KchHahFD1RYsnwvS1N
wLxtWY4GKWGF2aa9noPQaoMKZtsbMJ/Lgf70bWVjnl3fl9I5NqtpcQlwPQJWybVbLXFm7104dLXh
4yeNsY11HqRHY6pYzjl4UHG89hMse6JwlMhHdkhJfeAEhwZnwjnak0M7KJv/jEwmBIu0PeCDFb14
MMqUhrCWJ+it5M+XbCdu3lTo2B6ZwS4m6uSaqX803TK+QiutT/0WivayMWRqUZU+9RQvEigPvtxu
tlPsMqf/wlOdadbPRTMeLLN0Hp1ewaL5RjE+TXnhjRshNUm8ZKCZnOeFHyIQn1SVr9E0qXhBbwua
27GcHIeM78TnmBu/+O0bNtoCwgtE8dBeQ/1jUoATmGSFye4UliQndM2R4XCOFApStmxesJSXb1tz
aI6ra/6e69W8uB2Xhj0hk2sm0oxHVqpMBf1aOel4hnBaeHjL2kV9pe6EadtZaJ3UjOvxY5zj5oMS
AijjZXCwXCoEkwMVi7R0rc50u5oz+o6pKwbRyc98av1XHgIZJeK4xfTpk0Mc1U7InAgNtQvuyen7
IiBDGnsrbf2pBWDXlqT8WSHUdF+LERes0GSLcbSmnj4OCnZl43O/l5izFh1knjVyJzPdgSZwSztn
kdmsHE+I1j9Js7T9sFJpj49muWT/ZjWizy0JBYpUEmTjPWmyMjuyFBEzwK3I54e+sfpfTbUKOlmk
EhaWu6ihAgxrQIzL1ukiiLYyrCRD8d0LX3dksb30pnELG6nCJCVCPK1ZFM14qwkiQ/cLZY+gfL8J
KqS/cquI35Su10+j5q0PST6571UB1BX2pmzei9RojE3NdhgYh2kxDS6zDmVg7RooZI44nZ/oK3ey
cMqt8Q5njARosorhw5kz+3NC3cQ1z9IMxGyq8ku1rsanNziggbPwg29PJwa7F+tYP6m19Ho6H0SR
Rqnu28cKdfiez5iNzGk1jROuLEnIolhnY0vemXQqO+9d9eIT0qrCvuSDS0zOtJLd4KVlEuFJN8MZ
AzgQp8FsphnDUHHN7icPVi6ex6E/IfjxckhWCRQQRCJNw8HikoKzS8HiU92mObhf37Su6VATknHI
xQM9QWAIYjhPuJf5ndOwZTjqUm2q7djDGF2DKom8iDIxv4zMs8xNXKSxvy8IiFHhq0ymMoe08Uyf
hl9nh9ZmQ9INEcW62i4oUT+Gwlj6+3rV5hpKXal4y3glvX+j7jyW40i2NP0qZbOPmgj3kIvZpM6E
SoAACHITBhJAaK1jNa8xrzdP0l+AVdXIBC6y2Wa9uGZlVqSRRCj340f84kbXFF/sSn/I1J1SBAz3
ERwxTKzqA2Q9qanaYjD7mZWkAcIzJWLNy2poVATGOpOKdqR2nae6hQe7z1unnvdlin0B7NfynoS9
jp+jOGK+5+gmPEST7woJprCReolQHSBKUOF+tf3E3lesRTQ8BP9+kfRC++EZmfIjYd8jE4dZMdqs
MuhQureT+rbj3SDPrheps0JaxOpX8O0ghlWD718aatShm++OD0GYuMjLjE54MYLm19au3SKzGQ5T
l67rsvwnRJbxp4Fk0lVWROH3vOitM983ta8uG/on4GcfpYDa6SUdD9rBzDlH62nibt9Jw8voNQYt
jCGZuk3IDMSFApHjGFCiQOLS9hKQ+r7KtneyM7NULHRgxgSKAqxzyldmSwy9C0JO042+RN8iI9oA
cZLjIhzGjMapo/Yj5yWNzcAKmi/CTPVhA6HVuM+6Lu7mYd8MdyKPWXttFNOsrQqPhoHsOuDlQY1Y
6ypKSux3MtXmBRaMboudBtg1moZU4Aa0VgTJLPJ7GMrge5t7gAa6nCtwOpC61BqkR+AIa/ms6WRI
x7+rbAQakeGDG+SoNcdFyFVDhxH+6CQ8D/HYXCqGN7LMgkx8F40OwDcjoLQc/xGQtTBxjO+mZyQv
FiKg6TyLzbxcKY1EjwhMzb0hQqOZ5a5q/qjtvL7F7Fhwguo9vgOxqBxO8b6uflqZ4mxbvESe7GCI
9rQuMwKG3op0UTJ0TujgGvH1kAZMxAGbg1JSz9Ikd++bEHeOecUECe+UWnFeInBXL63qOS+anqtE
p0S/DOQIkmWSs7kykAsFiTZkF2jL1Q+pjfztAvJmdhtUxoRHGkLUqxp8p7eQQ3JrYzO7Neapa5fn
cY3+P4q9qayX4MRFs9DGuN64tE9RUES4Vc59e1DSWe1L9cns+hHuTu7rGQMVULOTdAV26X2LIJkM
hbi1ZaPfphnqqSsxhBkS2WgAqHNkrMm5+tC+rStEy9GIjZDdZjyLtRMNQGDHwDIeHPBicgkiAmQi
8kiSRro0RgZFDhypCmLRNjADZn+wU8PLBlXR9jJJwg5AFZrBd5woKr7ZCEvfW1YBklL2lbvyK8aw
s15Ra0CFPkz0pbRoBcO/TmmnI7Fs3tUyVav1SOb0UIJF7BdS+tHtyGR8H5odHboWaCxybl7EiJuw
/lg7evuUNJEHmVgffsQI5X23x4gCchqNUJ4GCMygiMunZp7PABxSRF6xzU233geW699VaC7CO0e8
lJGQNYAnd5Uouu3Cxo1op2rmt6EJx7PUg/S6MmTnOLvcqtFnLjsKx20VuDTs1dDT7osELpnnADbZ
ZHncP2lC86uF5Ow4Q2Wp8+F1TTDJ0mtATvpuYYGXCQEp1cjk7bpxDOMF5CBzN6YwBOc4n0tkZv2K
TjRrOOLQFK0qmfvl+FfJltg4CtKDUTUMiJ55T7XqZb32QI4AyA06N3qIMP4AJdamgmiDi63WLPdK
cO6wABKQk0GghBvHRYh2rugg5RdpCVR4SEeaWDpM21s9LJAokPQu5wrttxKckPC/psrQPYOcRSIX
6SNSoVQzEKOLMiU4ixhOXDdFpYA+6TrrFi1ZYF+c8d4l7kglw1A1Rz8cGEcvZkrc869puDnUy1qA
qRLbLJWN8gC83gLkoEgUUbOmS3dKFxU+k8TB2EaFqd+FbZgTYMuBH5AZlXuFmAj3gEyRAwx/0MCn
d3IyIXYaX/Vm/1P171X7XNZN+fwHfKvqj1WTPj3WkM3/DQpiSJyfFcRfHpPsoB5+/fu/OmwKxSss
KWuy9TItjLomZtUvxy/+SPyJX7c6EfRsXVo03/5qsSmaxNdLVQ3HNDXbRBSHTt9f9bCi6X+q5tRm
07ELo0dnGL/DutIPzUq5I0Na8PIMuok2BhnyqNfmFTT0E3vUbpmNo6VapiUjEMsd86c8cMn+aoNK
0IO8R0GT0+ixtZHDZwhEZG3TVi06LIIImCCcHeRvmAohtUDSv9cNH2xdqspJ1Qm0BAg0MWRfwlH5
XrbVJA8lugyNwRHQT5qhhzopsis3jmVTi7q633LGx+2QLxuVnlpi5jYE/jQ1mLD75Wivkhojy0Ai
01dQBpGVMJRslnlQFMo3xTecq6D36hLperfdcnzCDECbB+Te0I/7N1/7A2eOQ2bj9AYh5dgYc/Ad
5dQuPexWlnzZYCxi7RZ+iTuvRFMiEKu3i8+vctgL/XUVjSatpTo4s3F2H14lLuO6KRhd3yapXi3R
OChXvayalSJApAIXVn41tvCv+dgM7oOFwaOYPBhNEltg3nB4wUagbCNLY7g1CVNnXpq133pJnbnC
MqVA3qKJyhjsYeisC0/1WQyaBfStgiM/ZzysL2WOqwRAplT/meDf8AztHs1FlG7RnautjimKh07S
Fx1NpXgOKnq4a6zBQEhcyiFbws5JqCA7Ej6mOybcCsOIssU4anC5IxK/GlFpC2yjDlLtqtIqp1jo
Mmf0qbrupeKMDW0IPc9R27WKG9N3++9U81bEnLiRj0Zgli96grrePNRzC2XLllriV2j8l2/w3Rej
VUmnC1scUs/pLR6+QCiCGlwFs7+tvfTFHbMzT+Hd4PG0USI3+PW5/gf6kP9uxFep4nv4Zq+8o75+
CdKaQwW4xvOBe9Ff//CvQGzKP1UoO4aFjRFUV/kmEPNHE+uUBIbu5OTIzZf8m/1qE2wl7FYd8vTr
P/snEGv8ERFaADnjB0+zk7/JuX/FjF9emB/vNo1g/4b6ahhE+emQYOABVdsi6B8ulhql63BgKLbo
EixsS81s0eko7gG74dR6X3sKXbQsvW3YEos89PQ5sB3iNDnuCvuTrSk96DJYJZyIOpI3fXxfTHnp
lxJ3BL86uq8uLnoV4WQJUQeBV6Ak6cYo1bMmHn74OIwgAOJ+V2oAHOhD7vO83GMTgi4OAlPDqA5b
K15bMeI+ZW7faVqJqitK1lXsXTjeGJ9bHjresoG8kFLIjqNbLawOjDwOIsW8LGW4QuYJkQHHHhHh
jKA1VT3TAITLTBvkqZKPw5Jz9AzdqvjXg//Wfvp0pxwYgf375jZgGXE+4qv+60HixWP8ODz+cdaU
Qfz//+//q6Lpd+tyeHx6/ON//7F5/JElj8Ef2yp+TJ+qt3OBf372ry2o6cwGED8U0jAcA2gFrfdf
qZCmG3/apo4ZmGVZRMo3qZAu/zQN1RCWY/y1z/7ZgPyRZESp2pYtmDniAfY7O5CU7s1Cx27TMUnD
QBEjVo2Tqnp0ig+UfjHYhRIxnWJtFCroTnORVyYtgGbBP6YhkK/DbLh68yr/CgR/vPFcxQX9gwtP
tZOwdZ3063jYCSZXoFUi67vcH5ZUejCudLSho6USVwjm4W2sdNAShrG9KDy6AUGL7H9WMdRPKJdJ
EREBjBaVziCsN1fCT76HbAs/yDepaG/CUl0C0194KtjwIscr6oeWwFDFP4dewnUSR7dZ/sO3q5VZ
JOd6Ni6rxLwF2n7hTJg8x4Ac0mdbWAQLUErwqcxvFu29GbnprQq4aCahiyCgGv7w9XytVvElUq1A
BYNHGA/Nti3tWy+Jl16ZfyMo3+m6tUUcZAEN9clPXToo3jXd8ZvWbOBAtBjMhqV9ybwOesaAfWi+
rupy23bT3FPptlFpXwE/ZxggXH+lC3OhuGDeal5WVK0a04AapexCoS9qYSJAP0bnqer+HPK23KZd
ukmV8Mn3G9y8ok5HQC9/cFyclQCb9oClqTAVH38bZSUmvrgp71Qdn28dzw5L0rWudfOyKZBRS0s8
LCmJLQn9ISjMhRWDl87NRaon55oNmQHZLD0YlrHZnAjIzuFB8bpOBUkgrmgM2U0S9sODoqiKpIHF
Wd6pNsrAvXEG9BShVuTzA+N6mNpp0uyuRBjctqZ35jvxUoe/ymThMmjbBQKQX/LaWpEGT63K6sGL
+3u0Qhd1ht+EYmwwJ1iE4Ep92O/YGW2sRFyPdb4OAGQP4FjBaUEkNot95vb3CbBT3+ezhybIl/KB
0n4hOyhZXn9WAHGBDABJja8zsoqzLFyULW0opGVuOFj5ZrZcop4UYE3STvYt6wi5A92Pv1s2QMXY
OC+qrp23SvK9Yw6RoHE004CANgOtcKPcwRq+tISxaaCwA0fZJwJcWdyDw+yv8qL44kDYj7ECLiL9
zg/g1Dniri29lVbTCnMT7MmHZY9ofCTKFYzRi9b7yfG8ACq+93Lu1cdTxsGXAQhLTrNZxsnWTpsd
C/QcCbzdiTigfhAHBOQAgp8kXzSNow/bRmWJB59Z3ZWqc5ubzm2owhaL7dXQlA+lmuYTCI+qxljm
dXhRd5Dty+wGEmaG+Y1r9FfhUKzLgpanjUtP5q1ytH8FQsw5NVOX5igZKbf60CwCULD5WGwbaUJa
hHukaP1ZWRRAsI21brUXCcZ1A4wzsvRllddfXSJh5WLRDHY7Zb+FeLcEkP9zE/e6GDMx5BhlGf5w
/fi8a00AhWglAse/L+1wkTeSO0JeJkiWZtUw669X9IXWoFzpdjErUsWqbVpwV3T6++nV53uEu2jk
NRe5A8k9N9nDeOoRhfCindd5Bc+/vUognYVVC0GtPwNJtVT8ahVq3UXiwD/L6T7XWjIvQDKyJRZZ
5lz6xb1utldul2+y6AmVFKZSCJUxhFDtn6XgEYSy4yPskEXfVEa2D/1sUv00EYIk8rvKibLxCN3y
ayeTjGoaxw0p3wS+eat2EiLRYRqo2t7xri8mnwvEttbewIxSTzdFMVw5nbGxoVSgwLSHrLhUwnxd
MzJVel4jiyNPs2867ENHD3Lyr2yTj+aKmm1V6jo+1fq86qJLG0ppnzVfKzvdCinvCjf4Oe0Swb71
CPul2c7dwdmamX1ZIuX7+bKe0sM3ii7TqSqQ/LGQc9EFM/ejGkjH7dECPlbf+QxI55JrdjRzhxJb
kd4NT8TGoyT61xuVFIIo1UyZvjzeQkoplbzjKNWzemdAp7dm1kLi/GN5Z3Vh3LlWdza0xnlZZvOe
kbDagMuHdg3Z002XJ578eD8jXzM9MDAD1HZ0aU8JxxsxG2lEHsCXFkIEHfExRP0VDGb8CnRPzfMW
uREExc5gZa5LCz2PPN8wdJ/nhrFK2E8qdGGT4WJYy8satWHi9c5vrHP05B9wFdljzXBWEFFFm24z
p7kQ9FsBT+wDo/yqj95ZW9BKDwRImPbGrHnMdGi+Jk14KZX+HlLyeQkRxAu9pyQp1q1nLOyhgZFg
LGQUPFec2sLsr6qQi5ACJXb6JRrKduJloi5vFdXchrql8XdmhZt/Q5vvWucv0MUkzgvltlJNVOn9
M6AB3YmPPK2YtysK03qgJRIUh4pmo6UdFSQo2umB7/NaTUVuSk5xiSLb66f7rdz/vyYi9S//1nSt
nxkyI4Hn1xSCf117ql0PfoOZfFBDdXomm3nGfKn+u4ac/uZ/9Q//eH79KbdD/vx//tfPrEnr6afh
aHRQDk92sv86yV+Vz+lP/48pY02fq+Cgnzn9y7/bmVIH3wMckMXNDnuTwysU13+iHEXV/XdJ/E8V
rVh/Tuk5ytFoRNHSBMD7TxavCOtPB3TPpC3lSP5v/BbARxwVrDbEaHJPBC9MVZVInh1tuxp/3DoI
u+GiCxp3VeQRPAkGGGgxQa5DfI5Q29fdUtOAzhG3RvDPWboUAMxpoaNfHho5o5aYzEbVfVQpTWRQ
cOdOdoXJuKr3kU0PEhPNk3S8L/vmDizEY8c88RYXGn2tGmhbK0iQzt98jI/KhKn8+M9lT1eR7rGh
0aNFHUuijjU99pto0hWek9Hvgq2Uoz1cOK36PW+xZSpHZf16oyqTSK8K/L1uBsMuL7L+xC28dhgP
boE7IAEyJgExw6RRcXgLODE4Idgl9WL029WDXQy4BxZ9iChJxMjKLvuV1rtYtnm68EgFQz8HSu/W
X9VRy1A7TjPIYnjV0EXInHGTRCYTHMA16UMzKb2DU02wboyaHXIDyOSnSP5se9kxGvHHcGsalU7c
LiBfx5lTMSlqQiSiCyzHZ5qIHQwtagb888geTxxh2mHE4dWzJE3KUocozopwjhBjZeEjhFGU/QVU
Q3kTMwAdZ/SR4IJn8MVftMAXJrSSmDE9QygSXkR+QUdqVz5QppnWYVfDsDMJv1lqKNtTdze99cOv
wn5iOzrU1fhzT9i9twsjjIIQJKgmLkJMcx9hC6KXj5MCvNNigMqHb+OwZKrpXcHy6/H7dJjg6wKM
qYkYeTZXbDumK95F7sXnK/b9W2PWLVglgIgBKRhH9XQVIJfGGBg98SD8XkeOM/EqohNrUn+3LYgn
4JZ5flVMPXIi1dunb0GhlYZSjBcqdh20jLqa5YcbGjODL1FR1Du6H+MzWvTKEr0ImmpJrJSrJK+T
2yTOEJ4yszoGflS1oKTgJFP06JPAcYLIpazH9pYpbOHNJGpylxDjMHDDE25p+al9nVCEoWFkOI/o
NTso1fsDU41KC+hp98hbW0n5PTDa0aMWTxAEQ7Zzodcpkzr0m/EncWu8eisLYt0YmcUTCy9akETF
6Yl39MH6JWwQemlR0meQE2r87TtClUFkod+rF7LJ6gcRDfokA5Oi0VVpUpkrWVCtXBNNnCrMzbk1
NtYXJBMSiBmowjqL7hZRK4ZCT5+vD21amIcLlyYQqwPsikkhK48XSFXVUZc7w0Waw2zH0FFc4AOc
IFMmm23SgbdRlK7bjlnboQ2UFXhWG9ZmiKPk4cSdvN9CCB+SVkwtWLpQU/fp7QvSRt0L01xRL5Qe
k4PajYE26iMJHIQNxEgd6PGr0MMcZQ6aePgOgJSyIqt4gVFvZPkyMtlLs2bozcXnd3aYPePDxNJm
aIhSIp3haU53eGO1jIFPMsC6tqL0MRe8JtvwYWQxd5hHsKo/v9pR+vx6OepPrsdm4mdM+pBv34PS
2KUHqr+9TkTxwCmgrsty8rEe5lraRouwcALU6ponFWzKRqoPhfPDBqExMxjizfqywnYVO8sTy/c4
jvAOaMmDPyO4MTF97Ye8OfgU8JKl3pnqddXL4htoFkQ7wjLdnHj240Ay9VSmtp+OIjv1in60SfCL
MaIGg5DrQa3krK1AYdBp8ZGMRDYWgSDYQYn8noNxnVWOEyBg0qXrE/cwrbO3O4J7mFIkoWsTdJqS
4fD9A2UcvCptSBd7p19bFXr8na5WS0uwN3zLvmwdC00iM9xYrhCM0loXCfXoEp8I2EGuA/lNle2I
+IybnzpmjncrE04LRDe9Vj6Hg5rr0b2FldEAXYivnRT+alS79pyqHpyujpYa7kASt2QLFTfmxTeR
hoA0Vi/GeUUedaKueh2nHr4l7oS1YJNIYtp1XDYjhY2enSrjay3R4rXhqZDdGbUt7AVau1BNEyMP
zwxwT5AXXPXUN/rwPby5+tEe0UXaSEFn5hovg3Im80pd9hPPv0jSAlkwmO9Bmk+mSqG2dBVYYoFM
V3boeKcW7LvYIKipaZcDE2BbQJ84/CDItqEe3Cv+tZUDJXFJ1hd5n4KRamR2nYaIInn+xF9VmNan
zbfMqL9VqbHqS7O+66rRQhsskBfm2I+rzo/LE5Hr/Vfi9rRpNcMd4lx+jf5vtm2DMToLIgyuEVXD
nNq1YIzKcWP0NCW1kOZ1VarNZRjWDhrZjbHSvNw7cQ/TkjxYKNwCsw05DRVsuuhHn8oO0tCXWRcg
GuFewq1XUS1lsqwiqLStak0DSu36l3Zh5fvPN/JHnwaCFBxTi5KbscXhp2GWboBacrlwQW9WgtDD
ATwK5g4ytisz9uITa0EcH2AIdUzjE0EawvCCWd3hBYc4TGq9DMNrw0FmA9OvblugHzfzisSEi1MM
qNqXYgk915t1JgqOACgQqoLiOYM2qSDl130vwrBZDejlLY22wwZW8wqMrtBu6MDwQXRIzAXI9Xuz
zLWVx7jx8r/xzshiIWYI2mHvEjkggCOmUcE1WOqAbj5YTpRCHkINQSotQb3u88tNb+Td2gBFw/Gq
Tcfs0RuzsW9tlDEOrxH+uIUx0K7zxKb3P/o/stA5zxwA259f8f3pKtiqKs1d6jeYJ9pRYWpEwRj7
qhNch0bZz2JXPKiAXbfdJAvTQDdHn61GNCe7cexLx8gugy6oz7O6wRtMmEvB/IM3//k9vV+okP4o
VSDdmPzKOdohKVp1vpIRQ7Sqt+dojt4L0dLu97XF6GLv/PnVXlszhy+dYR1DPoAyVFHkGIfLdGxz
PICHOrhOldFAOr4LJ8is4YHKLvuxfAISuLdsezUqmLiG8WToF/iKjSEEBJV1i24onAFj09IjvbNd
I37kdRt/kUb/JWrj9S6O7hIcgGQNmrbBKPAo6aIeSIqgG8NrQRVw1fbaeFe3nY/qYNwU85RhEXCR
OMPqorFjMv6+Q4UBUeciWWhmKL90Rttcak4c/0Q/DN3NTsPIMarMBveBKpUXaW0U6Gspw3UaG+Lh
83esTwXP0d1LE3V24GE6s8yJfvU2h8P/MqMESWkap8AB3cIuljHM9E3qwL8NGk3izIndeYIfIbN1
rO+GTuIBMAwPpqshYtABEW2yaFMWcJwEhg8LVcP/HVETPIEx+cOgvEO/joOtx+8JSZpxDnR06/Qu
ek6l6cyyFvFPKvJnL+2UnVHe2GYafXExFwWoH/WLIla+eFhaXQxlVM5l1NP3LBJ7hQsxYxlM1rYC
9ao1Vu7hifX3LpNkrOLQibZoDmkkuMcp3hCpntWPyn6AXTMTCSqXqTEGJwY5r8fK8RegzlIN1aFj
wK8Ov4DjVRrG0ol3XVnFsNDxRYITn8WLiLNoUTaw8SFs1ogKaOOXkBYWlKSgucry7haN1fFCIBS8
w9VihAiUP06OUw0GWQvO2Vscc7+5XeIvRy+BSFN060LULgqh9Jx0ZqSMO5LixCH6wUsjbE0lPBrv
FoS+w6ex1WYoWVHKHhyfMhtLEe8Z8IY/P1+2H6QLxKFXtBSNe1s9Do6uktP8gkm1DwI2lttaZLVo
Zy9hRVzpFU4g6CADPEvzhZ2oF0ZpJCfOH+39icAd8IAmeiccC85ReFZrW+j9YCR73Edug3xtGZeQ
uWbWjxCRmKJGO9OKzjQ8JLthVQ79uSycddczo/JfPHSn+tA50UB5febDhcQdMTeRIMho7xyXY0AK
8ZtQGYmNXi03SCZBgQV3uRpDIDFdlCZndhaot21RJASdKkVvzByR62jRIrXrYSn7CAVzSLBPSlW5
uyGBIeYxlGeaiWy+5kX2b6+V6TChehEASmm9HkVOy+r0QgP1vG+BgCyHrkIBAljFiW38rkqiXUCH
mXYclwEJOaV9bzLLWPXVejBksrf9tloDBcRLXZMVvByIe58vy/fnI6CwKb2GkAos63hN+G1gIpHk
hPsxSLwF3qOASN0kAUMPvy+S6qkv/sGj/ef1oLweHZCo8YRlawbRPoztLT43xABZn8Fn3Pi6BkzB
v0jtfBfD31NQNsXqvWhTJD0Qt2qLHV7fnz/9tOIP1x/9/ekUocsPPE2djpo3L9pL6rrshzLe5xET
styg2YWsxbrLMFwQcGhBOEDiI8035qHSn6zzPro8wFoYu1MTkXL48PJG2aZxAXNtH+j6uDatsvzi
DoV1wVBt5yuhGswUIS86XWlgW2kI8Mihu0xSxTtPW0yHMKJKh90QldrGU2lNpK7oN6g5Aj2rw+C8
1tzbz1/X+3LDwurIpoeA1Qqd4KOPl+WmKyW9PdwHBiTZYhsBGdinYELwpvAQv4TfqlxldnaqCfpB
8KR3QecG7MDUPDgGmiL01bE+XJ/hXzSsuiS4aVE7u2tb8aTa3vi11qAJyxKtmxBrCRhwGPZ9/uzv
Fy53MK2UidztwO4+/Fai6EHLtCNC01V1k+al2JeVwJwnTdMTb/kILkWTCi443TC2I/0wxiJHcXoI
Q2BMTcal+mwTWhhkKnYkLxoFQSwrqS5zzEEu/bZZ5AqDm9xdeCWYE+YIl0jrWSee+4Nvrqk22TNJ
BbXXJIXxdouIzjLHBmfNvRwdZYZ6aHUJu9y4FjYcOsTISzNNvqho4n///H2/P5VJYuh/TImewYF1
9L6RRysKS1ThXnPhuSomQDBHtM6JeP4+/PE1p/YCbTFDmq8VzZsAkGHbgYFo6u/Dsm+3Tuh1CNNH
+XI09S8Vok6fP9MHa4jIrk+MhgkJa09//uZqemFGXQ1Ha68U+HADsVoNI21VGgnd9vMrvT/qKZOZ
zJPfg9wlUTu8UikKsNlRHO7bTntCdgY3eVeU954d/0QSVH0ymH4tP7/kRw/HRYEVavY0RjtKo7Ii
wH02VII9HGTl3JQVJqamAjtaff78Qh98Mxr9zFkBFFLAHI/HfcSo8IVRxVURCLzT4trcIMD53Igu
P4MxfCr2fFAtTT1z1gYpCm/UOtqOWh679JqEdjX6qXVhCK1c2X4wXjL0ouFh4MNmhy3e6tYI4iCz
dwUjrAenmXzcIH1hSic2JdLIjFhKy/vZ1HW/RuTqRfp9hCRlXuE5HgUnMJcffH9C1bTISCHg5Rx9
DOEXNuiYTF6hOqIv8jYPr3G7OK8tkk3Y6ejnInVyIlJ8+KLAmDM7fxWxOAZ4T7Ikad0U4sqI0vWg
eru6uo2aF6mIZxKqDVbgaK650BmQ4G0dGKIQIK1sh7VuBRMiMto7G3FkYgyCwK62CbvmREx5/1YI
JnREJs0OSwfrfbgr8OCRMuT43ItM3TeNc1N1qrwshH2uq2Vyg5WsfyK9eh/FpjqV7TAVF/RUj9YO
5MNRKQrX29NIC2eZk9rLONaa9ec74t2giYrp7WWO2w4pGX+HMaK3N4uVQIcscuJdi2/fnNHvgxmP
D6Ndo5irnJd6/8NiF58Ioydv4OjN4oLoyaB1vD2rY6V0yKUaASbdFIUrZNhWsFQvlNh5SNwdQtPL
BO7KicX3PiiQlrDa7akhAqXn6AY6DIjwd82IPoVEXjTkWkPzgnR0tkiqr5+/7mPGAAc0/9HimSRW
HPlurgd1NwwCoXp7WYQ3qkYSFucotw9pInBhkXicDGH5QuXinU3N6G+aWtgoA5jpBuELuYwg/k9k
bue8Gjz1JaxRT5hBikWnFmvG5xxF8AFARnFPf6GrZsrgrRUrQk8WN4LkTHEQB124sZUvkI3GddHD
3yNBbfgitH3Iv8YQQbKP8xXKFuYP7GljAIWD+4DfABZVfKQToeajb8+OsqdgzFuhO3u4q1xZNE6U
B8G+Qf4GGeLx2WZevXOFspKtaHaG1dKAHwM6W5MEOPNs7Q684ebzj/I+T2HISllNie1ME8WjsxX1
CBq+pebvDZYhcqrRizMWwboFh3dOlYPtRd08JXGtvvz2dUkggARZyOlSGE4x582ZLlAF9nCRRYc3
NwdI77q8zhrbu3EHsVdJ4rZ9YlabNKytE26DH3RbmePRbqRuI6VgtHt45UxpmqJgpoA6D7M7ZIJe
ajcJF4kUcY5xWRBwNiKL6+TKvdrXzvUgBrHWCEZXYQ2hzqgC4EG5fhXa1vXn7+SDDJa+IvGVVihw
d7QEDm8N45py6hE5eK6Jx5xeyDz/KkAHPJh06pnrRl8QYjxvTKrNTiS7xoqeq0grLobIM38/AhvQ
F2l1oomEw9+0bt58n6ysvNI0QsiSZdQ/OhlzXNUaoxOr4H3yw+CQo4Xkh9434lBHV4lxRUar2L5K
suaqjf3+vAqdct21JRrhn7/cDw4xHNyoVmnhEuiOQdQCymJgis69Smi3LSOnDbGg8tIZKNR2UcgM
nHkutBMX/aB3xAbn7cnXTFk//qJpIeAThr5zpSYRKCe91AHxZmYEQCj4Bi7SmiWt6a9jGP6YxcJd
wM/PRVXa9jeOXqCFUJeWM69wRNgh1oRwXG6rL1Wj33/+cj4KRiD36M2wE4GlqkfBaOyUosWZxr7y
OhNivijMeYR+47wuRfOVAPKYajI/7+tB3XFX9taG2zEPG//nifuYrnPYWXDAGOgMQ8gdGQVM59Wb
ZYeWvaLVAEf3zZjmX03kXLcUkGDFCUiLgQHvwqRY2wjTvVP0oVu25PGLFu24XOnTRZIP6FiFxnmn
DFiYYIe+QvsBu4ehV85iRHJ+9/Sk+0C2iNghXFgbVYfDu9UMuuYZwWSvFj0O6H1J578O75xxdOY9
0jsnVtO7JczlJOWtAPtGbnpcS0eUCtjES48SuglBMY7JqlfsYoH8eLwy/RQZBSHjE/HyXSo2XdSc
4jSHtg5N/fAZS5YwbC4u2tGJmdObhoNYJ8OJY+h1Nn/w4eXEKGaHqhTuKsLwh5ehbjUzVc2dK5SM
17RJaGunM4SEZk2zdQJrYXsSP/h11zzH7VmmbJHSvWrbOyxXmLPkZ0ofLbxZ8bMPunVWhPgv3blI
fOhBy//1Ezf7DjdF6sKeJusleJlAlI7LxNRSRzzZlKuawcHSStobayzD9VQH3QKjizZx0Chg2Z0b
a6iMXZtEU6LiMrtS4UzS6lexp3Fsc3ti93ywQDjbyOMmSQGTFtnhS6Qijzp8Eb19wzR9hRJZsMGI
I9iWbQnzwow2es40mJLBu7TVMFw7GrtK7/xmXQOj8mY1Jr9IEvHS6iF49phGIvdijOvPb3P6lAef
ekK+E/In3OTUsJlW3Js9rnt5WWu+Jm4GRvOrJP3h1deVHFFEC7pTLNX3Ryo1FYkGG5ThF9qjR4FN
j0Y8viHtXOeKbV6VmX5lBX03K1AADWdebu18sxJnU76rZ3Z4ZvoaytCJ+kM2qPgozBtXnz/8+2oP
ehYHnaAuxgGJUHv49PbYOKQg4PEbvXLWfVON/oKijyYl4KGbZuyCi7J1vtmgZNYIoJVLKysQZIba
wDcs+mRdGGgJuEZR3dpAgn7mhUI3GMuGEh/pxnNng2O/AFrW6hPR591n48ZpITKDIYvXkF47vHE9
yqHYq66+x9dsOfa4wisiu2ZAx3HBAOjz1/TRxUBu0ssiCZkueHgx8FieHpeGvk+iaDg3DShjuCL6
89pk61SOL05c712U4+FovuiGAYIITv7Rw9Wo94xJ1/BwKWKOuXDihdWqp6Lch1dhFZogT1QkLaf9
+2blJ2hVFHZp6nthI9nd5ojL4YtUnDiVXrtUBxuMCEAHkGNUNaYW3dESAy4dwm7rrX2iifZcRZjv
Lou8btFUnYFkfarS9cSBbBdaozLzabMvtbAZjYWFRKM/S8DNPuouSKB55WvRTUaGgqeRP7gvVj1Y
D5jGu1+6ZjIx8lIVfccpa52jBIhL2JCq+MC1fWkvhZV5l1aURHeAvgH6BPh5lDhT5dUqxTEynqtD
hsMjWUmyhTjXY3bF7+cgOfNHx283uUobd+64pSjnowcnaVaYLR6VIe66CwYkLgcgEMwoN9khmoIG
e9RrK1ePwb7nHhIfM0w68OXl2PJWv7k4OakEEWzCznIiHufGVC2j3+SOuteDNFhW4IBncM907iqO
FpJBw4nFKd9lReDqBTh/UiOSZfv4DK4TaO913I9XWqvubEQtW/m9buxzDOWBKZczL9wV9vfMH5AU
jXBSiYlv8Ub2AVZQWIuVSyHrjegaVMigmrzE+jNDYWbFgrlwMMuLeDLSAnesLGJxLZlRRCEMHQZJ
KU27RLmz2//g7Lx620bCvf+JCLCXW3XLsimXOIlviLQlh723T39+9HsuItJHQl5gF7tAsDsiOTNP
+5ehXrNPnprS2WVKCrdf2tTdjfn4ohiYnpL5nw1UncbhnJ/RkLx3OECObjO0VPpqWZ16v4h/C8DW
1z/gpytBlfh/gxFGu5fnsMPipLWRCHVbCItfGXLfs6nTuxFVye31lZbVJg9FQ5kiF/IJDI3ZRQYi
UPFMpxjdzOifRaX/quL4yTYBAmZtdRBY1q70of4PRdf95BQTh/G5IyhHAWIONg18ubixmZZYm+kX
ERTJI9HNpSS6fPhIxf9kkIPRRTSrXkeNiiuAivOVVesefgCOkmOC3mOjHiv2KURsp0vNY4Xsoqv1
UrqxFLolrZnbj5aWq5usi8sbA/fFLWnTj4DrSmrNb+RevvyBmUzxZ2WW4kqoDN4ZdkEGGFXnGx9m
esyLS5JVyGunL8OcBB2by1XazqkhYaiyG1H37RS1g3g4OLFx15GLoh7n2d9xfztrGWYhZizwUx+R
yOogqOxNgagaR76xHtrA+90FEyJKCAQH9UiJVq2kJze20QcCZfZrmRxCNyEkgkeeUwYjtGgUPcBt
wjKJgi26w3tLFxACkbwrqDyq+OgY0vAgfMTLc72SUSqtgnOflsGb52vlOcbyYp9gGMItBZZO6dMI
ZfESHTClbAYUcyrnblSaZN0yYMcxyPL3bWOh+qkhjrRqEUHeWDhDrRo9S/aONu6cNKl+RWqls2fk
xrsr8IDH5mnA9svBX0hXOuhAgyWgkRrqHfu8QzEqLDf9oIojw8c/ySCafZtr9YsYOnsnieDJHhSH
jZgr4r3rZcet8yxDTS7Bfbg1Honap0pDVQhdqu7GqVA/2XSQUgyG2VPxSYZ2uR3yqBRYINW9a2Yq
kc0xav/Jr3Hd9b0R4H8hb/pqeKuU0Htk+m65QteHe+CD4lyOhe1qOVVnk1hiXwQ92nwa+pR1g0NF
V/n9Yw6+5H7AQuyPriTYrYtcXhVSjr8V3dcbG3sZKxgkkPzzF8gf2h2XD9KaWLIh2dm5pdEpCNBT
iLB9232ZKvIfdtevohYefskDfqZRXyq3kArTuZntVB1UvoK2KjkpNfzl+kkB8LWSE3wiwtB6UyQk
WYTV28e+IyMlARn2SiiKL+gAV++VRJXS9OUGMwh8iRpbbK6f8o/R+uzXQMyaRMy48ADezi67wdfU
tkHWwIXFF97JZgHO1R4N62T2w/NoNzKqGVYtNlHYarTaw+pH0mTNLwUVm2cGDtWr1nomchpj8oBe
hvNUREV2P2ip9ShVSeIGuhPtYIgl6PPJCTJTeN3U2F5s8bejtEEnmPBaBUzVE7007lRRm++QZIOX
FKnhf2NUM/+e0Jqg8cnO6aUtRr+Z5tPyLO3G1RTkPzFnCl0wN+EeBLCyLouuvNEZWJbBzjRjpg0J
xhjczZxUjch4nCtqarvKZEiDOOb4TgHhPwgnr1xEwDAqKJVmx+5v93o/ItyD98rvBkO9H6DwMGBA
sXutDpDmrn/1xVmmgcAAnLk0OKBlpTK0GtpiPr3LvGDI2UYZRH21+199w/8TDjqFoYutxdRkKraZ
FVOmwGG/3OiakoayKkbHddT6oYXb/Far3REuo/Lz+uN8vhCVIrJ+ICnmg9QwQXa1DUzHxTc9fTAt
rGeR5Kz2eaWGN0rzZXXKQwHmm6btH03y6dX+VaEgOYNVjBrbrtQOye80DbUnalD5u1kmleuEY3CK
B/FNk+Ji0xfZlCAmzosvD5hMj0n1LkloiosgNw9DMqDJUUrhNxN3GhR2B2TiNVqKMIEM58/1N7SI
5R8EYUbbiJ4g1TPXEhia2A6ztrZdtDDw6pUVtKiFpk6ES/zhI1SoHyQjHb6MRRTciMyLlgtLT5Bt
NgL9DI7C5QtrMyOg0Isc127GcCt3z/iHypvO9uiSmWiVoNx1+PeHtTjqU5MHbP/8SisNX2hRJNku
pzPajK1kbto89R/5rA0tsCQKTjazJUwug/5Wh2lZWvK49NBhUIOyQW9wVlr2ZegEUVbZLtr0youc
lt1KC5p6M5b4cEZto+xE5Tm7wS4xgPRte9xgnpqtU63ydzifkjYgVHTqjJJRXTHI79iYQpMR5jjJ
GDUJFWQR8OpGGJFNVMun0ZDKlREG7UaJiVoBhoLlxqBmnRRdg0NdB3g0wEjw8YqLcWEIhnjXVuXg
SnWP96IiV+sqlGr8FXI8GtFC1DH5dBzcDKJUHEpZiGMwjjkmDrCHddvDj6rI70K/rR8Q5vXWWdHp
2ooGh1gnNvbaZiNrr9e/p7LcvcjETUghqn74KMasKxCWgSLiJtLcTNJQshQtXMYiqR4EFtRYsdVq
tK55tffk9F+KOlbWYW2KTW6AvCFXfBG1GiLKk7bwWBtwAl7SVQ8WWghbjDNugRWWdxG/FY4X2Eca
awhbXm53BTUmnANjpl9xpfzwbHzdRzjd/iier7+VRQNoGkIodAmn8RD/Ogvc/YhFcWHWmquMZ5JV
QKqdZR1qNX8dTOVGyrSMFywwAUeJmYDV5heslfUYDccGBq5d0D4qFWIbSdtLm39+IoIzH4lWOhCc
OdDHxPGNKYKkYfOlkn+1DfJbSYA4VouCnQfy4PpynzwUWHZG+1zlIHCcKU/76yYvlKQpbJ055YjW
UrWyGo+Rmtc1N77TEmJIk5bnchiAEJx0dZZvDlnZNSb1gSv7/rvRBADoB08Rq0qu0Sgz83sx9OFu
7OMSn9pEf1KD6OX6k37kGZeRmJneBBMhgwfXJM82ZdzXY6cUo+bWYxRttSTuDmMq7HNteE/AKYbv
MPIICUj3x29KbhZrk65978D8bsJBeyhRaxYGzmMwGJr7YuiQvq9le6/ZUYYjnVedfbx5V8Got3de
jPVR21b3iOyvar+Ep11hK2u3yX0YQc2JAWxn2Gia1qqEwbwpfREcw1TJbuVe00U7e2bE+ZhDEKep
ludFMvYCBZo8je6KpDFXo2X1pzgjxdKiWHV9yy6+lpJzpiPFjcekAFiDYrXfr7/4RalBNgB/j1SL
Ihp26uy9G4FPUzrB+NiGnHSHXQT+19Ar77PExnAgrX/URp3uQCu7ZjFo++uLf3ITaQbKmwRAYATM
zC/3d6YgZNZZuYYPoHFS21pF+i5VHhq9BJJ8falPjhKVN4rLMJvRfJg3oxVLDIMUZrabddib+E76
XrSBfGMXf3aQ+IzkkQRYGhPWrAUtmbksSRqraIMJwSbuJBCORD8motMIqQpPltSiO1Wl1t5IvD/F
5Jt3/UE/iUQ0heBTaLpKqjmJW/99Z0RIiduNljhu51snFctjdUiSJ5Ou9XoosuTkhIRE7LJv5FCf
vF9IDFO/h3x60nK8XHasK6HTbXTcLImUXe74ClYs0q18/dNVDAWkJfWKA0b4cpVESdqgbDzHxQiu
OcdCPmlKHz9df4Of1ETQwzjfEz1/mpfMXqHR+E7V9Kbt5rF2Zkro47Scd0f0rfJTburFs4YC/4Nu
tW+h38tPRpAYO6+yqh0euqgYWn59bIz6RoBbHlQkkZhUgtRnwIHO7eWjF8rAzAhcltvqw7vUVvV9
WEAf9JysxY1IrqM1yoDQw0OuoCO6ifaNWLTcV0RXh+U16PO8/9nWLm3ZVyKFqkL36uHYpV22wTpG
YHb0VFSbEt+oDU3LW9Cm6YNeXpFwBEispnkLIgnzyBQHQraHQrFca8y+xVEL3Aw9i6wLnxnd/tCk
tr1xJX00c2crKhPfVp2EiZkLzD5+1OJ8XJXS6JKbNfuhNMQ+d3BMAL5Z4pbp7yy7VO71UGQIRHbJ
1m4MZdOBY1gzuG9udWI+eX7oKdQJ3FtQzuZVkYzgGQUq13OTp8YWDxV6uTb+Le8Rk5X7Kh1yt05t
5bfs+BL6Bc16GPFywMFsWEMg1950GYkd1RsxxdXl4JxrGq0kbLdvDRaXB1OFrM7vI1Hh4psTfEOR
lHKhklMqGM6cTSfFd70JbhyBJcIFkWK2+MT3RmWWkHV5BgAdN6HCtMz1s2SMEaesgnUo6n6XDPV9
ECXpBgvpYZs2qA46WvNSjTmeKbrn/HfjhvjksxAuZeB2zI5IB2cVoyfhao1lreJ2GMXdYSmX3eW6
QQFECylE21nK9XcvGNqNmTbRPq6sATF7NBmhD36v/Nx+cHKEbKj5SsqaAfulO19NkqPT3Kqql7cG
qYUMx4wOOT3Rea5vMvCtpFAx3VGVRqzg0E/KWmWDzuNq0HBE7sMvsVKN7zhS3UK6fDRPLk8Sa9M/
/NDvJbuchQSpGbWwc3rTdVCGpydyqvFfWkUOilrScRx/lcnvou1/ZZhJAVC7S83maNOQWKUjeR50
Fse+68MHq8btzL4PTUQFsPOqjPaP5Bh31z/oMhFh7yK2AIQWDS76JpcbKwgysIEYzj0Gtv5f2or8
MYnx/MVyJbix0rImmqoHGPBTugPvcpbSy35YSQkqho+5Mug7JFdR3I+tbFsBuNhOhfuNdGA5vGIt
lK3A3pBlIoA8+wqYTTEQqWPtERcX7ETlBI+/WMDpFbH5S00d44g/WrDCVlCsjAi5VgNfCFoi+mts
BtK7b4fWrmwLnOZD81bSsBAdo9cDUZxeBEORCTI0C2oSt3s2aLXp+t4joIC8zLfZEPwK9G8SJtcC
3aU2Mu/bNMW0K8Zc1MhWkfqzNsYn06/uK+lg2kgevUqQjqW8XznyY6k+CPvJbEHcBgij4phYOt16
UoHqQeH21aHO9q2Eldz1DfRJ5seTkEVbmoXUM7CQyx1EcT+mJn/RYAveAixUNxL+d7iyNvmT79lI
OKPV8a3B1nSNMBXCx7l0g2GzvJOoJJDJYmDwUSvOdhYiYKrjh6bqYh+knLDbfko0Z9t0+oPSFqD9
RPfl+jN/1AbzA86uAvjMvAV9gVlK4Cu1WQa9TzVsJEfdKLctg4rAyDZRVW2j5tkG7a9LQNJxyh6H
dN0EQCPN7C4psjdfNtfF+Nzb+Vo2joF3yrDWCqXcHfptHeG4W6uHWFv3UY08Uf18/Zd/Ekh4V/Cm
uEYmUwBnqsz+LqzlzEoxnFNdyur+MUiy6Nlv+9C18kpZE8sI8Fbrbw1dkvdVpRtbT2AvXI0A0a//
Ev2TC5oGD8eAA0rtOw9pvSpSu8VbCzm5EdyBfh/a0jpP1HMkuq0TPSvhE7qeG1sKDsVQ33GIQAoM
eIkVW3pGZydAE1w6t/lbLx1BThrlWyjtSwPJOvuXkB8NZPXysxZlr6ZfHPDePHSW+ibSOxN/wdb2
XSvEud579Fqk1WqBj2YAEKKOfnmqsS/U8QlO/UucFjTwauYgo2S9pY3zMCkHULrc4vBPGvGzdE+j
Dv7QdKHDAtn48ruY2VSs5q3slogz6RLX/uitzOgr9qrrhtRHWOchfKXhVzFsxGYVC/lWOQX9f6P2
tcfD0W9duml9F2CxCWseJnWGYX1ja+9I9JkrK42f0HNwx3RX118ytIVk43D9g35SPCAuATOCEpOr
DWOFy0dANwZRubIZXT0wxlMgqUgeUC2eMVlLdnh0xfuwyrqHJvPCvSyVHmD0KBlW8KmR/jXk+N5q
4+Yu8Fv7FllhmaNN1hhkk6hHfEiCXP6yro20IQcR7Pa1OIYVFvPCRINYQYV6NWqWRHM3qd9JRIcd
SVz7q05HsTOwJFs5TvaaeUn/rS2rG5fIZxcnQ1+4taAYGFx8HJC/jmLXq54exlDayIWUY6Wr30lv
g7uQKf1TmwRib+IRuNVKFYwaneajFWi3VBaX0Z/Wh4KOEExkXo05i/6t5IRGpoHv8LXooCATAEYA
xtb9GAS3Eo0l7X9qs9DUo6bBcWTBGDE8Ax/M2hvcyh7aI3Jbp1Ev4qMBbe3BjxDIKzpoMmUqB98x
UiRPL8KEDdsG4z1RONmkYUxUzDXRPDitqvxwJN86qKVvPsnDaD1owpNvxJXlWJ1WAlsa7BLXvIqW
3+W+aZRI2EXh9G4jJ0doFciU1wy+V4Gs0g8Uxirmhl6ZvaU/VfIQ3MuCwbnniP5Yt5F/RB9RrFQ7
GB6rMukx6wyxADCsbZNb9amMcJ+lgtr7foV+QVpE56aWfvomwiw3rtrPMi/sQhBtAh9gAxi5fIyk
GfEkxR7oMSyTDSIJ3gYYj9uOWrN2cDe/fg0szxpZF3UycywgT9Y8sQG6ZwdGUWjYxzbKGt96a1NU
5Z/riyz3LawfxsXcKVQ9BLTLJ4rCIcyBosYuhlqpW9jV8yAc42GM8n+u/aeFGJHS1zIImrM+Hcx3
r9XVKnYtX0oPTtH+LmPnGHbY6XUKJgzk/qsySv5Zxgm4Ogrqk8EaUFl23+XztZkXOaGcZK6wHP9N
G43v6hC86nkEmMWxm0MUZP9r+P5/DoSX321acjI3hzVDPTALQB6sbCvB/daVfNvEwaZQT7VxCxy1
zNQmBCD1K9UGfNG595bcYeiFyge5DtCPbVgPNj3XLNxaZqKuelXtUdpuoxvHeJlomHRZUciBrkYx
OAc8Wnbqe2K0cjcdjG5PCJaeq1xvHsvQ/uGU+onxuEIPWhtOmUeL48Z5WHID+JZ/Lz/9vL+ueWGF
0hhGVe6OMraFyZMXP6CYfuhaZ6t1+ErIxquXtAcduHvW/MzslmYa2kFl+lKENYOyLwW5e1Tvx+LU
WtKKtvq7nZdnB53sdaM8B84tvcbPdgL1FmpuDO0hUE1//tcPxhY0ze1BFDSMUZCuPUfd2k4W3Xgv
n20FJi7UP4RALtfZyZJlKNJGIOfI4ET+XSwCXk6Uvg12kq6GsCmxsdBv5QGfrIl0EexxrnNM4OYR
Vy0GsxpNI3Gn8b4J+lU3qmdDSjZCGzCm9NYl2s5N+xNxiccwf0kc+zlrpTXB+6h2yVnXgn3a3ToT
y9sZXMKENmJrfhjSXb7ufsyGJo+U1A2z7mttWhkdEdm8G/UEVY0iv1kWL18CCDxuZ9IhZjBcbJfr
5WqJo4qUNG7c6unXKI79XVnY45sYVCBXKsYN61gPu8eoUr27WneeUw70l1QUZEMWOoOlB8Zs5Zi+
9pzUqbgLc2v8gYdv8Hr9jv+kVJkA9Fy85EeIJ5nq5Q/NhAEQrMyROCd5OVSW6p3qTjOrtW5G33qn
PnspNg8ZLb6VIpnpl2I0inVGvXEjBiw/EIXtZHUwod51epGXvyO0Fb+LK9CLcok6qSZ10q7Blm+f
5fgSD0p2S6lt2W9mPZKO6apkRj0fTIE4LMIMSpYrWj9Cz6vIt0Zthw9Jqe9qu1dOWYeuQCNwU7jx
xqd85rKsBYPCQBQM3jRB0WdnUrVwqrRbq3EjIRtbkVbqvh0M6ehVMDySupOeAr+HMpTXSKRB6f0u
+FMwEsJwR6DxeLw5t+RyPtmt1IcAoQBFsQk+6qa/LqNIK3s5YWjjJrVqHshkvaNhFOmGKV32HbCt
s23j/vv197C8AIkVYGKmxrOBZNYs+taD3xWZ6Fsa4ZSkthJZ61FB8+z6KsscBqTSB0kEuVPmj9Of
//VkYWFIYRmXhYtYRgV+MKn2tpLLT2PgiBvz1s8eaOIPwc4FIMA3vlwqr+NisG0vd3tB3uCBaaEn
VI434uzHSOJy+0zUX+AVXK68t7mCFXxQyhl8qR7Diim0OcTpHQnUKcU/fq1WotjmmfEzH/T+vkVH
7o9TQ2nXLCrsuIzSbcMUAW+wpFqbxvijJzPadaonVlDoNbQEYlSqczPZDlKr//rXL8G+oiyBMAz2
k57h5espzdoaAFB4j23Q0KeJ4O1lZlrtu5L27fWlPin6SEKmhFLm23Plzz4FluGVAhymcKF6/MBw
TDyLsvW2XeT7u0TYzirm5j5ossTw3h4nLca6urHxpiX+/kxYRE6pl0nXDlVsvF0vH7fuG6tMjbp+
pN8p7Tpb+FvhDPZba8fi0EWZOLRGVbltoJ2yNvZviY8tWMUaSk7TDYPIMWdLn6OwxIB3fW531mOD
5vN9Z6vFnSj8Xe9NUm9yuE1DTnWg6SO1efRdNKZ3J7XQ/2rqjedcalVcv4pgNwTqt95Lu0MmlGZ7
/TPNbx3ETEHDMXabuhkE5elA/XU2Hd+HM4LZ27l1it9B1xn0XOzyTsaq1dVKALOaSJtv19dczN+m
RWmkkqOScPKP2aJ+ihZ7FovwnGi6/9L5DvwiI0RBJmbkafdwr5FTDQ6SptbrvpJS3OQxr4rMMTfg
QeW3CoJ52Pv4OeoElZuyE6qty3fQACUAkmeLcyc5P0O1/oYt3x4fdczii+yWC/D8hpovNtuT1MyC
dr0lznoj7HsPHW6QAmjlXn/Fy0eCuDiNckluScoXkVVpfXXoW3FWMUd/tWOPGoSvvC773jwoVJQ3
Tvv8iqfNgZUP7HmcLMge5rWwSj9HeClP1fnGz9HQozsjwrUpwL79xob9dKVpfkOJSuSa3/CZLlG/
Nb04Yx5iYzuKdtcq7lttXFE8huvrr3Fx0X88F1kvKLcppMjTr/nreODT3idc8bAHlHqdY2eq2dP0
SiAh2PX9uB695jmPQB3RDoeJY20NfzjIybjLk+hhGAf4FTTFYwoYEpsVsio7X/NPqMkchR/dSPrn
2dT0WyfCuT4B8ojns9+KjJ7lhaYjzsFkotzoqf081mq6zVt0KDJZdJsMd+atnve36s7PvgmDLgMp
R6pZiKeXbymN7LJMO1YWiaGvlCbU7kXseStf1tN/JB1ND8lkeHpOkCiE+MulpNEcjFIgwxUIK1l3
ODasJafrbnz35SGdbiggeWwzssT5WNMLIqkOWz885/AaGRZEpGEwCXfXd9dnh5TQQHnG1kLAZPrz
vzaXicghFMVOnD3He4x9r3VLerLHQur6R4GO2t3/z3ITTxelC4xdZgEZ4A6mJzlnFJoHQqTmf6SY
xdaR7J9qrPbb64st4wpvkP44czIsB8jELp8NuVU1D3uZa65vjVUfBn8KuUCqqwm7fYxVcKhWv66v
uNyEGlILvMiPDjOo18sV21HNg0bvGIPrJrjiuC93SH82q1YrbjmYLTodJGgKxB2aHVywE8z6cq2o
NSBUpaoBZEPbqZW36+mCbnq7go7c1Uepq6WNHdg/jexF9dVDLx5i/Zz1X4LkXJVADvWjAoYZp9eV
H487IfXqurTSL7gueNgN1Ts71lCSym4EhUWdyc+mv0evcpLpA+Azbfu/NlyXC7N3KC/dCKOcVZho
3QadcnLXILQ3UWHkX0MUA1dmXZuPity2x1ZB5SW0nPrGzv/kW1HkQMul9MCAe862NMq6NMMIcW68
1ZT7aTR/6CUBpxXw9o2HXh5la3IQAKbA5UQZMuv2IeNvFE4i9W4a+Cg2oRq46+Uy/Xp98y2P8uUq
s82X4Xlplp4/0Ma0waZrKgYOtrKPNIZanp/vr6/2MTG8SGyRN59s2KCmW4glfOTef31IRUJ4xy6r
wfVTZSdV3mtuq946qiAVBngCHIvuuxT6p0Y5peHZ7I5h8SzCtyF0De+k9r982zXCsxqlq2RYN8Xk
A3oGJufG+Y8q+lmVx6T77df+epQR4Nmp6m97/Dk2SNnjMeBsabmsGu97h7z44BwdGz2XGvHvb3V+
9vuTcH52joZJQQnj+hBK4dpRXjTjSRpfZXlLZSt1T7WDXli4N4r/nPauU96QzW9pR2K+sbKC/yRn
nWEU24YHc9IZ+pn6XzvM09PwF/P0KIDCUv2wxJ80/S+BIW97OmnGcaiOivo1dx7tBgSUukmREpbA
b1vxHb4nN7KdRW1DsgxqbFIxpi9P+2B2/hFDEH1ALQV6sGFE2TjKGzL8xq/a6fFbVAMfefhEuYMu
oZ8yYH0rdHetW44uH2nybBdQVkxoQTJ3FL6nU/bXLkii3obM5XVuXeaYD8jHMMd0tf6BhQSNoiD+
wxAw3oyx8Uuxw7Ws/AgHOn3pqgGIU2Clpx1bMZ7i6pvd/x6VP45yiG34HNJjo/+QQFZkY/4QZfd9
vQsz66ueqU9G8sPqmR6jjLGmbXfjVlgmMECEqU0ZdhByF1RfQw4CqzNjzVUF/GsteJXonK4FJJ2d
nhrpPZr9K80pjBvLLsa52seYDjzoZA4HyGGWkitFisSZ0Q9uo/ORQqsq9v2I+GVsePVeD0HkoT3c
Kt+E5u3rJI1fokYzHkQW5+coa/WHumm8tQk09p8DNm0Z7ALRGwXTvABGZlFkBHHoy26FIG2GePVO
b1N7Tc9sVUxAtOuXyvKixOSFu4S2n+ZMCNDL3STbiS8PImM1JG93Q96kEGDx1r2+ymI4yssmSnP1
MxGn5TkXWbag56pKrkJrT6Q7jxu5xsY4WcXxS5sk7ME2YJRmrH1F8tehDzpzVH6GXvrLzHIN2+7q
Ba3RfRnF67aHc6+NVvnPmcvErCOq07egcJpXgyLkj+sBeYPKqLsnmLDiTO5rrlvbevYwNXphzKL9
d/2tLOMh/1NeP3KmoJGBdl++e3Q3CpP2uOyqEuzs2sEJufWzfquZt/LnT84YTH2ClcEwcaK4XK40
JvoYSD7QBQvJs40vgDZC/W1WXjCe/GBPY8371RnNl+vPt+yE8NXJO0ASAbgGBDbFz7+uKi3JwBcF
8eh2MMTfEoCK94y/8PANlcFNaWq7QVp0GN9Q5+uS9CurJfSrxJCva80HTkGtt29hpd6ZsOBXcly2
+EZ10fv1n7lMWm1iKrcB/ZAJ2z/LFQQOH+FQmeh3aF4GuatSntKiMh9zfRTrThjhVmubWxPQT749
jRBQyGCvqWjm+pIpcm6l1yl8EarmsVdsOt54QgAHaG/ssgVOkLMH2xwUJPQbSqi5mOMgDUC1bAfc
ihqaG6WVzXNcjl/iPBpBXTq1/meo0Oly8viJKcDKxDLze+4Y/V5HW/F72Uevmt+Wu7bWtH/O0uCm
mNRz/DwymzmNTI2TMqj6vHQZb/joIxnSKu/z5Nbl88kHnqZ9H/Fl+s6zbRgXOeAZoyhdUY0gi+Jg
uLcR8VspBRC6WpP0XdgXW1mtxY5kxNwIq0MOPC1d9CK0LcCsdJc18neoZyN297iwDFHf3/qRU7i5
DOuoYFG/MzHkTdCbuzwrdt2AwzabzK2bbwLRr6Pq4Wmux0b3LU2BzaS+AxHSG4zTiCHPucaBZSsn
efCtkbtjl/yz+6Q2yeaBb6CzwBSNCv/y91i1ily4UeZuADXti250+eNoh9+SXjjfpCq0XtoB7L4k
7JNUBrFrm4H5Q0UzFBPC7msoSuYmhRz/e7iaRH2AJTIzoUafh6umxgCnqZiqxn6Qv4oqC3ZtGo3b
6zfCMigyGiEEg0lH+wHM5+WzN+C46wKovWvZSXBqRoHyrznYN3b/tO3mXxwPWMACdAGQD5ndO3EM
0kEusgIyPjURhMpiW9jGuDGlAKB9H/7jkGT6oKxFP5rkEaf12UN1hp2Pfa5mLg5j9b3cyCSBnXVj
lri81rhnGPSSu0x2LPOjptayT/Vt5gh1+D7k8uop65X4l4MK4/VPtJCO43FoPU1jLML2JH12+Y1U
ZQysWHIql0CGkEejeAfVCvdmWA37DF2I33mpHkRdD+9tP4g1UNdm3ahahFq09hpa6S2NsgVmdvpB
U4NqSnEQg7Jn1UFeg8MI8ZZ1q6A7NLqxssNccWAMNB6E5iSS11nSaS8BB3mTOfJWrjtnM8pN8xXz
xYn9qTsZA/usWzkB2jUOCrwn/lt7FSV1uw07RHGJjUb7bidhs0Jecnhta0e+qzJRruW4LsdVoAkg
dHGi/bz+sqf04GKnMtEhPZkg3cxN+biX7zpv+hHFz0F25QoIix6MAjnAzDk2ClohSWKLuxZE5mum
5OJOyNK4vr788lszIkUyjWG5PpHf5o05Ow5KZwxjxY37JHr1bOeQh2N/8GJtB9oSxHtbeXskv97T
PIzWRtaaGwtLB3XEMm8Yu/TGIHCxyfk5E2uJUTt2BAsnG18xawZMieIywI+PseoHpwEK4I8i8W7V
nIubaFqKmSPEO/YXEjiXb95rgnownEyhw5CNZ8mwqnWvMie//oIX6SGr2Fi10peBLQGb5HIV6AVx
gMS97E4E4XWs1slBy5QOzbGhdzla5UthGO22QHT9Rthb8AQYBtHYpYqltwZVYN6+BjBetLZTVy6u
zljLJVH1TcIpZNMnnXpf1MpwsALjayoDRgwzH/wkdn/u0AT2y2DhK8tAucU+xPdeYgTHD3mL5W9W
Fu/g1s9U6vJKiZz6ODh94kpBRRynNfOfHk+cE0QS1UOOdNZO67Fm7XJpl4OS2MSpIX1ndKLuBnxb
b2zlRSrC49KJhbDK3wxMZol4nAmnxfia6WNRIo1KD2tjjXh+hoOCWYDmNGhbWdGtxtF0tV+eX1ad
xjTACXEGWjhqWqMdJa1euYj87UF2WNWbQRdQyltg0tuG3LrQo7Wa7ZPyFW2cVdcdawgZUvrND8GH
J09+VW2mazbXdfqdT16HaISaTxpoBynEz8r5kXfqLqrDTZw91oGEC8IOCeegYQKiJIfc07CzRGxH
1Gtbj7a+yusP0D58gHfuR8ZaqrNN0Ha70Ap3sPEOVtxt4eJuUMRLgCgEJbKfaXDo9XRbhfFmShTj
qFvH/GeesY36Q637gD6BrIAxtreaUe5SG09s/ul3Mk7Q9k6PxcaT7kBw72NLWUf+T5lf0+v7RlX3
lTfsE/okiEiVbRASGKHHXz9jyxKYJgczMovacuodz8fSqVnJzKtK2fWacZVLIx68GA2i3+acJG3w
3YG3te/JxTaqGZfwX5B4xHmxOA6m9Z+kFdldbKTWxmNMscaz2t9KsA42VWlrD5Rvt4SFF7oXIMqR
/qLdxZ7h6p+bbTiR7SlSrNJmMurskOaiOKHUqtA47KR7ffSVx0COxSoA1q10tr6Vy9rbVrGm3GN/
/R2Yg5tajMknQZliPUZht/M0Jz1ryXgr8i7vSHAGjPlp9TJ5YBZ5eXuZo15r1QBeKqdjsBmS3t8N
qlU8Xf9+n60yERcY2JB4Mr6+XMXJZaOFHNhA97OxE8sQwzVlVNqur/JJqCObAbWGPNLUFpsnhWWT
Bp6sVc0ZKyTryDTsu4ofwqpM1D+9DKdP0xO8H9s9vbl1VFaI2FjhiIG3H4l73q9yI0ddDg8oTkEJ
MFamfIKfPctqsqQ0Sl+K8nPppNpay6LOtVOUu1PhGztRBD/wKW63HSC/dZqRekllaq1FVL9cfy/L
tz9BOXgf9FygoM9fiyH8PsT7JT2PjvXD0TFpzn05uxEGF4vowOFxwEDKiTnzYlCSOpWP4UcouSPC
myc4iXQA/4e681iSG8nW9KuU1R680MLsdpsNRESklkyycgOjSEIrh8bTz4ckq5sRwc64nNUd6+oF
Lcl0wOF+/Pg5v2in6kQ0Pkqm1lGQNmTxQ1LiArC/kNKEZaops3Qj6dUSdPlQB71ZDTunBgth23G6
6ZPRPJNm29qCEZROZOivegh7hwG+ZYBDV4lyyjPUPvfH19Sl1FJjNK6NMUGQHYtWV5lwrGmqOPK5
eeqwtKgVuk5CFd+eUVBLiq+zM2hukuXYSSJX1qrZ7CGK8yEdBsBEkTRgsSgs9XZyUmtn03q+yNph
dGdc34O3F8LRAcrtD14X4l74zqxawPtPX01F0XWdkd1kRaP4VJ9KOFUpBaOx2wolOTOTXj61J4+O
T0RnOKtXPVk+GV9uf0yhT4JppM1T4KTkdVia3I4p8iHWVOlfrERLzqaK+rSyLMYVnhh4XYZmfdYu
ib2dkXj03p6Bo+yT+iSbgIchK6SHfFDNcNDZD+tkqeFboAeMVZP2oUFU+Js0S/qJ3X+8IWieqVjp
0qwDL3m46+LJ0MNMArLQSGW2sYYVsoSU4olRjrJPZg2kLkyU9avSWtmf3h6Ow0ytIL0Jrb7cpDFe
qBkSZhukzqOnphiTD1kVxhtB6+vEyMfRDVEwzENx3oLruN4i94fOpjHUe7Orb/qxM/wplvsrXBhS
PAjTTaVP2SaC2+mKPK7OLHwOBgQbvbTUh89vf9LjkLAKHHHgAqKhEH+IGAutUadf0xY3hgFWBFmR
btsZlqek83hXp/OMFDpNnkofkVkOW/XELBxvKS5VyOQDoHwV+jjISUcVp4hFHosb6DWxW0Ka2uq9
MfjswPt0yOygVNJTvmrHpWEAEMQfW+ZWQ43lsCKNJOqC0JetXnNw6QEJah2Q6dWF32V69FckycUu
lhdI/hWypy5ln9itph5J9sjMrso6U72qW2oakJr8bNQ9mz6rM+1Cy2Xnd/fbyq5GFgOGNU1XoOX7
ayRdysGup0m+1iX1PZ3ygYqTjn5POJw4fo6+AxgNLkFAXCjTwuted+NP1XKpADNRVwy0SDdWUfxl
YT1ZVshPCJE9hUV4qp+8/r69g2Adj87DWoBaFfgPFv8i9FLQ7pevoZ92bmxNiWdGeX7irY7C1ToK
stHcdSg/U33df6syy0ME40b5WpIKtLDxhztTidguZfblRIXrOHliLB06yyufjUByEBrrKVGKYmnl
69hUH7QVXIvBS+bpoKJe9H4atkMrX4W1+pCYrauCtW/cTETONiromJaT/fXtbf2qVH04w7gIrGhY
mgukjvvvrvW2SCanka/tqJ790ozDADmQ9FyptN7N5dDZpnKc7ZZQTr/VJu6YLrzk+NlRFw3h9q5w
Aky12q2IrM7FfrzchLQqtqadNzvUJr9OZh7vgFBKWzkzXsIsq/1GqDNhStIujDErrpOlij81Zjh/
FOi37/JKNS76RDdvmrJTPOI5Fqz60FxykDmPStmfdNhZY/f+DNDIBKBDvgGLDQ/5/RmwrCpNe7WG
Yaj0pm+O0MfHQbnLUtVzqtHwGdP021Gg3afZkdcIqTmRMBz3yykr4NdE1gU6aC237j9CaFqpGpXw
QdRSOtcM6bLXojZohDVdFOj1nbdx/mlchvSilNERxGSyhnuQavhtZEVymedMqBYtyhZ32uGb2eW6
H7YCk+YcCn5aRztBkrNNObKDhuwnGJVJvmztoj5vEq3zZAnlfW+ZYVUus2ZelWGiu3ZVSJeKpjR4
LpbEegvdpqS8fXv1/SLEIg5CnXzV9EG4/TCeNJNUp32TwbKZNWmjo0YfmlqL2EaiNITLpOsvC8kR
vsiWXT4uD12T+7mG/a08tMZZkdKHJQnswgf6n45PUeOmt0ftRHQ9Dno8JDwQrlXkGBwE+1/HjsBS
CbuVwIvrzXk7x8gm5rCXUhucSiLSyW0HTT5x4h1HPiq1NJ0oeTkcfIfqe2ktTfXKybhpomh5QDdM
XMlxeqrFt67tvbW/EpA0cJmrJggiaAfnKhrODS+BiILM+ldnfQyqacyCbkwbQKUnfQiOox9FBUS6
SKOo7wNrWN/6p/PDNom0Rj4rN2lWo/FdtyY1kX5qP1ajLgVNKHAn0JLruVXUs1SLDS+r0I5Xpan1
1TSfHoC+nUrtjr7u+kgIepFbENhoqOw/UtmiA2LNqOkgQfeR/xdeXtTFl6ICqhLpcvJ+Dk+JsR99
29chQbUj4MM951VD96dZwCR6MucqVG7mxIi8DulTP52q8XdLwCgh0bNchV5pElEU338xWUa6OqMh
eqMLJdrYS25/7JFv3xVSpT28vY+PkkMyM4ahE8UEwhY72CFpPaZIDyOlJ4usv06yi94RmAE6jpR7
CAxpskeLPVBRfD+HKHxi8GOUDEZfrwKSVINotxziIpbMru3E7IqbEQm8LfKL4S4zLEFBQlEgb2Jx
JQdjIz/KdlwHQ5srOBVUQ1BQFHfr0Qi9KDLnEyH9OG1fH2qFX0BdJrc45K3b2SBxsMfFTaLp7RlF
bdmvqsrZZpijuBlNo7NBVu9jY/IyOUW5Kcl2oZqfKqse48F4DKojq8QN1wguEvuLQANWicnPmN+U
jXI1y0l0hd6mFpBlA2ZSmsrP4XX4Ti9n/lRi8J1n5Ynk6nh/kVVwdeDyQDXhyCqjWKKMo2WAJ97r
D7ouRWddinKWFNedj55XkGvNqS39i7cGqwVIGp6OjFGOviZ8P22wHMnOri2q/GauS4EUa+08i1jC
ka7LKF2Otgy8g8pBSsWMRdo2QTs5FAne3hTHu3z/IQ7yioIaUSZEn99IWSJtGlNKg7xKo/e/PQoE
f3o8NGgh4h9CxIrOUaSsSOMbdYzB2cmK5I8lRKa3R3llpO4fFJRhaBlC3UYIkJrr/owms6w33VzG
N5Ez+hzmbpE95Vriw1faTMZHR71NjfNOe9LH0rNS3QVI6zp5788SdsP9tRXOaDIneBXKbpd8Upfs
WivPDf2lj3RM4x/U+H044SyRAb/sR89ugZo0+Y7MfGOX43vIUJd2NDzV4rnCJy0Q9WcUj3//e0EC
5AwE28BBcMhMhvjTR32iRjf4qlzYhaTiF9GezHjWG8vhRNoACZETXIkCh/k2OrMTGUoT32SI1+9q
Y7a8EJbebnaqTSxZUYBNh/BGO3U8CzzdrsxVxQV30Z74or9YnSvzC4wz+FkucwenQ4uwh9OjMXIz
DqlGcwPDQXmtkL69bo43P/wy1s0aAZCsPYyCde8MUWKV0U25iMdRXpyHprW6R4lAhRNKYnHFYQHf
//agpNOgVMjrAW8dJvRxC4gqtpEXWuQ2P1swi7gAXI4HSzht8kwafDLRU26nxy/KlZiJ5KqKpTYE
9/390epTTFe4K1FWASNomKnxJNtL59vlpPgso+giaYp8+/aLvlpx7C8mRgWcBNAExBxKFfujOgV9
tGYW5U3n3CxV6CkxHodGjupY4VawDJZx08PTLh8ncLjy+JhL3Ob0IBzP6nBXU6sys+uuP0O8xbXs
uyF51hvHM+d5l807RcOhBgoY/Kyi2mhj7Kbag1JcafG15VAGjoz2zlyUzSyDW29zdB5bN+FYdZJi
E3bFtkUuc1A6v0My02qzTwXg52DOwc3aQkq8uMMxaBTj7u0pWW9KP88IJQkqdDjOWivyBpDk/oxY
C3tbHpPxvuRw2DUy3mgNhpA7qZI1enPoKHTWYAVFr58Kka9Z297Q6N0CRiJpXz0dKCXsD207Rbxw
KOX3iGWqbocI7UOfG7dC7aIzPFxooUXMdWgXYaClbG+zH/Vd2oEmL8wZyayhUHHmNZPzCtCAV2aF
s2kImRYGrg9LgfXWFD69PVlH/T7kJbj526v0IKvoyO5xmqIs1oUp3XH13iGkUp9XwKVu6jhvA6k2
xE7qWz835NqXRhKYeZLtINQl5Ta1E2c3dbgc95TUzVnFcnxQtIfZHoTfVVF2W6ipemK5HyV6K2IH
Uj4GJURQmh8Hm6ySnKa3BqHdhUrERUHV2w1kguojKPNnKexRIkPIwJPVsLqKFttwG9PpPRSIw02D
VZXHeUUZYpr0E+2Kw1AKbI/O3nqNXVkcVIr3P3xWLVLlVJN6F1ZRHKSm1Pp9FIcnKke/HAWaDBZn
8PDp0u6PMtV5XI7LaqcxJ/UGCz62XdN0Z28viVcllp9XMUU2gFfAu7XXm8PhuTAUSq50uWTcpYrT
bEyhz16N2iucaPkT6gDnY6ZlQWbnj+aq0zG3fVAOaR3ME8K/jt2JoCqmbOeUjnKO4MoHgZOP28cP
cZzEyCXb71NDnvxBK6tz6uwm0YEbEOoqjadGShyUutVcOmFh7OK4Lj1lkbINxVnD0+XCQr2zQ/kN
r2qvbHT90c7M3NMzqwlS2c5PnFxH25mJYBboKBBcyUNfF+NPOWRSj4vTYRV4R64TGBs0373ZG86S
gDL/xeRVV7EPze+mfu5ekofwxBG2LpmDr7Ai7AHurOVIbon7Hxux5U6NRafeAfjcweTUheWb+lbh
uvD29z4ijL2+JqgLRKkgo4P03h8J50W7YPerd/WlvTW32fW0qc+UDWxrNwoUV94Unratn4bAujO2
1rnsl9vIj11p8/ZzHJ6fh4+h7j/GZPZ9MsiNeodSsGsgB5cbz1q9FaoJqvTEGj/cSeTK4FrW3IvM
BDmRg1fWtbWaEqO4NimlcWXZ0VNbOs6J2/evBwE7TVmPg/lQ+5aEqhFhXgCeTnBUrJI0CUCxJide
ZT3g99YJ2iRAIOj1r/J1HD/702aMMXKuS13emH2EgzN8ayShq2hl54c+ghnPtAaK2wbMnCdly6nF
c/yOK5bwezWHsvYha4/i8AwXldEbOTNhUM7VesM6ZV55MApgrxVlgAfv2l6nhKftv2ORU/kpEJ+4
oYJb9O4CzHeXc6G+e3sFvkpj/DSX38ehBo4OCLUw9vz+OJZAHgNsX4FAI/ijvLP77VjVd2ppfJUX
Q0GZ0kxmN54RjIJPF/rzaA5XRp3UAYZK5g69wtZvlHh05UFJCJGdj4wggM5Rize6nG+5/G2KNPFl
PJY9J7IeFSu7SuXM8Z2m28wapfbKkYwTt5qDhOj7W9Eboo+1grMPZRRm2ONhV/JWjRPdzTolX8G3
MiCEuqj5JK4eoVVZK7L9exv6dVydLhFRnKyKFu3+bM6AIS20zCnKtIrxPi/y5LzuudZ1ehG5eWN9
aOtTttC/WCigUkApU1TjdQ9RC5nOYTI2SX7TWXq8C+fF5siHIvW6Tv5rT6Wt/ed/8+cvVT3TwI27
gz/+86Z+KR868fLSXX2q/3v9p//6q//c/yP/8sdv9j91n/b+EJRwSOe7/kXM9y8t5kKvY0Yv1fo3
/6c//OPl9bc8zvXLP/78UvVlt/42dMfKP3/86OzrP/7ElvCnzbD+/h8/vP5U8O8+fMoRrv/jU/n1
j03f9eWno3/78qnt/vGnBLX4Hbd/cBm0o4k4a7F0fPnxI/udgncKCpbrGVNWoovXf6G9W62egaqs
vs/rNv7zj7bqv/9MfwfphuBIXsc/5Pb0599TcPt9Y36fd6bkx5//KPvitkrKrv3Hn4ccEpRbEbyh
N08tkh49lZ/9FReNVp8kity9T/u0BI6Ejcv1VCaW7BnT1G+dUcY9eIqiLFhmdfjcYEAcI0ndItCs
mdn7sOma63zSintllpdta2mn+FsHh/r6gIitcdAi5wFDwDkIMOPEowvb7N4jKndbK6t/cuZhcAVM
RD9xLhxshe9DkcURO7nb873256IbrDGEjta9h1mDRN0ooiCifXAi8T1MHhgGXtgKauNuy5c81DEb
F6paAgWdpwFE/VYxG7B08XiLjrrs5W3bbOSxr0e368LskZaJfb000lUm8gsRh4ZrKlF5pvRQI5Yl
Nh4KmxmXFCcDaQqkxwrvSe3qi4z0cpdGtebhg4jHbU+50Bkc+dTl4iADeX0Xls1KRILsABJ1f8qw
WdPEXLTxk2VJ8VdgHtrtiKmpR3ArwRdhtpj0yvmkF5bf63MN6WvxojmT4Rgj9iGIZpBbhVf2j4Y+
pAG0+x+H/W9Fnqvki6ja6lu3H2b2w9X/f/GJvfpff+/9o/Dkvoii/7oflPgHP2KSqb8DFcKeooYF
je81+vyISfyIHA/terIjEIJgRP8VmDT1ncapaIJwpucNJJNI9iMu8aM1aeNaTDZMERl02t+P9j8I
S68p2E9pBcgMqKsrJX6Fg6252v66avqCrsTUic0EozE2sm1t9wjeh56O8L06+pNxT1jzh2y+juyM
pnm35aHcbhk8J1auUqDWFRZMzfw0LJmncFMqJ8eLM8crunYXtjby3KhvR7nvaF/17tmxcndq+p0d
Rx8wpX3fA1gKG2xS43SnCNkrRwq01WaqcaU1E08KSfTTbht38YdIb/3JFP5SNW6cFm5IjVUyNUiO
2mVGP87ZCXPEAsQkf0nmCNR1BHyhTB/hZnwMneGeeuJ2TCS4+d2FaWy1TAMWk/k9v0cZhf/TIvhF
wD8Ip0cTe5AXUtIYzII+96ZrqvN6xmnXvNV7dt5JHvZBND0aaf35T1fBuqmzeKr5hI56K6l/Dcqp
q/3xq6yGeOAsYXLRGzy8dDeWhM5fOoqNjfepnOIU+LBkm0xZydtuJj9GKkb2BFK7ya7r+EKrik2m
mn6a3nR26xGBA63OVgzYeSsZvjl86LXWlxVk2XUXmVq8K5C84d+nXeWtv6tr5ksHoWmzi1xLu5Mg
IfQV/ZCudEPkJecaSwgs3yiSBUIrEV7PdiXqoxpGzpUBClM6cQs9rOwww0wAZnPr2Qjt6xD9T5HT
CusRBqcw8Umrku30BXq55/QfemCnKHN6XeHq1sQ7hm7JpOQqIno83u8uqf3HOLhOFRCTTZQH8b51
EBtxHHcGZIrtmQtsY/P2UOthvx8W9oc6qBZWtT44KDkSFpDYQrDbDY3UHbCVe3uYwzLGj5ldkYsm
wY5u5P7adWJR5/hDiE2rPsa1cZbKoZuPwAeLeivFH4RzaSqL1+nnQu7vF+m6ooTbLh9UJ0FHgbmu
ZbcKgzD8HA7t90x6L5H+OWM7uLwePdrBiavT+B/atKdOTYEnniw861s3AyZXNqQraB0MphRIQ3T/
9pT8crORb/49IwcB2ZGmOawHPjJcId+oKrdSU6+t0fwNT5ldHgeO9SP/e6iDEFUClawjsq/NPJVu
K0oUJp/ffplTIxyEprgXXCAFI4zzs7Ae2/5EaPr1ZK3C27zFKku9v3zWDlaN7oTY9MpNN3+h/Bq0
EUIn4Ze33+OX24E+OUCU9cZ4qFuJhTb8J6g/myYHMDxs6/5JXh7eHgM48K82HbcR6t7cVVBK2n+b
1ohAMRSsuEJkRLhxU8+cdIl9pi4yqE6KW9ju2svi9sW4ScyL1pDdJUopwmtPUwQepLa+qUZyk6De
ZIs6dXtpej90/eoWLFpXocqDQdboZeGwk3Ljspjep5m80/NyEyuZV9Juk/LWL/osyGtjK9eI2Ywb
uc/d3lmuO+uL3HyVdP69VZ9LtXyuxNcoQoLFil2jGz0dT5klkLSvrf4eT9xFnHVG66Z65jcLeIKS
57fY3Q27ZpWqScpNtISbsUgJ4fVZOE1eLMPOSTpfLE+NpJxrNB9yud9147au5aBq82u1fJHPE6X6
nAjrG5nsE0qgD3Y43XfWtlOvx2S663PrW9o7fiyhi6Dgwp3KD/HAxKXxRcfEtbF1sVTC1+OYnNlx
9UIOkPcCWncrcE+XxmeRGa6ka1sg/vChoBoVGWyna7VBj9twbosuW6WPL7PmK6627rKz7rrmS7Zs
ASG+vsJY4nmHRv8s3ffVp9L8Ei3PPYDXzOFw+mQkxW045a45974+OX42Lv5SCx/jtqBzHGrV5mZs
06tlsi/6Sd2O8fuxaTZNVp2bzlbFQ1juG7qh6RXg5o3aVZfrcpGSrw2trUlOt5QX7vk8vs2Z2XNS
FLPhR5VxiRzmV7ufNtgAP4wTXEGQRa2Lc90lF+OrChK7K0XjtTaMD3UDAddqt1PzECJo48wXhdr6
dZMEvTp6ABUvCuQWdNSFbBPZPlx91+Mh4WtPwrUqA783A60j4U9YqRjdZ6lI/Tkmjkte0nyd+EsJ
It6inH37c+dIgRmNKIwqZ02nn1nRRcUuMyyMLtJPGlhyZZQ3zHkZkYd2V7r8PSPITS+V+p0VpZ7I
ak9NIpcmXlBUIKAH57EYECIZYYL5zgz1jrSv6z+rcSDg4znqddVvRvlW1mOXS58H5OO+KoaNpsHO
A0ItacPHNNI5/XRA0+yyrEDIDvZwVG5UTMzC3iEeq1cOxs1Nrm6MKr8Wlv4JsMxzoi83pVldV8t4
3472ZUEqK+tflDA6p9eNUFO87fovvU7hvhRPWI37ofV+aMhdaFlE1edufhn12JPrAZu6dIe+GYnQ
7ElIuEA8CcB0ezmYw/i2T0Aipl8V/Mq0jvNQUYKEx7c6j8Rpq4+0L4aaay+ZtJNgtiB5Sla5KkDR
ZfbhWQc52iV1nu3oAV5AI/Vitb6aovK55rf1KrXa6qZSJZ7ATRVAQFF3U2Ut8zAG2JG7pjmgwBb7
c/qUG9wdmmLXSwUL0thk9XM417dhrwWxqWNJuBrFwjDp0ivbfhjVKghlKIuytR2m0J0NNWgxAl2T
SQydQVDficI4G2EKJLN2lkVTkIhyk5uSZ8jhk6ZD7UOGw2b1L87slnFQzAi1N9Olg6BCDt0grqjS
10Xt1vixwys+c6zFleZit1SmJ7gZr29ICfTBbKftoD4PYxSk5YORuxkfpx6v26pEkzE5i8vimX7w
XdKJ86lFA2zGnToat5N0KZkqikLIfyzPqYpKMV/BIFx3M1ZPBhiR8KGrq43CQEpdb/RiPNPDfCNa
faeF/RkaEGzhYaP3yFNTd8wq9MHkWxJNH7MV7gqLm0jIZBTpLpL8JRovEdAMYNdsw8y6iEX0AWbP
Vsq6y0L9Jk+O28q3sdNfzMgASYCy5+gSxtedpQ7XWvNsqNG96KezYbiq7dbXZieQstyd1XIjcox+
yjO4qG4Fvksj3I3pdC2l6ZMISy9V4gthDjc4P+Cdke16Q8WPIQlUKT9L2gcRDbu3T8FD1iT3YIB6
/Ac8EI4Vshn7h6A0442e9MADjKQ6B3fM2UUwwIO4sh1XVvNNAe4zUlN/mnVX6jMfdGqg2zGVGPlq
IlcS9nArxU/ZaJ14tKPj+eDJDo5nK4O2R0ImNmZh+5oIb2RgQ2q6uEb7lPMtnbbYdF3uvz0hR6nH
wagHmbjWp9RU21pspCnzHP2p69Otjhnw26O8ArH2Ev51GHD/BGZqTEgb7097bLWwKdWMl7Nq1+zN
nSGRbffdbS/TNJUsv5rA0o8jnLvRS+M2mFXddZb+Aojux4hPkWtBrTbeMGee1V+oiNgaRvx6R49H
w9VZV3qvv9cbjUtj5woDTDi/tZG/4nbPrjHPRvOpu++Sx07R3Al4ZtYqrqYEw07jSjjY6AEKz4gz
V66yQNE/1uAUdLITkOg9FjXIRaP3bGxbc74WWnerW8vG1l6SLLqNpfZ23XOmMjwZUYH2SuYbS3Sb
t06QO8VVOJQbJxqfYlPBxgLpqlp9HhH4s+IHM8I6YBKrieby0EoyFOt+V87hE92Vj3kXIRSrn8uq
2GJlRTXfcWsr/TY1JEy97UdF43UV7nYFiQYHiQZkf45Pwb8PQcvfN8y/v9whXJcQGApQLuuyvJaJ
ibF40CHiU8axFxtDELKvp/68b6stsTd0TmTGB3VJRkfe5rUYBal3RXLur5u2sSdD6IxeVVssSOnO
xteo2V525Q8hh9+qLz5WBf+9WVz8n5Ugty/V2lxoD3/VXrPkf0d3hHvnfy4+/h/Rf94rPfK3/648
Ou8gWtO3MIEaAfxY8Sg/Ko+W/I5aARJ57HfQFNR2/lV5VNR3UPlIY+E0oYYMr+BflUd+hGkTat+r
zheoTurpv1F5fAXX/Rxx1pojpU9ySxYQFdKDlSPZmPtYUmb55agUd4Y8Zvi8L9FuNDQjPiuUsTjD
rbF47G0pOlfmpl+2RmFBVpWWDN2iejiXkyL3IyEHjZ7nqZtMjXJTJ2nd+3R1jHOMP5JrcK3WPZja
8mGwW7vaqMiNfo+dv7Uwb4YX0fXi5Q86bi1tqvLrp44u1+Hy2mvF/ceV+r9xEa564f95GV68lPP+
Mlz//veFqCvvWGC0WS0VRsXaT/t7HWoaP1lXE2uRMMLd+l/L0Hi3dm5Aqa2k2RUN8e9lKOnvwLDR
QYNKSPEC8MJvrcOD+Lkq+qF8jLYfNF1ageBr9yMYDgfJXJTKZ2MqkSz5OCnQH7Dujrtu/OhMXITv
nRBjExwG+vTFmWfNckunJAMMKykc6bbYC3xPikT9zKEVKt38109T+YtK8n4G8P0B2cmrJhLag9Dz
9h9QjayqDjPIahxQVaDhX154RpGXg6dMfW1t3x5tv2RDW5pmAA1x+JMKXohHCOBhmYTQe+DmSaRE
vt4u+RPC5/Xd749CAIKrCxUbyubBpMfxnGkxtXk3mhtmrUjbs7y0hhOi52tu9O8Q8/1dNIUG/4ot
WKWl9mfOliuADGqTgiAo0s2AX/i1M8Wc4KYRXWSx5ARyXL/obTSfeL39T/ZjYCxUEaLAH+GI7940
6CmNOpKA84gK46zM45loAYsps2i8t2dyzYeP3hF4Pap3SIYDvtt/x6WcaqMBde4aSoqNbLdARF2a
T6O0fJO14hQd8ejF8BuiEA7dmabVqie/P5oDzVMBxR+72Rx96PSG0onevsxrkfbt11ofe++1ILSt
fbGVswNM45UY+lNTA+BJJvQG4+1QgTOgYqIO+m7UUVCiQ8RhUV44AqfItwc9Wvu400CIWc1pVn7M
IVsh1IcknfIkcbNRWEWwjHX/DVV+ks7/h3G44EBrhXOiHFa9B8QCHBNTA3fR4+qjEWqVi+9x+vnt
UZSjpcHrAPt8/R+d9lceyk9zaKTprHa4S7p62vVuXHNrSJ1B32Kh8FgL/SqPINik+rYVodc0Ysdy
2WXmcLbI1dXsQBpXRHWtmcvt28/1q1kGYcBFAyATXdGDNTQkRlnFjgRiezHosBvp7GZDeGoB/WKl
rpxNi6CuUBp+Dfs/vTz1scIedOa4AMZNzUypJm7obVtXJOpzdkpm7FdzDWMOVRto2iunan9j6A4y
D3YaAj1MkUsfdftZwZkdp43zyKiiEzH614NxscWyEKDL6x36p3czqlVzsWGwUS/KXbHI3Z2SVNTv
MqxfglBtmlNL6Xg7gp+gIg1MBqMKBt1/vdCYUjEqbMfBGZvrNLY/cl88h4BMNVgzXRApUvcRjyB3
QlwBpy/8mhE4sYamQWJKasFx8bRzma5y36f8E4/XEzBU0DVwNkGwoNO1/2zmem7yzLELQUZ1eSTZ
U7ViPnt71R6vp1XhglmwyEtQmDj4wEqYQNowrRjavWzOF1NNe8wf0jwct5hHps6JEHHA0GPN2oy3
5sg0HomBhwFQG0O5KQ062LUs2uJ8GEzgxNUSZ990gY6Fa2jIQ6ZGlKZraTCyg0azpQ8rCdf20cWt
rt5+/V9NMsSFNeECe4005f4kA8takbi8/krMafGmXPppN80Yq5948VMDHZxnFVIa4EYZqGzSfFeR
JgSKIk5FhwMO3vfp5XR+Jf9x4Tmkn+YTBm5NyvQilBFSdsjpkkhOGH8T6GFMUEs082mc0j7ZdWoy
zmd6l4rJdfpMPiVY9auFhRKiBmWAKxVAtP2ZrZTcmjEN5ki1pMWfCY2bArkC36kHaff2RwT7xC/b
O1bXA4HPt3qYQb59PTJ+ihxyq0klzOXULaOxbXa5MiC4qAtKV8TJMpIBQ9jOo6pPOIKHVWsNnjrN
SsRBBVeDUjMQ+aQIS8l2tbEcOoVTpVrmCWH7wa4+k+o35ReBBKJ17eDLCIATgUdtckm9qP9m6dKE
f3X1DFLJKspUcQHAqZLXjuqU3UmjkhdeL/JZvo+nhDOoHJtW0NbqlrDcyqKG0OhG9phJvjKDHvPD
Sl6u43qKdA9MnWR7SMKJDhhE33TBMJnd4I9i0raF7VD8xkIl+RpJkdP5sKojE5wCCqG+rRRdzCN0
WbZtnVrrwISUlemq2qwNnowdHpQReYIyJBxbNOdseeOZ3EgrLoGKCXVbmFbSu1pTGBa2RXRPctOd
civuvXgouF2AGIgSdQyvRFtb1LZjaZiFcyFXkS7Sv9K6VCLYZnmcDY6L2/3g6LDtlEmKEe0TNpq5
3H9Ff2ZVYfeJ8hnYPNCqdxYtKywWoZEOfipkNFuaREciI8uV5SFzsibaymktW15fl9nz0BXFVyFW
uUIty5Tab2crLbxhDJ3bbLHCv5IiVUgE0AJdqY0pcFg1rk0bJQFhZ4E9YbDjJ5MWJ74+OkN8boZa
8tcggRi8WEryqdjDDU0T3kBKKD7Ko97QC4py6a9Wy+3F8m2mzcSbwjFgXHYxQgXhiDKQ7lqhpN9G
TlJa500hos7NSzIuv68nSvypHebbZc4r3AVKtOWpB2rRpyYr2hmx17DAaiGT4GU4UZ7UF/FQz0+6
Udg9iCK9GPx+CvVd1CTc+CNAKRown2pE8wo7ZhANtVYrk9vbJj32NO6n+1jgT+VJymzfpHbj3BWO
NRmbJZOXrOOkjWD5i1GtMVOwcISZwD5VkuFQs5AE/fPUsaOWgfMyZ8VZo/gQ9YpTeGXX1XdSleMS
i3qFuGxb3Ul8UiPFesS/bJLv6YDSnS20Pna2ta4sOcphXTSUTxOW3D5u3J38kNkgnwIbAQ5ly6XU
tKJzXa+wnLsoBxONAOBPsoGKVtyXK4VepLmHAnZebKeUtoIlyennUUm7+Kqi8yD8csgBPaERZV/H
SptjH8J9AdJcVVqpxynQ5F4bLWVNS2MEgZXMbfxiwI5DYRO5ccqmJdctd5qMVvb/L3tn0hy3sabr
/3L3cGAelhdADaziKA6iuEGQtIhMzEACieHX91O24xzbcc/tOIuO6I7ojTeyRKkKyPy+dyzswqqQ
oLiE6NHf7mQx54OfpaXGaYY+cTSnPXYGGBi/aRYZ+3l4+SMt10bx0xZ8dFNvoQCyncVd0m6+GHT8
cLTd1Fbhdl2QrkBvA8y8SDUeNyI0NzKLWeugTLqg36g7aIfSivvA4oFQZl5d+3WzZfHY5G6XZh0x
7alqnBkvey2tNclEs9qJv8jQiGs5bu9WtHnfiX0gX2IRGmKDaAI71ZcoXMzERveDfr85+lFu/aa+
u1lRiXS0s/Kzr0KLt2AbfPvg524Tnduh9ZxTOARdsMMEWF8UQ4pdeiBR+E1nhKXs+27j1nGipTfS
zDeLTxFGlT7UqzCPNgsIvWPFkJPuE5S+F/MpXcidoYABZiAI/AQjp+Vju6tBqNlPVkTChaqRn/qy
v1VW675W0VR8taOfhcmspm1K8r4PnFjUVv1aRiaI9lzT+ZTUDkqWgyMcJXbTrHURl1kGyUCUaD0e
WlF63/KpgWatfIeEUZ/gMneBHWodUP5cVOemQqn1OPpWaVtJWI+9e7Bt0XQdf4QYrL0qB8iDSVew
hTNlcHfGhug+yXnPtvJl9qOLopD5n3l218tpoOM4HgJnGsefQZF5w48aSdDYx5YeLLHyLA68YRNj
/XS/0NNHAcPWvs1ERhPpm3lNkQZeX5Yn0Xpuw4lTLeuuoZhDdsmAo9pYEkTXs++l7CRz7h4iezXL
/vcx8d8CA/8lsPcX+O9/mkofMg4Y72JX/tc44P27UUnjU8h3Q6npzzr9f/7u31HBIAJnvmAILPg2
GvALzvw7Os2v8JMuqnD+S1rHZTT7Q68PYAgSAOQHXMwO8pti9p+yWI+sT34JiPo34PrfAacZa/8y
KBkk6aDMZVD626LDM0FQXGMUx7Z15SHzI500BpqZ1d6GtyhHR7LYEYSkMddHk17Rg+0UYpet0jyv
1MF1V+1kb+TShvIdL2iLbm3JXzwXXWK+Va/FrN6WqVe33RwYZ6+pn/xBL4kXMuYs5UX1IGo4xYxX
aCPLDcd0gTMH3Qgx2cE3JinDIvl8QZaiwjs8pfN1FY3li1eW7utQN26b6pVhRPOXv+mb6i3LpxAN
v6NilVH/6doEHLJFPVreu011BPqYdUiEVFnKjUkg8axSSylYeucyfmViPQI9Lok1wGy3yBXqeOX/
PnrKmD892WSPohgsI9ZWnl/Pq++/5fgvTkRqBLuuD/qUAc2PV7XW12PVNnnaOGQIO2XW/nQKtz0W
vpMfIReHc7c2zedmZ9l+2Pz8CdAneAlGDrq5NxHxAgadDBJEjk0unYeeOKad8u1tX1XldBIWob5W
wC4SUzSBTi/LFYyxbyV+0ESP/hBuc5yN0Oq0K7jIDKL8luEDwZNFMUrmEXnrcJJ+MhsvdE1CilSx
CM0+ts1hPvV8mKcW7eXOi5RzcN2GjOZxqYob7rfuZqV4477MhuaYSc+sCFUezb3wy+ngDG1z444+
EdlUId364YDwVWqIbCMLvvmFiO5I9zSum7zVz2tbVRAWHkOj6Ie0ruvqbuvaErwSxpTc1vbazewm
9TtL+3E9UhI55mFBSoEQNzQsyoTeRSeufWNMfTuivdkD7QGatnam2W9onkWBjNYcTIVOhwzpxXmu
jYyusShcX2btFB85WswbT+oHkre4GIeWCqlIhnfBwOquCqpVMjplYGMll+qqfnp1VtJ4JUjUEPYf
Rvn/gmP0/00J/jekUKC5/n9H55usP94/5p9/PjR/+y2/n5ccfRfjEGcfTkNOxwv+8Pt5aXu/4Lsm
SMJjnePQunSt/sPf5P0CSoQU2L643C503j/YPBjpX0h44oy9VJjjR4Kg+zfoPCwofzkxL9kCwBSX
ClUSr/Hc/B2U6sMmJON2JjC+9b3puLYTzr5H/JdUC9ws20bInhhkgWcgU/6+t5z2jA5heFqalgkn
A6Wn4MYiEblokzqTc3sVLawXspu8tBm7BTWQaX1bg/A7eYHnQNnLQXVyPtD4EUdBBlwZhj3idGPY
znQWavLotzifIu/TvRyMQaeegnYO99O0vJjmHCRDZgrjIcSij5Y86Bcdd+7afDoIHq9WzIPYCaYu
oauhuSr46x87/pfHziVwbTc7bXi2W8M/2Jlr0XLGy9IA9DHcmjO5hJZIW7d7da3xY/JQxPv1A1+p
GWvyDPGql1lMLWp9DN1Mn/mh91Nh7aO1eQiG8LYnfiFxpJjOwZoXQYrbqOkPm8AO+eUs5kr5YC7y
MlZEdB1c1GlXnLJq5KYp/WtMQN57r+eLEi+kJsp0H4lWMq7mtZwPo5fbSU6R0a6hjW0vKvMog4LY
/Mmbgv1A4+5+mAOVzo7WlAASpLps+rMOx/mh416869d8is26iG79i7osLLdpZ5IqT4lv9oz3D2VZ
x+0Zjy0BJkYrsqQSirzpsbsaDWe5skyh7qwemeCidHs2DFrfp6XsE8shhKIwximlUs560mHW4PrU
zfg5UPC0n6WyXjfi98+rL5y3aogMsuYH8k35/K7o/an5AuVo7nxpAwN2Y9Olo5v56IBdO4WZu57G
uYtFWW/Mr9mAdUHInsSReT12kdmRJFJ0xNowHI+J1+ntCd55SMKxVaeV++CBmGDjGHSDTBcqlnad
6MpzuCrO09FzD3k18Rn69qIST1XBZxsu7WtY1PWxDNc62brFvnIXp3gqdICS5GJfAWWH+qqRdAqS
/M8R+YBXTlSz5/Cvvg1lGMayADON544e6h3eHGM/Ccu9nlvTOPtFZCHTzdXsx9XqWYdsqNr3dZ71
YfUM8wBVPiD022b/6PShqROnGIEYosFFOZjl184wbpSo9jPPdVieCR1njRVyY6cm9cQxtPMptPFh
rdEhQOxC46majZeosmjzRQh9yKY2em8b1T8brnAfeXA2npSALcsrlwfXagk1U0jwRDAqtK+ucTKL
XH8jJREF3yC/N7UbHLzGI5rWxCBiCtSw5EeKa5bzJVFZ7ewh+a0dIAsysNw0dovXWmNsmormVxDB
4Kuf+/4QRY17Dor1Ia/znMu9kQ8NpVt6Me4wT0aHoW6POE7q22XwT91YD9fknKEm7pvHYLO7A4/B
LaaExyJq3lubHVxCgsw+9/vQdJcPTL+tdmTcbG3+zdUu/dxoy6fCHQ6iB5RIIqd8tIwooF1RWrfh
YL0GtA+8wJvRd90gXKZn5KiD+r3MbHNvN611u1SEpxTG9ukMhv6YyR0rs+iJ6LVDR39FCmBJ9HV+
J7btuY7UIVPlQz2t77Odv646eM7qgVUWlWU4NkhJW+5vX+3IGDt4/vBF9jbaWcxOVqU/sU/nYKhz
tluq/ANO4C40N/Em6c6ioLIK4s1exE9itr9FIkDwWPfnajG+M9LuN2XSTsGWq3x5pq7qyhfGq6Hn
4N52jXUnZf9d52HiS2RXLI9J24l7EfQnpyMZoWnMkzE1SB5t69oPPRJjsWaMTrc3ZF7s+tXhuAiC
pFed++iPtjpUTCZmHFibfFpoSfmix6nakzX16LgZiyNge1jx+Yk5I5KxiW5zZMRwCQuDx+ahsg5m
b+dai0+nebTstinchfWvrlN2ewfsJ+HMuAlXkmEzI6qogmjtE8FEt1EuAkokUNSTv7YdB/TwrIgb
zrbqs4iWn3IzDp5hr8yL4iYq+pMsEKovrtHFgSc+87E4bX3+FOrmCArGeu0iUw2zG6dlfhMzd8o4
BD+zzL9AWv4DEMJTXUVnMB3wI23br5PB+0RO6l2tA3VchGVfBqmH2XZ2ZjTfV9DzX2UurJhGeH8v
xgiF8GDcFpLbs/BJGQn4A/ZbXy+J77SHQEZmnG+jtRvdrYtdJrm4v4ju7S04F4vWySC2Z3JKunhA
IsNt29RcWqN6ZOCcwKbQqCtLI5cPq59hpapvkcGX5gz8XopNGmJEi3E8WHbdf4ZDtBAtCqGWVeXw
66b0lrb8S1mpjf5ASE8YpLmeRXGeg36MHqbA5wHfttFMhDtGqNYDmrvbdVtQCMIHWklfzdXHNGqJ
9Jz/poPZVFMSikkjRF+JJgD6eJhE1u6MKeqAhAnfnKg0hes2m5NdqSwhKI/URF0k0rXL63qUQexu
mZGWkSsT3+ubPV+2dwu0d7ANXjij6bfEsnvi+dcBuGZclvferH2ZFqNDudQwrJzRqu/QX6+dvZzU
CIiQonLXy1Ptcw2eJFFC/c6u/TErYn+ZjO5+KaQda0zDNb68ZEbatC8aZ9rJTB5zXeI4wAEwCdJz
85Q5nbZrIwm68ofZK6pAcFhRjed+h3gYr/hg7k3lEbQ2pVFrshp4/W6W5S6b8tsMW0VUoWUXkhsg
6RZtJq60zma1fnR6vUZPAkC+mJf0c5TdnX9vWayxrcnNOmb5nGyawr6hl/inyvorNFE2B60ssT03
S8pXaOJY3KIlndZ5QeNevRf+6qLp98PEbauYYWiH2F/GU2M/UWLPu+kj6Iy3ttp7s/GxtktBhRlt
OXXkvLYtHoFJoeq0vSZPDAef5tr6z7Jfb0SVjceohwNvgzxPKmOI4oxevl1W8ZS6ZR7Fc7lu1NSs
+qoMpXOspamDxKTKLyXqfL4hYF+cLYiBI8L48qBXUutM1fygihhaOZh9A/9aK+Wum8fsusX/cOui
e05Dzyhe5r7ezlpH46MOvLdAXKwWTWjQRzV+9XW573v+KiaPpFHPUOPC9t8KZQW7qHBHEomHWQGV
RXuockz5G49RmLr+8r1cs35fzSUWxbwXCNnHc2T4r55bq52Zr8VTXfPCD62Z8Qi0YYwggUvQ6+XH
1GfytNY9Qlo/UB0BYYN+7wtYCOJOGG7GkgqntmvWnY+CpgrZ52zs317Al0quS80HQFagfyxzvo9d
YZAavrPnpaRppclXo3+weqbpmhbHmtvGRZk7nNtxcXx04dYyaNDevlqJSlklK7NTtku4nxdwib2d
T0h95TrtDPKx2VJFaNQ3Ic0GGm+gY+VXAUmMDybeAjOpXR+/VG1usro38tWx3hTE2lXvRQ5t7wOa
q/ZFFKowEwcTrrilh8qkJXBx1+BnBzu1WAnQZNadoopq+AMxafOv7ZgH2mDBrYrIjU1UWN9NLJlf
i5U7wNcLnYlAwEIXfVzlNiSGM2UqSh0+FVL9EFeRUG2K/oOmuQlrs4G69bjJTRQJptFNPneMtafO
n0CKDU6yeCEJkYCjwlFUeiv3BN5Z0PcZZNZZDZrepGZVc/bmq8w/SzNc8MRUAKnDLbx8qc5DKcST
kp1KAQ3kTpE+iUJ/1XI54Tm24nVwwuFoC8Nrr/I6IvA6mlzJhd820IEbP+I9DNaSnvF6nXqU8L1f
ztcWOKxiOq4z+5ZORc1OYhuDvnLMrH6KSs/7iAoqibn3rJCCqc0vpp2z9qWIq21VyHInd8NY67vb
RiymLnKBL6Dg+ZqXLuTWEo16a4A1vLT1Q4k3ZiHz8bhOsrNf51wZwakZfJ+TqLHllF7aukoVY1ga
uiOG0cX4Vophm5N6IUv3WyP9PvpuBYqj2oHnNPdmFRnjgbfLpM6KkLmpgrlqR6QpXGpj3Nm5NOAn
ht44NG3bNFz+Y+7fAO5L57RYNkm9uSWR2dtG6TP/cmYMvzoaj1gbYPkKuJIW77p0MhzqQxblL+7Y
WO9jyMEbt002PIeSdOyUS6Gej9mQfTNHcM90WwMondnb1FEu7Wb9GjoIRsljW01NCDIiJHaafp3W
M0Hn7a0xcv0deLn8+dSOWRCbS2ggzBdDqF8MNZJJVxTL0tyb/dxxzdYri7FTSIaBsSPszTUU5S5k
zwCPZ69tHfrfpFnWV7KqvWS83Dbk/dTssZpAdb3gcmhokEfQsxyVc1nsbHu6AtiD2yHd6B6kSifV
DG0UD11GFtlo2v2PaM6s+2hx3R+ZEM9sTDyfFoWZsSHA9hKb1y65cFSvs/aLO0vqCdvRpUCYzhW4
U9S7GWIyYvVoRvfdNb0kIcWQmGN07JnCv7PrjUY69EugTl0VBsjjt3U690tDvZNNvkaULSNMS29l
RC9lwxidiMBrqrTzdflETdr7iE+cQvAIY2VmRckUurebraddxRfQ5NONXQSQRKJ4UHC8gjrI4lQH
01KxxVrVHTTJ19oXKg3ytoyo3hZ5MhNzsOt7iAqtbXgH+oOnd8N1p9/1af8FANX/NJz/kuX+rxH+
A4FADYq+P8NUl9/xh+jc/sUCfaFXCFyJdLjfWkn+EJ0jLKeBADUkOcCuC17F7/oDp3KjX0hdR1pC
fiJyXPNPMBW/dMl/BBy59MxfEP9/A6T6m6gG5gClOU0GqB+IaeT8+xu6D4EwsqjmC8o2EZ19Iytf
jH4qbmFyxZk6deeS+Efkbd6NN5Gp1GnwIk2ogAz2f/rQ7n9XXPzZXP6bl/efQozf/yZoKRG+E31t
o6gCTfuTEGPM0D9A5y7wxmUrmSrfqBaQ11G/WV9yAlSOQ1u8hasn7txSwItPCM8OgzfnP0Z22grh
7Og9uBt+spFsTkmapCWxfa7bf6KJ/Busd/nI0EaTM+gSWnXRlf31Lwq77GSzw0fWo38m0NJwDqgg
goxXrRY9WRBZ95+Yuv8elfTbj/TJAsCHgNgK9dNff6TRQ/FlNhqnFh9ivYljYLbi0YCKjZFetfvc
Xyk2zGh5Lgnob+3cwQC5cDSFzK9uiE5gmkt5mEvI4t++tv996/8PcPK/fun/71cu3hupxve/5Hbx
e/4g8y5JNrjwXZfKB8LkL5Td72+9b/7iwcZdWD4Cay6k3T9eeif8BdSZrxlJIakaoNZ/UHl29AsH
B08bGDJGlMsv/Tvv/MWX8mfRE0oEG0v9JWGeQ+bCEf5NQD9RdKews2U7q5kLqiLDn6vInZT84WtX
CvhtD5pnLMQpa3V+MrT4UbqFuQ+1l5j2au+sYWhvWn+5yAsyn+xJJCqMUflUBkmbmS4KBjbie1DU
LN8pLQMZz2M+V/dl4SlKX4XrIZS2ht4OykvIV9nanx7wx/Cr5w3LeVsmZXzvIrslEqcY61c9Bvpm
dIOPYLKmh6qpgUesSNFIEYp6rhNaE3f55EdXJMiiiSC+KjWNPHwQLmObdTEsQ0zNbR6ReTy3rFOk
Bc7jdQSuuB0l7oGp7aqU6ITpRP+oRl5AiYsW45R4PSqJ0ZD3AcKU1MsU9abICurLWG30zllk09s6
+G06AaF0scXEfXJ1fa28Bj0JlZZBWi1tkTb24B/8Zitjy8KyrJyzJfAtViVr7l73F/AqMoERE4PC
xXrHKN2+qE3FCDNShYghsXJktLEmyQptKVIry4e06glvZfeJUtXnlX9Xj8CkZm19TcZ6U9Rqfsz7
+nYg9TW/7eqZChRumuFlGND9It+7UfyRU+xvfmmRc1zyc1eTyAO7tHGYupXALrZq10MKXXbzfrBF
hECN4CE7BRTQrN/KezGQZKlkpvREJI45byT1Z/CmGIwouEcs87KulnicImckRGx+6eVM8o0/ufWe
/YZeQtPtzh4f271ZdFdTvwGTdPdtM4271erttLIDG0eTv7e0ei9bQGLPUoB7G3EBdlQqMPtpOKDB
pVy1ohqbekKLltAJULq025n1kEdGn+bRE/d5mAszNkpnJk9bVOtzoJB3psTz3iovOGYAWG0+b2LP
BM14BCaIpZLRncb5kg7N3yp8GMrD+SbLqqthLFl3hdvO3UNFlLQ4dcKSIJZOSLyHRw/6kHoF+wyj
Lbh4BZrqopTjWiI8LbFVIA+I7q4m+uJoZ2KklkLpRA8T/Q6bt+zQRhbJ4pKqsVQeNVfGQuvsVE1P
VrYFd8WkYTw4NNpfF4Que0W0ejxajXvnhGi4soYw3s4/z1s+pWMXmvvGXXq6vtc3qeuvxpGHzmpP
3OrXEDkpEtYPv3QWfOrBGGeEzASWzF5mwfwYzXYZF17mpVRwAut7zVgqXibZgQv5aPAOLfhy/dPm
jdrzYK/scmXRLcm2lSffa4jSKJvmkeVqJZdjmSZyHMAXY8H5U55a3S/3CGwJ4jAKHa6sBI3eEpm3
U4yM0UyXrVAnwzbrb80QBI+5Nq99u7MJPuqM9TQN+gx2U5xbB/Q9bvsIMZqY/Bo0ztees59bN0hW
5QCgbm2rDqEcdZMQMigqlGDb8G72xugeHBfBZ7KpBbW4KxfvNNlT+QDvhROdlJPuhrYBYCwF2XRv
Tz2bU4fe2TiMgWd9aHxB5N8NMxhCFbSE4/jRmri5G+4Lo86/tmL1OezWERYb6eeGr4/Ahlw4cW9U
X9HsFheF0pQdtBSa8OXJamIEa2xuYVYuO6MR8tscVLeFPVrXVDGIG3ZXVEm54zwhkZhPgaFZzJSN
zE7mA0kG4WwkbS8bUjDWcbjaKFY3j33UvbmboU7R2tvnoFvzNQ5KAk1iF/Ielz+adpSvvTPve6+K
OPpGBL42kiM+68Fgm5rfx4rdzVEjdbjK4TGT1Y4AoiEGuGz12egGsloM4p8aUOqc9ngP8eWpnYL6
tgig/0imma0Ece2hnAT7dS5JLmjDJydUkyBZ7QmZXMgkp/I6YVUannPXvsNwRvyRDsk4gFKNxRIe
4IRfOV+Hk5KBJhmLqBVTl+qYr91NUPseG12FCQkwtDMXgyqLMc/CtO6LcT9Q5dPHyrPTEVL2Wmxo
LQxjvvMiUF+UY7QMJ6sL1ZfU1Az6x05K/6EkfenkKNn8oJtUPG8TZqC4t+0fyHsfJmOoyFwgrqse
umcecAAoHTygNybFwHIffOggAjNEf5NF3s9iLX+1AegxhRsmPUJU895WbPpwc3lDsIZZtxvZHfUw
ecncO82xCN1vXFHhSTZVQGqEu9z0Zlc/AVY3A8MdWWKG2V93VnSh1hBbxlt2kaUXyG7eW2JUkLqm
rbKm1LuEP4xDw5Ura3Wa26ihzK4HNgPDjodS67QbBhL4DTdv4H6NzU+rbHN3dQSsmqn5urWdG3Pp
vmWjtY1ksrgNJ6z0s+x735iRm8qi5rBACrnPjOZQbR4iXNvIjziIyo4GTGt62yzdPI0oDa/kaDfU
4kIaw/84FIb7gxxkQgINeRT+0DxlgbzgVoIeyzhqStU+GBZ8ZWGSU8dG0qviBHhevK9jV9ek6zli
OLgyWB8xR3FQycKHBgUW+NQB7+yergSvSUK/N1+gRIDCGr/ZrVTdfe+05fSncZS3kcci4W8qQwCq
qgRU3rxeLiwNfQrXSxgYwIpCUJFSeIQugEaOP0rIDysxIXfCvSIK/Z4YG4fOhsqsbqh788ezaakF
smDpWGZs/SPIy8G+XpR9aw1lca+q9lBMDSmaVfPZFGYqtXboVRNlT396049PmywR4JPxeu1nbZ3F
uETJdHcWWiAA3fNDScX5yVZO9ORMKFCTMEerDiRI8SlXZdPpRV73wvkmMxsPPI+J6InrqqN7YfLl
7GXGuApIBN+QWyM+IPbEwo6pgx1GqAN0UknYZaJNZVTz7yhtdwB98S3ivsdLDngy0u4xJnDZTf6U
Y2H+iRPzgZChscZ2MgZYBTomq5RvcLTjbSWt7sXtgg6ZKtQPIX11GLxjKTBvumkJiI1jKM1uBWvi
kEhMYVNMIhr0SjgZcNmzDTd8LAZpbMT+SGPew2VessdcY/4qrIDIO2MwXmTdhunKo3Q0lGnvfQaU
hfrDRjt75bX+nbZ5aUOnTMVS5Ndr24YnBXizpxHj+yDEsO8sm4AUDlNk6yTrZymKbDdeeNLScvHL
uAJ64UUBS+SrarvvS2myAa6+SX8Iu/69srLrprXXfdd62Tmrbb03spB0mCacyuWwdRPhCbmoTSi0
WoyJyOTapXrx8iruh2278sNWnuZCYAcIs/44Tva890xeeZp0flYSb1NROvatNIfghvbumUb0NYdK
M5rOvjW5RT8w2lEquFXqxqx72ElfpUXQFQ9iqT3Fi7AimXbcs1dal7Z6WB32ffdmxWx+iCbjcVio
n0p1INVJGi3kRjE827lPZCpX0OeGFA58rknNRamXYG5grnQROh+TncFQha31xRcLAloV/iGajQdW
DoS7spFNyAyefR+7YNlhz4re+t4y9V4sSp7gyML5mZM7nE6jyOzT6g103NVz+Cy4oitQdTro0qLM
5w9tUPbmkNn+Nm+zTvzWGQ+ZrohJJHzWuIpap3oXiPuT0SQ+PraV1X1uLcWzcKPel+cwwOwaaMzS
mNyWfJhBdodtQdRNm2PASVn0OUlB0VxUr9ui618rJ7hUpGyFWx2aeSLBC0GisbMyw+pBldFbwPVM
5RP5QhgX1qDm/wvtemoupBd2kqBa/PwmtDfPuxGeO+W7tmwgb4Yib3Y6chY0lfQkNFAxeb8kxcpx
FYuLGD+bQ0UGGJIB59EvOg4NwN/mZ8PBaDF6R7Njx2tlX8iJaLTXA2AP2UI13TANvJ4mM3QuUhvB
/Eeha31fiZUkJzEz8M27nFesoQ24lMP2iEnX696GKmC8dvuBgJBiJpYq6rvpfaPe0zpOkgzda3qo
WzLXCiMxJ+wLweCV/UNlyuXXEsZWEmkWMYUS0es9jfCuzJVT4HUoICvu3XVZb0hQdtUT1wgB8ZWZ
D9kOQ8CjJe2qPY25IDvGtxdr5IfAriw7kFL1ay/MiIyqubuL5u4QOKJ+NgmCeSWGo60SQwl0ULbm
YC+GqgckNdVw1wVtec4QIn5gYcGnDqvl/tDku407MWvq5slybsY9McJlUg/D/QDjBvMrondZsR0l
zMMPy9ZbMSPcOBKlx4mS6smDgiNcc0FU5GU2E2dkaG9XVwWcQtd21IeZ3F0itky++gNBDnmCqyMn
9WQsCwSeG2aqxN5GP9j3c1HMcTNFfpIbc+nuR5ZG/42kxd7dUQtQdanZje5LZtQ+/HW1qpKkGeBz
CDIfIU7ZcrXhvJPTtUQElfgaciBGV3Z5UVFNfg2Z51f7NiqsZwaYYUiUqy9TUk5GqEZbk9VEbC2o
yJCVU6343TfmijVLiya6Nt2yvS+jzqsOssgahjin3Tc00+p9hki9uPFY1KKrYiws7n3V+eZrFFWi
x17eGTeVzP2jbnV2O5hIHQj6ku1zk4tV7td81A8V0QAfAy0BSbc52Zdqeo0QiWqdIBImqv9+YZit
BmoKK3PW3X6h/y7nvwH6JF/kxa0JHTV/82YX+NvyNod0K8/UFxfUGO5GmTXFzRRB2jGSBsyQlMq0
C0llIcuRg9DX3YkwC/Odl6GN2k9wGd+Xrhu+RVs20e+zzfLoaM6A1zbKzOzUsNgpJvqwalNhK+RR
hWffYFFzv7mlPlW5WR6sjqEGWmqx7zV2tZx3YJ3UQUBLTfG6VuVy0yA4ii3aeE2UxY38XmzjUp8i
LY3ySuGMZuYVkLtltSEhRi7O+nPxbAFozuC3a7oNUjyG1dqu6dKjl7xzXLmik7JmfyaSwQyWI8AJ
cK3YWM/uVV5ERWpEhT2cJvasz7wZ5nZfCvOifqbKOFZIqn5El1b2eJwM/4xBxt6htWKqGarCeFhp
F+KSCunjY8b85g+sVVNoypQEbjbDQrq3dlD4VwAxisDAso8hQCmgAbJ9xbuQXzOBhFcR6wrCKEe8
VfniMjNgFYFLtYmprZyM8GItNIxe2CJ2SEJ7mdPSpmBJdxiT/Lpudz5a5ZMZAedKl+8BQ9ztKMw5
pdqcr5zjgELEbEW/hJB6PNoWtqXHqqvcL+EshXOGNKzqY1QQjZvLPkCjk2lNUxuPOe4fP0e0HI5y
i8qkQq0JbTQGSxN9XIh5iH/mfDxj83+wd2a7rSNptn6VRN8zwSk4AH36gpRkeZS3Je3phrC3bc7z
zKc/H51ZWTbtsk5W4wB90RfdQFVWOkQyGIz4/7W+lRZXVcl7tzMLVFRb0Mm2jQAwa7e6Z61lLKor
ilj7qMj3ssWjtcWj1Hrytz4xeSeV8jDkBfUbqbrNBH9KTr70sr9NLfyElheNu5bt3r5gp+1IpiBV
Ot0Ky5JKNrtfG1IgogyYb5c+sGe9l6Lyi10Xd5WqPKVKdKW2WNviKAUKOdzTQcWXZjbnvjfd2RH+
qaZO7ssUvCDiv2+SxtvYify2svIv2P1+ACzah7K06xNdXOU4k6moabNOKN+lQ72jcHPZ20yySpnu
AX79yFFKriwzFJu0KBAvslTjphG/aMeqj4mC3y9s8AQ0lX8/qPE6z+IryQa/mdiUURITfX+L5adB
oELNSJ0nTIPlncO0g/eK4GKNjK0iPMgpcIh8YtPJbH/qNWaJ0ql3QZR/rWoORKJG7GQQ6F7LyE38
MK6rc2KwimkrRzI9CmZT0oujnRVTuc5wWfITTKPS/WM8aYg9puqK7/ONRyKbY2sjCYjTsBOlvQ0m
446aznWuZOd9ZqwxFF33iWDdUjhSiDFfeVOM/FWuz3vEgStPjTamPFxKdXajsYX34gh0j9FJTjwZ
LpHaV72BMAD/lMzGIN/JXcK2xGh+kF8wbeIKTFRchva5Opu/7KHYsd+qidzsnEBkPelnlrGWm+YI
zu+2Uux8V2j+Vc5BilYsCgETTfyxbMSzijHpioXNuug7Trl+35eXUlxON4oBwU6zMYOb5hZdHmU0
pEeR4T35mS6c0JvuaRP+UIw4WJMpep6HUnhV5/5tN+Rn/aDedM2o32mJQVoKriOnkFv7ImM2n9d4
7rZ6xrfJgCayMlsLhnicFpe0O8NzPRq/2wHwrYIfyNffYd96EbBbdb0JGqlSmmcIAG8qRQxo6qK7
XNTmijOkx+QrwyvshLW21uZn7nFERfH6QANVd1Sdc+AYcjfzZCpWKaZzR02G5tzUs50iReSvJRSQ
sD/u7LgbH2rdOjd872uLpivM24tUM0xo5+OOYkLpaLl2B4wS/GARbscuCs9oRa0xQ4otHlDlCplp
7Yyp0NDQTC3zrJt2YlCLbW8WZyGUTIfPENOJ1dtN1LTeM0yxtiZej/k8vTUr5b5M2PyiVu+duEBJ
iWJR3hq1Aq+yUq+xmbQ7bJee0xbxoTLSOxF5P1rib1c2X3B2G9QFZO8poQqDJPfaSNmYemHYcF/R
88F2/VJbVXaRB3rGbiQJKhuWaUsuOoLpVR1oApWKjNK2BEAeWD81r7zMFfEzN7t+jX0Im61NrTuB
+eZYmfajlhD7+uF0Y5lIekelvvJRIvyE7Rmv50ykMoHx1pQWrfCYJEPM2T3HyIjkmjWRPCiDa9KN
xJYyP3XSTBg+GvJMLZPHylZ6hNuxfRUWuHLrHE1sWaDxqwJLOxhTNF11GZLsqpC/2Zyy1oFAVdpG
ubRCqBMF2PfGftsnSf1tEDz9rBvNtQn5dtOqzXhXe8GE5tJLeT0H9MEIPgAkVuZDm1LPIKtk3RVs
i4Ko4EvTgXKNPNRolT74mPWCS7Pv43MfdfjGnJWNTRHeeRHxfnF+sNLpC625g8823ynb0rzsqnTc
RmNLzHmxA5Nwxm7uOtOGypV5rVZBiNpQ2KOxwdeCAF4zD0rclC5lpszB461clmxStjhL1tQiL3lx
YVVQmHO0qfxWweo4j5E7bNPGx6RTR9OqK+CvKOEEk6S5NlEMuWkc7tpIPo4lxNm6KFY61TMgPkX5
hK1w2PrtLN7k7LSyKv0qzGqBV2k4z+z2vDcR76WphxmhHa98DIPVyoy1c9/gAOlpcf29EBkVwym6
oaW9jYI0vtaSvllXahdfhV1j/AjL5BduGuF45N+RRtkcJ6UPDnSCED0A4N/0VnUxIIg784P6UJlp
hntbvaiobRZhV1ImT7NvamgOztDmD7jQH4o6W+Gt7TepGDD7J/1zzEsC70BRHCkBoR/qrLQTh0ZO
kxrlDU6k/NVY7XiV2trfJPjHsVUSxsCh+DHqpZ/m2NwmlYJsVdTnoZ48csDhA48iXAXO2ljB98Hy
XKGMR9CEHKD99mjohfHDn3xtw9zjxxNtm7l2F19bsvkwWb14RBJzBv38pxdm31puqKUo/OayVM+G
sTjXY+N8iL1r+C1Pqgx8NC176Jh9qJnZSh1asiU7TNU1SasO6n9Nx98R55tyGEPg5lnur2iuEdPI
MvUV48X3qBHN2iqtr6YX/eB08qxN7S4ewmlTqs0N+0JC7jRkkH6ruXCKvFUWULDhb+4tA4175/Ho
qmq613UWoDYqzVt8tJsSO1ynEf9HO0pX75MIaQsaQ23wNr7VdDB+S59NX4f71klbHBB6xfE2HIyG
hQU061xuM3d9QABBgZOdKRqIK0yK1npopDMKMObaD+z8e2LlxrXNU34EVFvfoxn6Lk91X9vYWkeL
tzqJ6p2gDSXRbxReuKK1Z9+w48q07dR5nnru6dWQolPkFrgekpmvQ+lTwoiiTQ75/6Lzs0I4k2VO
Ryx66FP7pFcaDsWSEbYusDI75cOXdPmuo6jgc4/FlHqWo+d5E911UzkgOFIqGvmcpPrgjhhhkbii
oVszis66qFg6nmOK99dy20dPKiDh1ml6JRyOIk46oh4mM9tapVZfxIi84Fwq/SDia67ODHZBqYfi
IqFAu0kpbQE+iBvtjKIZUkaSu1eFHwrXC62fY5pex+ilUxvmr1HMTHUMJm4eYaCrBJC+LEZzGMoU
3buyLm4kS1zP1IlfIXPtVsH9j3UTN746Ql2FrODZDZ+1Sb5AzuxtFF96ZLm5ySZtnZiNWNUWhAUq
0vBa8sDNPI8E6DGx43XUNeqjIJp6xasDOjkv8+8lJxtnbPtd6UUBkjEfceZkW2eFlhbsv5lhTbFR
bdUXNEsqIVFeeg4MeZKiK0L1FBWpWkqEH3sKzd/EkZeYMWK9qWY3kNUaSkkJMbsrzHjatFRF/Q1R
C973ArjuQyRleufQdh7gasCgWLcgX/AI/a+IgaSyOUiM3NHPZAw3T/1v7n3y9Jhn4f1rAdPLv/eH
lEEx1d8J2UbIQBrdjCT8y5esCAujHScBnFrImF7ImH/57KzfNYRNbCkBuMyyBVzSf6oZZp+dCc1n
Ni3L6iw8+lu4QmQRrwEulo5jWtZRUqGaEBDtFnKc3DIbX/cL7y4tHihzGfK3ID+RDflW8WP9MQTX
yS8WiqosA6olQuFH3AzenRbK66j43tjQte17xT/MS+WrB/CRDmrWXvxTB/XHYPQKqLyiiUKYNV/v
Kx2UF9o9hEhFuusJL3THG7tcD+UZh2WTlpS+zc5U88SQH12eCopyRkjOgL5F5IgcNUqh5zps/uf8
Z37U9wHeoVODzDik5WXRL6N3MMvdFH0xiCii3tIy4d0VEf0xEzS9T2dcRJsZ/vD5LfzgemZUFJMC
lKIwlsFyHp1zX9YMIEZyRon+WCTfDY7dqj3HPpzi/83Ta3FdaHaQ1MBIAC4nLwR0ZsUhKC+bcB9Y
3dqodpic/xBW/svYleUEFzJ/H+M95EmN/7ckFMHhCSiujz6FAfnKorbvi5UEcv7zmzb/ztfXsRxl
vqmvpp1eqhYMi8nfezheaG1p37ydselwZ0KY/Xyo5S2bh0LYiAhptse+yyhRqKJ6Fm6jfV10eAzZ
jQg1PjHGy11ZXg/IdBhtlq0K2VjICYde07KoSIN99WjF1JzdsdhU2fnwkJ+rD1QoAzwgdLe/9QHb
MJxtJ+SMy+n+co1sCYGyQr2EN/z2dqqFlmWNikivS46jXu7xP21zJf7Vl8WJB7cEd+FW5na+Gmqx
YNRNGJlKXwZU7/mmO+Ydm41duaHFeJ2eECJ++OReDTVf9atJUledMNOQoRSgiLinXJ+O3ueTY/ny
cjWm/IJoRl85C1PfDiEbKLzspOJq4Iqh9rwUIRndVjorzrdBdmpZev9yzc8H4DMLLQe4lwSa11dU
C60YNdXfD4FKDBqLK0cPbfX5NX00CO8tYTl8DVljl3I7RAa2XLFGgJB5ltTtJKJjCCjw81HePxxz
/txCxUWYqiDue3vnIitDORqowZ6ddHTQFVoaATCp4MQD+nAYXUb8wN2ag0XfDoP+v9IQyVGDpiQ9
TmzLFTM/lVT80R0j6XneWsA7NpYCxRojF3w/n1W1h5eT3ARJeNsF0dnfvmO6oqgEFcvgwBFevr2U
tJwMmnF9uFcSV+li6t24OU88lZcotLcLEQjGV4MsHkuDW2qwLQZZXe8O2nYOCfjW7bSV7vrbh7vb
yaUmu8pXxYV+idwm36uXo/Pl37hOdloy5AMV5eniJ8ToE4NAqsO9xjmb6lx+49MA+++NsXhvgzoJ
6ZKUPDE92Vr07CCF/PdG0N4+rTEagShRlNn3jVVRGULYVlXRiVf1g9kNCpA8UXLtAL6bi9ndY8Pv
rbQN96hkthEZMkG2/Xcu458jLD60zRAh2sTytM9Y4IBzuUF24ka9bBHfTblXF7Hck5itHRH8FO6r
DUWJjXE2rULnkLrWKnzycOvehcfbX+ZZv7oZnfEBH453h4fxBGr6wzupqWQ7szUCwrHQrAv6qw2F
rHDfxu25P8UrX8r//lJEyNlfQyxxvvRxcCmEY7i3d+CFzvCBbz5/VouM8TkHmZdXB8bOXGD5fhHm
v/o86CXxFV6v8fI+JKv2LN0WG9yN1/G1uPEO5vrXj4utueI50i64jjfqNt9ghV+PzuPnv+PDe/nq
ZyxmZQANnO6GElLT2WdwOY1QrD4fQZ3XgHdz5tUQi2mZKMrUZ7EZ7sHBnXkX4xN95tJwgWf7a9OF
WbTK1sm6OEvaVUxNyHLynb+JTiyWH14n4BSDPcC8c1tc59REUjj0Itz7RnnWt2V6L6ml9/T5pc5/
5N2VYjMx4YPryOnnH/HqmTYFJARFNsJ9mN94aGwT6RLFlpsPpzimH17Nq4Hmj9yrgZRMsvsc/cze
GkMXcbmTnhziwwmqwkbUdf6PWuxiURyCLJk0voz764f0Itkol8o3hE7dFn7canI1N11lLiWTdXvp
rxIXjb7zpd8GF/Ll9t/4xrChh08GdIdfs7jYNgvZE0xptNfzmh4YiAnQ/J8/ODH/jbdPDlsQ6GqL
m0q2ypK5bORtSEp9XO+RJ5pP9SR1e7IJKGLmmkYsuND74UdXium5GPrk+ziJ5r6OtQQXaxddG9qg
3gH6Di8qbYSOUY0SUal51Hm/rAFPM1SwPCUPO2rK6xb12vPgK+OvzkjBbc0VuesefzVN/EnRJiKV
WBdQWXQSkl+0AIcEHSOd7ETKvhiZkK9VpHqxI6pJs906pY7mxElhxU4pj/rg2naNdsQOFeQX1ZCk
0CBQEUAuAMxQz46FaYBHRS1VkE9mJRWibLWn0AZiQO3p7MYBiTp2OwigV7oHv1BFA/N9tOQBygnv
l+xEqUQx1Bpq6/nzh/D+uMErAxWEJZ2KiCaWdF7YRUkxDJF9iI2x2dRlWa/LVk407BCQQdrK1He8
s9JlGkTTda3xiwq0ht8+/xXzavRmJqAxoSCFg5KXWCVB/u2rBdityMIw6vaq8G7G4i7XxbOdjE4f
oEWQ/+6XDAsPRxJFYMFhR2AtlsYJ8WpAPKDMYDOVo0Fg+PT55ejz7ujN9ajAKyyQx1RGbOSBizVJ
LnTVT+HrHaxEY5aM6Kx/GFavPeaj16DV0zP5DoO5RE9p0CrFMRJhXlT4QJ/TOdAJ8AMbOxXzaEVr
cUyqY+sT1eqGg25+9RqP8y6AqvzRQ492Kw1D8dy0hvyo0s6k9Kz2yD+9TqMjL4Z6cGk3F3N3HGaJ
k0UivsOxLFAH5ZoyOrUy+Je+UOE3xfZwtGjcBQRUIzZHGatlyVryMiQwBBBm13AtsTEnqRKLsyHk
MA7xIAnlE7uAlyPh25tH/ZEccU3MiczUFd9OBlMq66Apu/AgWQV1eovwK1lpK5cmJOK5sE+anyh1
pQsLYZAL6kG78zP/l9+X/Tqw4XB8/iznXJfFs+REQSY0xyNBlMG7n1PkdluWeXyIZYgrZUpoyOB5
1pbU5mKdN4p/qZoayeCYs/bV3AxuRy0/anKEzGzQ6drWpdXdVMIbLry6kF0AEtLeLvxgY1txRjGw
N/cYUDZSP+bXmqe2G5mcnw3co/GCdTFf1YgTr7vEJPGzp3yuQ+84tRLPJ6O3t9zEusYWk6gSebZC
vr3lfYNmz8YmfiC9fF6Kcr157qzZklLkinoZkoD+I6XIf64plYRtMWn0L702Rt22kpts53PkPkBH
q+5bohdvpzgLvvJ1Uw71SFcBLaZijO6Is+a2SVO+zSMbE9jTRZcrhzHqyy8ijNlNmgSzXsOaUciN
KD1PdlsAqk+KZg7fg6quTDR6WfhEiwPUtgE6BdiKhAphJxlxV7oIXsAs8Q74T4WX29+kOEISXbdI
ouSoUxtyEs34u9qF5a9xQELpEFsofy2po+57KWqu1bhtdaczbLC1SWzqp8qYC28um09WWpPSEeB7
VejGsrI9mkZYel1vH2ZOiI1fIcrrayTmRejUSdsd6CLRNETVhqxlaqkSum1ZW/rZ1FcxquTRa79+
PrXfbWhUgomoY6hsj3AOiuVCGOuF1+o41es2srd8rsSqyUzz9vNRFuHiXDe54jItc/oHlDLencFk
aAYSmbAYALwCinHfGldeJGFO8OUtcdN0vm0CLn3jzFNncCP6uV1PM8wN6xG+etCLWzItThX0Prh2
mIEmOUumoIC9DJUDtBGIFMT7Iesta1NBdFtPUzqdWMve7+fompAry0pGaYXPzuKoDiRDCQylyA/A
SOtL2mjeDbRzY2vNh/ZijPdNXmL+800dnY7Ec5dCbZ36AgujPqAMbRt8ydqU0fpEV0VkQrrFJayt
oKDcWWTWYwQe0q1heGLb1lmw7aSuuGwEzW8rioF6mKqyZqcRAh3DhPD5g323fZuvjS+2QhmbYou9
mD7Y70QJ9yI/9KWPLMUwAd3rMgXmGMX550O9W4MZiptHSY9ZRE9j8UlocOgAXp8QbgAvgyYXGWuz
kG0HJSBFbYKV3BQJ1sFWPNstirE6/3z4d5NlHt6W6UaRP0QPYrErJ5gi9xAMFwc2ppI7GIN3Iwco
dD8fRX23a2AY2hvzzsQgoOel9PTqgIH4B92H3ZQH1OdoY5rAJqhnaqZ1XBoBwcgIhHSOuHd+CvrP
85TrSosUELe6tFWTZLwApJZiZIsVOC4D1ow4NJ+RNEYuYO/BydhFo9ZLU/SYsq9uhgIO0udXMD/x
N58RTtZMdGp8sL9VrMhvPyOAeDIpQw1ysIcW9BQyRIdCgu+KWhAWS1qmKjUnbtq7PsfLkGgy5mEt
01o8GgA6GAnEVB5iYDfYnxRvazX0xXsFXponteBSCqg7I7EBJ6b/RxcLjZSgPfyMlOEWe9ZGtTvV
L6cKJA0pVJbXQFqrpylZ68D1VrGst/vcItb181v8wVTk3s52c50uwbvYKLlKdYRpWnWI6rxxxyH0
XJ1Y0BPr1vtXm+M0x08s70RTqcZi2VJaX28KJtfBHyKo40Pw0IDNcaEO/Nmr/5fdsPd3UbPoG/NN
pNdG5uJ8va/mfOvXaLgCgRQr49VCHj1bdOvpbEQfj8UFt7CQEEd+fhMXkXjzp5gpSiGI7reicNBe
TFTVt1rZ6HPpEMHCWeuSQMWTRuA065XR9BeNbc1+7kOllpvGQ1I4dOKu8XSckwgqP/8t7x8op2uK
4uQhUJUilOvtDai0Wg81Y5AOQUNjS4nMZ7T/+YkXc56Lb19MnW4jc4ZsI4v6++IuJ5qc1k0Q+cfK
JOPdUBFTQpWAVJ3jN+wi71R+0/s9PHudF0kA5zpi8LTFgBaaVUkWjQkdyviZlxoRQhXicj34Mnh7
0aNSp+qE6wYDUYwWRKibGEzq53f2/UVDauEF1WEjUBZabmopS3HkRBl60DJb4GEfp4uR7QldgXw8
i3JTPvGV+HCDZ6Do4cSHCIKU4bePMs34fPG1tA5BKI8KrCBV/ZGhpbit1YlM9YqWzp0+TkjME20Q
kyvhaA82mG71R5AE8OE+v/73M4t+KV9Lgky5BYhRFz8HjWqHTccGRBSSLI0oCz+p8vz5IOL9R4tm
toqYwhB0gPk2vx1lrOQqCUlsPIYeWD6n71LmFdGn26KaCM0TSdecyyOa27NGb4lWjkuIX05aZzm9
VESmTgUM5UEugJ+DIg4Gn/SCHr1rQXAOB0yr2MkJvFVOyzGIXBMWqWhRJiO/FwAUfAzGtxzOsm9F
UPW4GSujslfE7dSrUQzxbcShZEeqfCWvmgTBOMfpsDtXibyrIZl70leO0Cop4GFt/wh13AEOkI0i
cwH8FukKrbV0p1eTeiRJB7lXZWcgWurAm+kBXtHCe5cjUW/qKNRGp4htiOekMQ4u7yD2CqKD7hKZ
BOjPb/kH82wGXTOZCBbVuemLWx5oMGu6simOvi3aTWnLhWtPGlgrPNKaq0fI+YSX5FtkrxeiQ0Lm
YzI7ll5zqq33foZZlF94xelTIsebxUmvF++8LKBtKkV0lM3Eh13sY4bQjersxPW+O53SNuTkDT4J
sQ7PY/FeyaKWsdZ60bH3zWhbhrJ16ZuE7ZhKFFMl9OKtZ4X1GqpQcKe0+OyZaPXq8x/xfjEh+0yl
hI00SZlZL4tL9QCETbkRHmW7skEn+cOxHyr5Js2x6Y5DdSrz7YPxqJnbqKD4UHFGW+xrCtVSY6wS
4TGNiYeUAnDfkzp/iQTCb+FDCfj8+t4LLPgOz0grNrp0gzkavb1Ajvjk0JDReBzytNmOddO5ba3j
ptIMw8XLVVIq7Xn57ByHgmFjQfOsGVLUqY5uoToczDDb90NTnwe+H6wiDg0nfuL7rd78C1nHOUlx
blvekkwncorKWHS0FB6BqGzkVAzvstWDERVPgzt0bXnMwpNl+Q/mOV1WkjPnwzLKueUELEUZaZMV
HSlZBdiEFG9DZfFUw/+Djyb8KXIjYZqwkHIgf/sIjEAe9M4yEBPMOFkDbt+GLum4EZQKzvw2hBrd
mdCFY1KWRtHGF4TjkS4dyBrohUY9MePnB/52z8B5x0S8Qfkfzc0yxRJSdVlJWRaTh2bvhnh8xsF8
MDz/h2dG4JS7h88n4PstJ/tAwkIxp1PSfte8tyg/m2Gex8d+EgXkMl/cSdb0nRKmcuLC3h8mkT9y
dLUsPtHsiRavMuwIkaa1mh3FZP+Mfbm5tV9wHL0+upVS91iAtf48bUCQh1ZonNjvfXCdnBioBZB7
aAvLWMwlCyt1GNPpPJqTKV+kFSXAQoY2aabilPZQk+dV4u0znGMPKKkjVUEvsMwHNgo1jyYbJmTB
K1psobxChbJKHTFxVCPD1qWYuA6io35OYtTkM0+iJIkhIsrvszyJIPR7CRlbfdipKZ7oIo0dFQP8
XrFK/3ZUiNRaG9qkbjQjB9SC6b869LCH153cBtpa0rPkxgh5EitwSfK90vX6M94ese2UotIvDL8N
7hE8NwUKf5MzrZnSg3DA/WQe7zI7AlBBVvjDztuxPSPBSz/2nIofLLXVaYa0oX47tKP+kPkx+SAj
L+g6NTQssQ1E1SsNlDYMjzob77yA/53TccS/s0kHPCQcMyAnJF55rH15dDJex1Uw69guZLJxGqBE
ErCmUhcdwXeiaAyS5BITg4sor8nBFtYGsit2rgF3vHZtlFkqOYISxBaOsg4chBYDlSv6Juegi8iL
odJ5yEvJe+YAHPfU8XH3OWwuuu+T0tJzmhCfr9u8lSf0c+aQumGW89/ISGZ6zFmztEBup0CG6F70
hevnDRgDeezZ0EzNGLDBzHvzzJZoNvEUaA9ECkRh+JGx9KO0Gqj/ma7MhCez1LANDILUvT6PVDot
QivFin5boDopRiB5RQkqXhuZV3ybhGeoa5BRI8s7z824lcoZU1/UkaqSES63iLntAuF7rQVzIFpg
JBhyuyr7xkrdANFSyQlE761IzTqnFmU5sOnHSy/z7YeQgu6D1+np9Qg7R+YPVQjChYRhh+CCdNKd
OCMRYtViOD8PARggM0318Mg3AutYhxOB85rZaTc2m8sMN37O2ZSJkf1IJuT/TU61WgZGDg3FJpuo
ksLDZGMl8PGvgwyHJO8OgTeNK7Ufbnj55GJnkOelOSadgGwV5qDM3Cmtwjublt5eJXiUXEVj8i/I
y0ivkTqN99EU67Pxe0itbSTaSXagx2pYF9uRcDAlS58sQmQiZ6C+fqhsYK2ODLTqS8OL96ONPfNH
0VrlLW7J5Kltk+Sq0o0QmbCv55eDXKr2SjJq/6FsasBpSSARSVFk8u2EqDl36jo86r2OSTkpc4DD
GlI+UDdW+tXMdSClxhicWbixiL/EAGBRm5AxquA2GL/mI6d5btHsZqwCvY6hmWbGxTizRJyBfc23
qC7KuzxW5Z9lXdkzECis7sqqMmunqtmkA6XpxLUNJLZxIwvGVqEbEg6eRl8DRoqPI0lvNwVAbgmA
hd8Uu1CZZpci0jJGMPrwJ3GWxo4IPv8BhC7+bFMytOQiicP5Qdu7LrOM7x7d8Iotj6RQhJCm4Sdd
VM7skzUUuKd9jRyDJIFOA8A3L1eeFHdwWYd8fCwtu7nshkjdWnXPbRghVMd17K/6LpSv4l42HgHZ
gjUK8lb7JmtTv+NxMPPgrttiPQBgCmZnhPY15J/VK5ugdcsNE6M9TAPb/EPcY49y68aeHsmuUHYt
GXePPrxzyUmMotgT2GgesMhMD6YYdDpuqgL2llTCs9E3/bWvaxklWqLynjthOHUq3XSRfW7LmNBi
3asfDfoWKxjLdAFRA3zzsSERNDy12AG1xtKuJZ+TDfpxr7xIY73BTwh7iYafpWDrHQBLNK5qjfKz
2pXeLbu1fu970vg1Vcrxws7YrTtS7xlsJ6nPUUYi7uEpsuyJ21e2OhFgglW/yNUBdjuKHR6ZB6KE
+MSylGcmW+Sv9Im5xxoXqj4s/i76kllxeCWTnqfARDGggoRWo3/DCuqNJ8o37zeCtpDZKtiU3V4c
CW/3SU3UgOiIx/LoGQQH+8Cf3NyykhWPjiiPRLJXLX7ZbeuLU7vyl2rM4oNqIy7ksMOXG7Po4sRT
DSQF+mPSHmMO15GLWU4lpCXz13Grin4l56aVUpptktgZxpFPWtFHI9hyvDVuktX1rvbk+FrVI8Kr
ekGpSY7N6Z5vXX0+mrXZbbJe8THEKiq4dVDJzc5mmTZX3JAWWUFfhcfEb7LRVYFOubViQiWk6J0E
ZwE8EIn5XWNFJlKxKaHgK/4XHDZGd6Kw8l6Qxl2fw+3mSCQOIsvGka7HkWpjszqqaoHJFZjGl77R
7wHhVzfCBgVJTCRMhjILzyKtB3WSkuHQp2ayZj/Ce2CQ7NqWjXal9x2fz2RMtkVtYls1fShKptxh
RrKUM3is6rrXJ+u8GfzijroNhBvqyyf2g+93ZHOtRrNxnuCWRw3xdjqB/DAG4CzVsQPl7sRjbsPu
k1rIrIY4cefmreVi+rwa6t0mF5CDjGbTrI5jG/hrLezFyp6IFf27W2lbmyuJNN0EBaCXhtyrmiqZ
SMGYySI7elJx33d2u/MtC2s+eUTPn4/0wfUgEMLFQI8PofKyBVQgi8f5b+THqhlMjOtsYUUMJ+dv
j8IOdj4QsZml5ruod4QkdpRG5xdHrGjkwCXQyGNSHP7msyHTyxBIT6hQsILxhr+dBqMseXSru/Jr
zJfCzQHVu0WDAOPza3k5xL2eAozAzdIh/9LqwdCyOGdPOQbQUfW6r7nzcwW5zpmc3DXdwnkO1pl7
UkyxnNzL4Rb3zjCK0BsMhsOS58BpX9VuuJbWrOWMFa0vZCfcfH6F8wFmeYEU9BFNGMwLFsu395GN
ALoaUiu+GoW9azR25loRPZBj+CTV+YmS63L+zVf3eqy5OPlqpnuRndSqLnVfQbTq4lcYHT6/lpee
/GcXMx+wXg2gKj1VxIHbd2k7pWM7zapdd6vzB4KmHMtR3LvAPWNpW6kbQsJWsnPCoLEsCXB6k2n1
4IOb7yf5eIvZghUkNzJVG44xRD4Fx2w+UuYbIQu7RazWF0pcICkrsohwMDDbKq7xeIQWKAY50dec
GQSwnXrKThxiX7LuXt2Xl9/F+sJemEYlPuDFKVYGWuNJeTkS2BQO31ulaZ1YcJQ1pWAC+6rDjM01
747AFY0ujt2cN7lKSDWhALsxK4xNa1fVriy7Lz2EkKtmrJrVWMr+KtTj+O7zZ7iYIy8/VSPNjg6T
gmPiBVT+6hFOnC/Z1RnD0Z5It2lHEmGmgaPl56MsZj2vskJhclZL2rj9jJn9/nqi1HqnSWnXmseR
vfaXMCUgJC7q1o0pu209oy/+WEf+Fqj7U/A+HbhfOa3u0A+a//qXgb3zeH/9z+r/+s8/x1/dN/dv
/sOa/I5m/AIbf7x7qtuk+Qewev5f/r/+w9+eXv7KYSye/s9//MrbrJn/mh/mb6Db3L5Xt37++3/+
ezf3Kf/e/j7Mmt+u2l9vHa4v/9afjH5D/t2aP+TYgGj+UJbmrf2T0W8ov6PgwuUyO2so5M2r058e
V0X/nQlCC55CM7s7aox/WVwV7XcqjzbZwFj3VCqy1t8Bdr+0RP758vDDqCMjQ6d0jy6GVv9irlSj
aAirJSQmHDWymaLQXteDVGyAwF/YONh/sfEo931gN1eJUvVwHuBDnLExuQyFmQELJG7XMSExfsnw
6/DJTfWJABA/uGr6PruaCN1OVqTwlchMvaDdqUN1paW2fkvoi32fQRq59UdIQlIYKq6Pzre8rkeC
56gUGGiRKObQvE9HfGdSN2Zr5CTd18nKvsCtbGNXJiV9OzT+Hy/Q/6cJveueqqatnn67vi/q3zZt
9njfMI9e5u9f8/mPGfzXf/wfMr1l1vB/TaL/Y3pfhk1T/3afPf5280Te1msrNx+Ef1DpJUP9XehU
pJnKdJTQKDJl/zHR1d/pVdA5MPho0FqeS3//mOjm78xgviwIJvBbMNf/OdHN34lZ5R8KuuPm3MX8
OxN94ZXCh8fobNfRsytA8o3llioqwlEJLV9eEX2JYjvX4zst0+RxlbLRv4UTn3BsYdILQvnYDouc
IL2o9mCyQLrJYLtLsNTAJSosJkGILlKJv4bjCI3MysV4ozYKpKdeRbnmpCKVyPcrflp+NzzgWjYK
KuMgV01Zr554G9sTC/7i0/xycURtoElCBMXtXeo/UJr6dtYPEM6FEd7bqOyeB8WQrqiNoR0kW07R
wNwq5xJW4L1tpcDW7f/L3pk0x41k2fqvlL31QxkGx7ToxQsgBkQwOFMktYGJlAQ45tEx/Pr3RVZ2
p8TOTFn34lkvntWmqiQRRATgfv3ec85nrfJlbVVEb9oe/lW//v8X6OP+cLEe/c0LVI9D+o//872T
719+fm/4Z//aIAAzXIaWlovkHUGvuAix/vXaGM4/BVK9C08Y9QK19L/nH5BxgJzptweZoNqLnOA/
3hlCYf+JheEiA8LraiF0NP8rL83lUEOt8MP+gIDggobgcGCjImBD+nAgFbJH0KBosUrHKInL16d2
A+26d6EeusP4as7CoZ2tVb17lVr6inLCameqvpjMjubaMlZHXDklfpuwazC0B6hhiFsKLLKXr4XI
Ru+OKGo0qBsbUFZ8nwvRqSuyiot2azGJ7w5rycQpt0WSHM2pMVB9GxU2m1DCxVUPzqqbmBcgmsMN
czVzHcNkaJf+C64jdzLRmJmJ4aGS1pI77E3rHNp+tzif9T4fGj/wuetLyvFMAMRF6LvMNxZxqU29
WSt4t9upK/PhiTAuB4gmix9zPW9Zi5uyLknwgRXsZQ8kHSNkNwk1Lt96rXfv7KRy9Dt7ZJU8OnXb
zyFWhUtEjzGXaleqpq0PheqUh8zWJZYslMqrIQyqqSreSjqUGflB/rSK0BxIZY4yiAj+WdVDZ4aW
Wl13OVPJ2SQ3DSV6JnszF+uUXDMIIXs64Pbq5dUefG09TjOj+W+Wl/ooqQdV9/JLkdZ5y0m/nNoa
ZqOB5pfUuao3Dzg/jPyuMcDMf05tsnmvpaN52sYifU2LSjRY3ndv7IfxYIz1CrYod40aEJyVS+YM
vZosDagCxWmBH8gZKtK+026W6Yy8eK3XQ5bwlXznMADtTFaroe3iGuF/H7QlZqp5Q1SEn9xUE0d8
h6BUcsu5QRVrdGk9flnJByGLeLz8/a7ob5Ap19a18it/fdFG2r9WMCNXmuNIFY7Rfxaz0ccvq5nO
7ad2mOr61m0rlK0+fOdePlrodU75ZOWfkiYnzXBiQDPk7otYnOarQQN/DjSlXuiRQ2AnN/O3B/cu
zfM6ENC0wrSeppUxRaJ15E0ktKHneS5uAVy71rOViHh8bc28mE622THE0Wmw6GGPMPwyLWrE6JFn
pyDoBn3hl4+APCpigUVW7zK1rnexRvANX6pGhA2jWLwhGltlaPkpWBTaGgxBDNwZgY9q5bWNLSOL
fFuiCUHATJbPdT7nnX47aQSCxpRVjtaF2NIukZzkcSzkuS5S6nupmfP6xtaNj2PL4dI2rxGq1+tN
YXKie3Zjb3zNC6AsrdCIPKqHpbT2tV+oHW9Y/MpfNfdZM1pQqAVsz6BN+M+ZDiAIYN0ANRbosNIG
SElr7qSbC96jyDZ6nfPiYhUW2otUS6/eltL3p6+e6H0v0p1Ssw9aU0zy3JLnbX7vdJ0UK0MbZXx0
pjbLtqm+jCMnJ4vDwU2HIns4AB8o75mWoMIYFvhmPHotUe5A+LJAjH0HY1S52KOEq8o8GBetfoU9
0yIOyGkJwHVg6bhuYt4Zigfay0wqLWMzeZo3h36eewe3Wm135wuXhgX8Xifw3aH2twm7f0ADsmiD
biSWKF90QGgGbRvrFK9DuR4GoxbpJolrhDp6kxCAak413JlyBBy+dH5+Qk+kbuul1ODEENc/buxG
FGiCLLt6Gc1y/RbXwjlBZVkDNUrIjORpbBMIJPdAIV9WWJ33cW8LK5LctLHJOQ7vJrPP92WuOdtY
XxEmEG2VHPlFmGgw660jt5XGfq0J6ZOO5Dcrtb5/nQnGI0ex1OR7Ek/aMwlJyc3Azwxzp5fbYrGW
e7vyij1TYmvfxgS8VWZRPiZZOd31FZnhx9jtv3NywThHhpnYtdravDarXz8Bl2NKgI7A/K5MowCM
azsYu8iy2nSrdEmi9AY0nta6wuesVPJdHyz3xS1MYpnmkRB4wpqdbTcQyHgcnQ5uGK7AT8Kh6tmv
sUHqRlnMpIXV8GgH7BVpqMy4vSE+2d06EwiaraF3MTQFfGPfYHs8DZ0DgNudVPWCBap9ZAWgw4aA
Oe62ZUli7oj5+KtXKP9aIj4BYFoloYV07wxvJf4MwGQ1rop6mLZqLCB5euaU3bht5t7xMRM5Wfr5
574ZDaKaa28k7oSbAgpKCRjiESKJdkbKGxAJaDSHxnS654nNPgmb2cSg6ioh7gvGUqyKbvpS6a46
J8rT9npsiEcn7bvXTp/GHcd/Zzehd7lvhIVbrph1INjacfFShr5W86jncwshk+Cum6UnoLbLYM9a
EHtUMHX2chrorPO/h4M0B5MEzrhrDyMd26OFJ/EJ+8sbRuXqiDPrKmemYcDctIdP2FUET70uzq4g
Mm7xCnTi6xouBqkrY7cSmEsIWqBkfEWzxSGTdejuAMzUJ3+9lAJWY5avMu7dI40M4oj6JcfuUZNe
iqg1NGHMvvpSdfu2dEE66bb2vVhNHXNjm43gcLVa3M163eZRA/p2w6DxoguaVbLT9ExeMZv6nsB6
9l0ZIRaKX2PDvHUnzJ2ibbVtJjvx3GqSqQB4HrcYzp3RjlGWEq690epS/x7nCmhFl55E1+skiYr0
k6bpQHCSniTgUkR+oigXQNbhS9Q3pa5YWOj71EE7gzIi63WKH2cfqSA731fTiiUZ8m6NLK8c936e
1admqoB3d1kbMiSxm6gxu5xw/kYH0iKHm6oX84kixzuwoPpX5Zpp+xIrxifKIM353NadSr7OzgKV
SC+q9j4vdPgFTQHjyJcIZTZxFg/PRVFBvO0c6beh7dV9GSpAbqQ5ugkOq41nU60dyoSq5N5Y9cl9
LXxDvaVeyXmFQ/hykMAjwmlw9FBrjO8Nsp9lxypXfsvZ86+90Xkuai17LbuU9bmG8CxdHbdI3Cft
yWoUNNfBN0KlS9hUs52ywDBFQVOht2fw5+jlHNnsXH8YGFDNYKSbxXvh1QB7DrXD3uNwGImVTYtk
V1NrfpoLJbWoaC7L9ohPxQGoKcdh53bL8j4zJik3ZF3Xw41gFrlPuqZ9t+fK3NayWwJmpMVnRRp0
EQy6Q6yzo3y+ZLoQoCzcfpstAgpyQ+AmGKZki5YXNXtKZqJGMDqYF0OUV/EAqKdOsiGop/XKjjGb
kFJcVVfLhW/jV0u1r01V4wjTXGOnGRN5R7mmmRtKZ0hPor9EzsGLmHbzao7bXllIQ2IwTo2cG7FB
IjF99bO8IiFCVq8eXcyXRVPiZY7T4X727drYJO7a7hRd12ev64eDUnm1I+XyK3JUQjWJpw+TTPfO
DQN/KGqEWbveWnwtJwA+Yy70Q5pPoFX9sWOltMqbTulpaEOaCPukl/eIYqqgTzVjF09l+YTccz3a
pm08p27zhL0SAEzr6XuEPOqbacPcRlPxjRhNMMh0vwPf9rVNk5LApXJ1T51AU9i9MNDaFtWzg/nw
1gSGGmVgIc8d8UZUdpCYNqsen/O6/yYL4qcDXgA/xF/f3nd8m9ax750y7MexfBZWqYV1pRdQl4v0
baKUPKQL7MZNbxr5E2C0Yi/6srqup1F8nuqqeOyzEjwpRxH8eNqsuXBFGupTt1pgPU4d8meEmwST
uvihAbTnNqGfsI4pzmaShO3M/F5Je4yKlQJj08+6u53c0iRaSroka0OLZ/fPp2Lcms3kRA3hz8am
6nCz+Jopos4qu2xbkcKNggcUAUZRb82aIJ69cd8PsQkolshaHs5mCGsP0Q/TbVO8aGYHRsJZijez
Haez9AFdu6voPhPPb2K46mG8dpnuwNzpq+YLJMDyaFRAzR3y5cmjWoW+TeA5h63W0dguCzdNwwnB
CDVdf1uYk7hWJfmphp7jdyvK4Z6mv3096AbPNiole4O/VVUbEaP5gVcF/qHAhn90zBVTVaF3PIlW
51ZuOA8ZRsk2M5lRNvCNjHly8wA3sXbh5+V2KLADkaGergxFUPidCeyWRQh7ruOWFrCmGx1T2bXg
iZ2u/dHNH+d1YtnSFsJGT0Txuoe09az7VtOXA+pqkR1VJ904HGzRP02NztljygBYL71Y4NS75BQh
i86N+Xnsl3NnVmQfGxowKyptPT0saWVtqWHsWytW2r5NhPNum5NuocGux1uPdTgSS55dzeWavLl9
6fVRgkfJZaZRd4yA7YXxCg6sYZPL2gykT+8Ir3/RrSebYPB2A8yJpEx3zF81oCUn1Lod3pWeVxEy
O3UKJsDvwhvKLXCjLNJY5Z6T0ZZvKjMkJt5MvXR1X92MgvXJcLp2wyCyZKkaUu1mXMfkBlB0JQLg
EP4z3bhLCTstIKg5IBDuPRAQnLn2NrMvpPOBntu1tHL3Gh/t9MWgptwurSPewZbLOsCCrcfwZuKO
0cwldytuxRWyV6yInl+9ul5CPd2IoUTI0QzNfdP4+q6tiuK06IP+2cmTHs5J7ET60GkNbI41/iqa
oQ2NMp4ePKub7vS1QJtB2xBG2WzaCe+mLbfjoIt9vY5sWmnrP+WqpiWgqekgBnd8FrnX7Xgims+2
PurRgqz6fanc7KqVnncc+nraQ2gTm0m/pNY7HsopxnzPqWHEsPPU8rDEWvYNe14RLL6F/qjmcRz1
IX63Ewfqtt2n10455/cGCyObjxzR2nNkuktNqD4tAelfar/x7yRshh0Chotwy4sY2I5XhVMmRzwc
OEU8PoKgqor2wRNl/Hkgjuls4jQ4TtMor9JSsplrab5c2zzJZL8eirgCEtlLC1W+JPP7sx3HJfLS
vrnKrASSslU/YBmWiLQMo975kOvIeKY4AgiWLTBWC2D1RgLE2xil3VHWdsUnqLSTFSQ02lnUwEe4
JQdD1vDSuPMTs3+u8EXiXqqXiSp+THIRkEe+8i8mx79LEqdu2Gyb9WJoTjlh00KhsmZOcpHjOAd0
GzjuBzzEfkgeofrSdrV4IUt1eiJlG3y2mImo2yat4X0yqlUoHqnZj4YRr8eJBC+Zva216/uHrKXQ
n/ySJGgkG+28Y/RR9nvq5a9Fr9ww1vvpVhEYP21U633XvUy99pJ54WlevTG7IVOcppJHta9vcE9A
MO/yt97u5vkxUzkv72wSE5C3U/Ls44889LPoH+h+xPuWaGEtmMxEtyPSjMGI6l2yHFCWoRDQSxvq
eknYaBmaCSw9LyOx/6gx1aCb2/rTVTXiq9iutOHyPZEbFpztnrCjurW/Oone7hmDZtO2SCnJA5eK
KpgIRgtzrdC/4T+nE1Lr5nb23fIikVEkEnJGXSfImhTyUeNMitfCM5crujtoT7WkLR9rtswiqGxF
8MKiGxjB9aZ9mjshvU01VLS+/OTiUJfl+zgY9hH1J8hi13mQ8ajCbpy0d70vUw6/Fv2A1ZofUkga
V1SpmHWxSQRzaerXWiazO6NYSf0k0HBDyLt7HjUxP7hDlV9zp5zGtDJ/dVjuewzSSxd0BHvzLhtW
fk3CcrotO8Lo2Vsz4vRIXdyu9rKc26GtXawrrCyEDEu5s+suuyeBPsVFXRX+NoWBpwecu4pbB31n
H8xxbetnw41pD0IKXSwKgtlyj6hMV/2+K3xF861FmHii5ZF4YS7N9BJAMdoIZ11Lu2QdXIACGjYY
Dm88WRP5cWaeCuebKMmaeBuTMgPIY3ctLHsivrC5dw4e3k8SNYd3GPM8zYCTgUSMUXmPXqfzFDqx
htFVpaMfNhzek31BQAwGcE7kIkJ4niM3VBOnmYFY1fiUmmpZt8BLuGo62O6VPTfe9wmAjf959voY
+hucBbVA0bAQzRO5Ql62r4nsKfcnZ9gIhm99JGovQ9E74mg4M6qd4zs7tuJ6V3B0mCJgVDWxpkPO
VWVS2nDbCXUPURtnm9pgd95IqyozFRgux9t508Ba8XEfmbGxjbHJrhsCvXXrjtSnpoBAoLRxy7WH
neMiSCXoWw0nQfS23E0lW809eRBq3UlwKfGeJIjBPqseS+upy/NFHOw8tlL8LmPpnopaGOPemskf
XDfruBoxknnoAmGv6ZoXetxosqdduKgogYc53JK4BmiIRJIUAxxjI+3CjalITu9NTbvNJOnae6LS
Y2vjLEiKD75AOnJV6DOotI6zlP7kYJFg2a2y0aLkykBY5zgItFtIG1wXrzLd2v/dk5bd6rMbgw1Z
littWisqZPHFT43mCNvDJyQv9ZM19OK+Bk0az2tQpmrxdo7JASvQJsY3G0zwzm0/l9NVPDr0mWOT
BuAlF4UTSnFYRbx3Jq2jSBocVFv9Wu5J8DCDIfepPcrSQWE8JFvV6fETvQwydfTOjUZaiFGZk9fv
LGsXxSNo4djkKJ8rW9umZvfuDCYG6XF8Scj9gLBqtmeasO6jXXrdDSkcY04Iu6tgAHB8u5mH6msb
z0+zVw5cy3vpFlilaO6PsumP5jDEJEqA0IGyXkPARfV3ATERG5Rf/NlmFpB0glGsSJ+7lapDZeSH
ZK0GgXfQut0g1hK6coK6b+61g6s6zsPEZQ/V4GMDmfY9KqPt4JF21NjrtItLxOwG7Ict3XHj1u7b
OMCkbJVbqZo0jmxsY8lGmnpOZ4UFfMGXuvUqQ35BwO3tSIvhRSeyYPEDN1WWfl67NTukhXtCEJsc
MqsuMcumC1n1xX3v2V+kU7ikh7HE3yVejGJPT/LImQQmIJTwj0PuNN8Xz0mvew5m3YaFsLgtVo+9
q4Xr5jX1eDbGsX1FvjFA4zCLiDpfzzYNl/s8YeI4pHZlhSXv1Il4uPm7V/k1cv3+gnWUudqTKOG8
pZm6UutcfMJrmDyrBp00Jw73HQ6R+6aXkr4lH+yL21N3IOwlE20hpNiYDXVtGMWy7ZgTBTTNqm0J
IIp2v/IDUho6BvKe2OlN+uzU/gJS1WgJj+pAfAWL6Sf32ug0h96R30ReOZFslxuLruImV+6TAUA0
NHKNpRq/Gt1QpQDBxN+FmrLISEvvrba9LCjpkLdm+RXhmUOjWTThutrPo4OGHFA9FtKJil0b2vik
3K65dcv5C2W9FlQk4AeXHs2mtskLkh56foeYiSF03fGOGuyt5KXdNDHZp+uc3RbMcDYUKdPOIAHx
Za3zjvg3YQzbRjbtQz7IqQKwORf3a73cGeMac3Ab9S1QlyYqx0QLYayRZhnrRrgUqAYqK38AI6Ft
4hYlD9JruGg5ySVfVK7fr4N1vwzL05LnB6dCqi6G+gXVY33KSucgDRhJbc5zlVkT/th5PctxOcaz
WreOhfhYpI3Yx0Z1UXDDJS8rbz4aNj2fido2AkDK2ach7NeQtrH3UZBfS1DFSesZ31p/oJxzPfPS
Bybr2GmdMXKt7h2dOq0eOl1Ht3VRXs/E9xYMS8wBJxtK+4o5gL9XTNYAVhtzSFjpBNTZeWENVa9j
Mx1FoeJI5p0KrDFz1BaRE7lcbtYfBr8+guvTQjttClqMpQXVkdTqKRhMZd3ges9FmFqDXXKKEtWR
01uVhgbvy7THVCFPVhw71xaOUSw2EtwXEIhwVcUzQG321C42nvQCACo9mjJkxlQd3RQz6lJ20KdR
eXaJ85J0PJm5HOawYMIOydR4LjE5BHxZl1MbZM6NLBZaYrL35JZT7LNRMFV30jaEacoxTTjlnloA
N7is7CtRjdpXiL3axjBrdJCTWxOdWT81OV/pPDLzCoDL4RRCfnd04ETSZ2mT5zUvqP3msd9JyHIs
cBmxPKlTviqGiNtOW2Y+3dILmoyJG4fHzL6z+n7aD/KykFtJc9kIluQrh1FqDbMgQClnbWQdbHiO
66Q5TjSAN7FXXSHXbz8ZXWMEbkL3OotnXkqvrQ6uIUmDs1xt3pKs7aACH/dKoo330gEEAlPCZdpW
k7xC3jse6RCyhmOmmauiv1vgwJ74DqtvYgV7buYVhxRdpk9iHPsryJH5Y1pTbODX4RwAzXV6vzSI
v2sD1XTdj/WTuQBSGzlL0TdhfBSW8JyDVbdGbtfQJnHuGp5YuEb255k+cgRGqxZseEXfbYd51s/K
r9udw+wwLI35LTU1fw0hEsfZlugg3Ftjrulkn1cCh+CEYRUmSzc8Q3JoTvXCNimhDN0x3AakosmL
x4hGWqBLIsGsVGpfaF9QPmuYRozaOINzLZ5WSGU7ImZ4XFv5lYhmIKGTuDMq/27QckSO1IhOINZ8
DbN2hWcidPrYufBJokoHbO0TljE6zGaoNx4SzEHblEwj4i3W/zahTiI7DCtVkVmB2TTDplsS+sGO
nQY2gzTq2dIE5uFPtH9Ev1MSiVE1WwrUjYPHd+lA1S+ryeqTFUBXmwVDZKoX+qESHoM838A6s1bH
zJ0LGu/6cpK9od2wUjv7ZWFTpkzVws6L9Ud0GLAtl0mdf9AX3P5rMP8PaEK3Ncqz/t/+188SWxs5
ryt8iziOS9AbspkPGtG2TCaiB+Ecgq45cDbb5ctoMN9dfhVujcbgB12Ad3EdIAr4LbHC8Qmt+CC6
jCeCE9y4zILOqgTGD0ea82mxVxA9f39HHwwW3AYxBa4hiMfQbRcF0c9ixthbpqwpK7m1GKa6W0Iv
hwxqnx+/KmITtNDnQ10p0Pz00UgcW+3//vIf4zku17/I80yyYC/q0o/JDRP2nbh2oDLIShPFJqYJ
i8pNolsQqWtVO09z/eYF+USmzkDdjVt9begxiNaOQ+bpWnqV+I3un5Gl9r9L+P9LMpvHmgNh+VFs
9qOU8q8Vlz/9rf23+qJq7D/+qMtv8z9Nt3bxW/+17OYT+rv3L9U/Akr6n2Q3l3/2O3nE/KfAzu5j
s0CpRhQGz+/vshv+hE4kUBmS4l3nEsfyu/BGGP+8iDjRXvIYGliNeBR/54789kfEHPL3PXI8EFP+
V2Q34ueQARf/1eWVQvdvOBTN/ymlbKBblEwznWQffkA33klxFw9f4rhFaRn21WHR9+78wLmEqLQb
JhD3vrwxrWQbp0TUAM4EKb+zoPdpPvzD7rFqP1nNJ3t5Sqcnfb1O29uRFl2291tKjXnvQMTz7pz6
3XOvk/nKje9t4+G3z///2YP6P/AZ5Lu5hGH89VP40HRf6ET9IwJ/WX3tf3wQf/+3vz+KF6EXzwxt
CXJq0PUisfr9UTR44gybDFLLIMgFi9d/PIv8CevSBY2DmPyyMrIR/P4sOv9kqXL4OQwceYwsYqj+
XSD9+waC+JR3OvlW/8mG8iGTVTN/015iD+E9+FFEDpfTUosY3cjqjgxW3mPTgZ4YP1WGsdcAkYim
PvpYFTlq//Ap/ckVf1av/3HBDztKWeNINHtzjihRwlbBSxh1Ht9VIrNs3v7+Gh9W9T8uctk/fxDg
k/83wRdNligf7y8CK1EN4WQ7YZJwPJ/fYi/dKGmeOosmBvjDAQiZiJ1f3OEHueYfV79sqj9cnd6x
seAq0CI9m/Z1mYdFrAU15abBbNZtbnVow9wwOqQ00ObyinbIL+6bJ+aHbfuPK7MQ/nhly9ekX3GW
jzRCHL16P3QyshXjxGQ5jbq6ncAOumBguwsRFhnFLy7784L2x2Uv6sIfbjgXjK9tr60jQvv9m/G6
uBmeU6hgn3g0fwWP+LlQ+OMal1v+4Roa856hX+s4qqClNvSpDX/ak7ST+HM41gSVcuL5xe1cPq0/
RJF/XOqDLUsuk+630zxHk+Pt1wXkvAegMzY3diJvCzLfvHjdX5XqNFaPttWHZdltf3HpP/8CYTP/
fJfOigyOEfYQieLS2rgd8NjbXXKQUDRtGjhNzycqTq3nhIQ8/uL7u/zw/3y/nv+h9vL8Wat1dx0i
ZqKbZvJDS5/3DKT3gHdCoFX7eEUYOolf1Vx/dZMf1hxlM9duB8+LmpfmQX6jvzbNAcTf+Lk7I/Jc
f/lc/tWFPqw1sP6YzOVWCzra3dTWY4lr31ro8/L4rKxoiRW0GuqazHrSf7nAGRdA2Z9+nh9WH3vC
9zzFXR1dGq6B/GS8VOc6PacPsqXne1tF5nEiJTBH5xWq9xic7aa4rui5HuaTjDfvcUYU3DY2j+oq
v7bHoP+U3draF3WFbgVLmJdY5/ZLfU3S07i1QkL297Z91rbEhO86/u+7LIuGs9cYzwTrBvOztlWb
d2ZLZpjNoUfzgFm7CHwaEPJ1uFd01c7G1gjqK28I3H0fZdvlYEfaKV6ieTdDGbHi3bLvjvV20Hci
XKLq0FW7uH9Pz911f5DlcTh01/69w08sGjjfj+U96NSb9rYFUyvvRPyWPVtXyd5T+/aQnOpDhtpm
u26z9mtxJ5HLdaF6E4gdq2vtSDj5vO/21d7NTuOh/++tjKSx/PxiGVOJP15bzEhAwnVRHkxCHtyB
Wotewq1beyERLGFJtJDHf5c0NX/xRl++9D97uT4syeR7tW0+62Y0Xl5f1EWY78LONjex+TklbBa4
fdB3n6VBk4FlRQ3NbSnNPVKTzfDLN/w36s2f/RYfV2iHlKTVpJ3kiZNOn0QvfdSRJHL42bFf45WI
+E3SF8/FpJ/isrW2tZ0c19QO0Asi0iBQom8MfdtXJsGE02YW5ibtQ1PqOpqeSdsTFu5HrWzvMxl2
iZ9vxsRUx8kz5I4EjW0ru5A9cQzp4t6gscrxWej0xwfjqpygUdhTiXgDCmjnBVmBfGGRPGzLE1ri
aKa/sOPYaAVqXF4RMd70cxpkA4EC4FpvZ8M+L5VN/lvR7qyS7A/UUQsVr+uW16mqQi0rwxLgfZ32
h8QAYTsa5UF385akIwF6XdrXVW3eYKwIhuYt8T4bw80vvvs/30hI3/n5ocuE5ReibeIolkxGX3w/
eSOjMGQQfes2fILrdnCa+8U7M9qm6WYjS/vVufqv1vQPexheb13hjowjI27fUusSkGCFJGDfTrHL
TMk9Ma/cDJ31qzX9L271Y1yu6LxZOnoZR22159YwuG8aHvLLrrmp63tGLUzE7wl9YHlPDq7r/mqz
/vPaAxfDz58xY08TKIYWR46ob6t8JHTWg6JAuE7jhX7WnMR6UvZdVd//977Uj/5YxEmqt+wuO1ZR
4/tH2mhP2pAeLl9qVpPKoJ1VV9zaBju1Y54Ib/Gjv7/yn1dA3kcD7KJVY943DsIYzz+1guaXVKee
7PDUWU7E//9WBv39pf7iWIA16OdPtdanwhsKaUZM4G7TWD969qPIHF7r/omkDSojuWkGwNJp8avS
57IU/ckS9THubl77riL2z4hUPJw0uWLCuvd8jFtpvh0M44QzZRMv7k1MaWvzq2A6/tUiTZDEX1z8
wyot+oUoGEnJNyvcAv4BQsXOY3PI6gF1zsx8z6r1TzTkM4Zgw1WV5qey8G9KlMRtBxV3Pq3FFBWI
UBurvkLwizRpjxGdJO0s0IaD6ey8fpdbx7bf1TWSCZaifd7tNL49JIRDHKSj2izmYeFIYlIZeGTe
z/rMKnvgtD/GMZrTMajom7NxB+lKMve9tZ6m5k0Utw1FYrpXat/5UeUdCDmf3cPaHVz0F/O2PrAq
anLvUNCRb7nEpyV/sczrqTzF4sUW96NJevJzI74P4lNZPRhqn1t75X5Xw8HtI9VHur3TDWTmB73c
G/Pll+7TXTfvDXXQ1CFNosSO7BQ1/y4jKCkjETo20OE15pUilpV9HyWMW2lM86ybvBsfMxN3aJ1x
W+u1keQnv2mj0bcOzgKF2pwR7KpdPvoRk7FUtdfzkkdrZj043bAfl0inuSG8Z8t5UnW1x5x3KHA/
9LzuQyNOWWHvSLG+hJN8NZJs43rLA1YFYg8s7zts8ful957EcG3UXWQVzqNvVUDXy/fBB98u53uD
AbPep9HSO9u0QMQN0SUFhGf42tZY+vdJ83Y+VU7Zd2GTVV9W0mw2nkzvmIjtFyRKfiaeyiLbry15
8vDFN1pfoWPx9Cs9zR/BZ0dgVeziW4qGTABL79vPffxdJodu3BV+WCgStTtrOqejh7qr2+u1vW6L
CgTC5KAT5lA3+8HMfNvOveNkmVHCyI/Jyy1u9sDr1UY1hNwmy952jq0sTl7j3Rlpd6iGeduOVui3
ctugGknYblLzoPr6oZirm0ypMKPn6Rp6FPv1tHEZzrSXj+aGMyVz1WcrXwhhwpxP29yjVMru83J6
b6o6SCp9568NMwYklE1PvIq+ZbAh8Y7N14v0vglzfhibcyumoNZ5aRgGTgHRa2cyc0xdHqdE3Oez
OI+L80Di5pu3zoxyBiKtybopit1i21cI8Zzlts3p5Lf2ndKnKxPOSbU60aSPe9yle6s0DlpcR4TT
BbHrHZz0Fkvx9v+S9y3LjTPpla/CmI3tCNPGlQAW7ogieBFF3UpUXTcMSEIBIO4JgCDgmIjZ+CG8
9qoX3nk5u/9N5knmJClUMSGKVAkZVb/b0dEdrSpVIpHI/PK7nHM+VVXnep7OV4WPcvuXfrLE+d28
h+QVCtNLYKjXwVDxPUsxsonjIiOQQYFN+AzLCqSBZkbeDTgZp+7JlwwN/fO9MBZ1bmjKSEUxS6tZ
nW3Q93s9Cvpk7Lk6ALoIN7+FKAPlwKSgr8W5cyp63najPGRdW64IRPVqRcvk9UyXQxNsoUsnxwEH
Tw0Nwq/kQsV+DkwlA8AoucpU9OgOF8tyCQqDNBQGixTAQyiho/CVjpJgYApoKiLkBaBogCCEqRkv
zyhiHxhzVObrUYA6s48e3Up0l0VfBAHezqNXSmNjqU5KUcEd6eNc9qdgvZlruGgo340LCUq+gKqt
b5Lo1tcA+YF+jHYXlrV5/E5rUYSbsF7XWy5R7a5rf40GIzPZjVDOAmLzPJDuIuELbhjQEmmvo2Ks
o8C9dsD/q24ygJkN+KzCoA/9i/fFZoZmwJtyNYwGCS4/bwQm5QU8tyvQhMagjD3R01/MyW37YB74
Vu32L8gQurWi+mQGjNTMxSWs9fOR4JTTiHzOlVu0tycAoGleAhDzeyKJF3oUzvwov5CW+SQsITeN
OmmR3HjS5dqdl9hk0hyiwOdpgmV2CfrGm7TvCAk+yzm2230BhHeKMipaCaJ6B7DvCjQLIzUdyOwN
ltEEfdPNbO2OalUYxqljRv1xpgKErILKBouBdgyhM/YAsQnlbCjID0H4jYYAAFIide9CaMA3fUcb
ihBhzoGKAezKXMJOJbnVL7+KqHqX0kWiAmHdr97nMuTxfCh+kfeg6wXuTFpdA1sMxDM4bWBp6P2N
KUbeRfwJSNUJKFITINJGHqq+aWmY1SqbQHjZJBLYkstg7EDR3ci/RDnYG9odengNlQ3AvvGwqMmJ
baXSrMWhr9VyQPsawFkAsCBuvtBX4jSOamEKOtNNlcdTxwcQ1J+p+aJYfXSgZZtuvqTue+g2ApiJ
UHpQjGsUtoM8u1MKZ6IHc8icZb4H1Pc2yDoHKX2hppvRBmpyDiFo1uOPUY8danIBzOtyuvLJteFH
FysvhjBujDKoNAshSQbq2MjVq5FcIX2AbCdaQJuR74zTdX2mgMKHYuiwDsJz39DOfAlVghD3qhqN
6zQGccYZiyBBDRQNmORT/Um2tclD69TK+ihLIibAx5GZGnxZZhJUuQeXuLznwroeKk5+Fuibq9Qz
3kNQ8TGBdGIhTF0AySV8ON8JrmSSztaD9L1IZgq2+arqX9eQAEWbqA+Zq3ySwmw2cHIgjqVRX4nN
gQHeSUSD6LWDmOTLICMXpbOZ6/34TJaACA2sAjRKA3dp7fijTdWf6ith7GI3VlH/uh+k1xTp7yQl
EGDETIviTKy+ojPdKIQ+4BoS/oN8c5loxazykjMPAFSQycbAHk9RBgYsazAV3GK0+gjkznhAI+Z4
sVwlwzVRTfw00LxxLfjgO4OzTHRE/qeMR0tc+buVa1dsY0dC0UBeuedeCu1GAyiEJHtfIIGpL9fz
Kr/eUEnHQJ8m6AGeZsaHENA7+FwgSOQ3aWVMT6cVt/3cDn3xVhBRV+ulghRAf6avjAzGS54L1XVW
xSLSmYD2+nVxL0OBEsqpd3C/Z3K9AEHX14GvF2F/+0Mjzd+jt4sgmTUkTs2q+lQBO4C6sDtAWqEM
7wFenCGtfy4ZQ3MZwAfVc6CJ4tW5nIIiaJyV6iz3T7Rye6GmAI1/9ubWEpQT8zIYzNKlgtyY+1lG
RisB7gsi8spovRrMo9z5CNn6ebyZD+Q+oIlFOjx+d7348FZ8gm4qoqeTNco0SAgD1DdKI30eJ4YV
QnfTTcG2qtZzNCUc089orII5wWftK6eadLwUD7ZVfYMIMhMScbTZKtSuSbKcUwnXZeHfLFfI8cfI
VtLcFfom1fHq4/F3fiGDsU1l7XlKxO+j5famUmcisvsRikW6fkPjepo5CeCalFBwDdS3ft2WcyB4
Qg5IniGDhZ9+AJxwBDn7SaI+Sq4xV/W70EtGsaqNFJfc9MGnBNFlriIOOv6qL0T2tDS47xSu0wiy
7IGkAseIlFyIbrvFVQX6/AqvmfnLqZSezL3T3XrgTLZxFtK6rtw6R5wI6KBYyiP0Rf8g4B3pyvaL
/pR8A30LrHMgjZVMHkEoFfcAXNOVfGorv5CUb/eIQFN7ksuQNp/5uC1DSRmtKtkUfeTKsZ4p1jjP
xakU6GYJ18PHtI6vcauVwXfDSKEA+4scBGsIGymVPsuMBI79Z3p20+XHTNLg4NRzEUs/iPqjTeLf
pPHJ9X7p07ZsIBp0AoaACu5sUxQxKBdnWfRRr5AYWCH/1le14UA8A1l+jfLDqgDlRFfeb5zP5TL/
WsirGwf5aJkAILg8Vdx64VS1cS5BKnvA0yO2TgLJWq6dcaaoc09Qp/6ygtMvzAGZm4tL9VS880J6
btAyXCmofCReJ8aslFb3UFwfhQNynpZbe6XL7lhCH+I4/uQhGH7jd25FWJnqOGpfxw4Hbn0KyYqR
pCYjufy8BKXAlbKbskKyOPmcalOh77zNVg1a0VXoFuoGKgyQz4AZdmp1vkK1rMAJpmZRj7S5gGKl
iFv3xDu+tKota1VAmiUgvtKfOUj9UYMR45xuahm3dzUHnHm4VGScX3GkqsvdM/8nYzzQB3hv3Z/J
v1149zZhpd+2/2KH6+hr/4SGPhr6LEIfGLVTyJY0wI4+hW9Q5TWQdySA6Lb6bk8oIx0yWtAvxb8C
6kPbQokaZIfyT7KqQhRURAc4VUXriZ9SxELjHcbUA0wH+TmMB6ETUHYAGaR/v3eR6lWgQC0RHYcB
3Y8nWn9gZKYfQCzEXII0lYP2JRRQ0i/R+XPYp5wH0NAk/wYs30QFMjrNkbuUSzIJQWQMJ0tojgMp
SYOeYVkvM2Hk14BGg7fqCxeR4yLsH8RacetKIWRIoDjjOhOjcOo+FIk9Ml0vY8+dZGiQBkJi38fV
jqafBLVfR+/baHKqoZseaDzz2CUxGRZQvDmHAAKUUeRUy1FWCkQQELVsnRAzBFJ1XqqS/CmQ8/6n
ME9d8UxJnNWdvgxCexDF2kzvQ9ofqhfCOCyht7ORg001NoDjNEGHqb1RlSxXCwIF/rsS7AmQWUW9
/JL7AWqvPmRMh6BMJwFA6Nr6q+MhRAMRrvKL6RKqRMJ4WYECDPc6Nr4tkVr5sAH8Vp3HaalMipJU
UFmtB97ABH00I9DBoAyAXMj0BQJQzxm6ETjAo34ok9vKF2Qrwr2Eu2mwEs4B5IwtfyP1EVL7Qf8i
KqukgNdrSJ82QeEh6ZlBjN6sPBGAc1lzEKgVKxmWJyV6OsrB5P2yArRs7qckGpiATuhUYgfIk7pM
AnSsDuuyQKPGYgVZF60EOBqWQl6p5S2FsMN+afmXVJSTFMQnyPwMgd8GIX6pg/UxTL16gCI6ajuX
oAGIV6kB3LWpQscdSlFoG3w9kFE2HJUrOZ/Lvuh/1qQIbHU1yLX4fI2XWyAFsKmGkGKmzXyrxEF+
3Q1EfSgpCSSU1mW2uQ4wxADCBZliDzaQD6zQF27o+Ks8MtETqnSGqygYXJfgDnmjpUiyuw2ExB9B
l9+8Xxa6UkzDWDXCueeAzAraG7ITA92BYlVCPHGohF4g3y5VQK4jBCOPbj8vISYE/PA0Wa5d8LwG
1QoNXmOnGBPwl4FUXykb6SyAL3IGefgV1ESy5eBSrpMimlVJn0jjInCgclKVavUJghZqAp6JV0Fa
VwyjT5XuSLEppX0pn0iu5HxAWzRCJg7Ev+7CfKPHcDM3RDaTTb/6ItYx2hiC0pIg+SgQKGsBDI/U
bxjjewsgNlxD3T+BeH6UhtkY7dL1r5WQCYaJfe6XYx9gx/Ul5DnQeTPyNHB3Ch9Ja7DcihTuDUjP
7kSry+g8Anl1PdFXGHispUYdoHPUAFl6CS3WfODg164xrFb1EoFyAcHvUQqlG3QSCDUIXshC+E0U
VpI8QTP5KoUOfNH/nOdGCPol4PwgPWS5Jg5BDpXiSdUvjc8Qa6FZ9CqC6L4gliL2YZrdxqRCP8nI
0L4spXyNbpGGsQxMwSeAZKBv6+YbcVKBxttBDWUlKezfZCDDFOA5BIWZKxAeMyHKkGbDuA9S3ChH
7y/HFPN+31q5sgLJFSkvMZwAGf1aDQaXeqpvXNzI6CN3BlZBPwIlLNBAaFCKs9ota0iXAeKeoCsy
un4aiEjBoVYycKpkIq6+IYGwvF6hKqeYIToFV6ZhbALhFrpirqUvJVgf5BBVpJZcXag1UGNEDRIm
a9/Lbte5X3jofaAnxQ20kZSrtIKdfq8PfGDPDFJBMAeaRZU+XivZcpLXCvpM+BpJobblBqvITPWM
fIYuCDkfZCVEKtI4gqZtkYLyTSJCxuBoqsDDG7p3D92P/MsaVGac1wKfH18tLiHrA1mOYTEohQd9
XUEpp4T6eHrrSZJPRitXqD/COxY+Q3MHxnW9LIx4AUxz6uU4aH6yui5LpOWuwz5wkJOgTANvBKJ8
WIzylSbWkyyoQbDY5KiHQfpAg9q6DN4EGOOODvSH3EdTg6FRZR4SiJkGrjaIwKvqAp0+kA/cZCS5
TLJooJsODtlXdJj0C9CPVmp8roF28DEBkR+ZyFRN1hNQQDOsTJzq6FUqr3MoM4BRJ4ampPbD/ijM
NPiwYrbRhJnmlIUyiSEgNgI1MIeCjOHHX9C/SXi/BClFmKNlUwSyU+YRHFZ0ZENT6PUgPFvBbqE7
SObUN1Gtl2RqxGt/CtkvNBdYJaAg4Qz4xAHOxt/cDiAFlg0jARweas6hPjSHOqa0udZAwhNmgrbx
DNrSKkqu1bom5cQNIvijhe5nN2i9XQXmYA2TViWrFdj8HrQvpn0xXp9tnZWfctheFOPdB33/5ai4
bwds7tNUqWP1TLf3O0jVdL3gcfvXno2ElN2o/p78hQbl+nyAJxHf2eO//C9JA43hO0B2+6tUE3g3
uP1dI/gvUPX8IRG8hcjv/eX2Z+Bp9//507s9f/jBaTV/eObZxCIPbrV94YpRGx5CTbe293HEVCL8
xzSe6Rh/xyYfG9WMM6ga37YUKmnv064jj4PewgrW1mNMmsHoitMUUdehp4WV26EVWM1QdGCKiew6
8FkcPRbEypqR6LiigIxA14GvsMDEcgpmxtAB7z7yjRVZITssVfw+PuFDu/O7yPbzPcvqbP/83z/N
ZruaEDTtfN5gnX68H3s2d/yVvb/9NYfzXZTj3FLeSbP09GURXTU/Uqty6IT+vi+BDuJoSqujw50g
apqMIrLY+cPsv82THd3/ozE1qI0Z/0X7TUCk3Pm9/oQbLri3Ijb5cHKv7SrMx26DdxGsNWH2MLIW
P07ToR38ilGLDIQCZlSqaN91WFyIjleEzUD0wEli89NL5+30bIdQV/KsreL5mU1q24nBM2YmLyFZ
y2HyFimYi0bicIEh0eFYrbWmdbeu0x3ZUWgRvxmIrjVNZnYddkZsyo5qBtoOy2HDjbM8bh0O2hC4
62zN2n5w2X2scVjbiRe1F0FDLq7rbCcWie1D9DPY+e6DEyt6YJxRisvsOuWpd0+sADdpMxTdEAaH
LzdF3BBBkpoZ96SXdNpWTG0SIs3EDMtjHYhts6tLuTddV9ckMZixjCWDsnv3cc+KCDaHWQRR4GDL
Zg/PjINIC89d12GWWwE7W9rmpeuo5zZpbTBRQlGr87AgMl9alc30pYEYY/eRL6x83doNlIncdcIX
gG4Vbddky13tOvICmpMW8JbNHKlxEBUOa3zhwa7nyOrmtseus8JjnYuNHd7HBXHYiXMw8Zdx8Ig1
YcZVOZg1qHBaDzE7LIcjckltOzMqLft23RZXdu7a5BnJGjrtHMaOSWmxtoLH1XwTty981AC7z/Ym
JnnhWEEz0vaAGByW+DbGLccePEngYCvoibbbA1O6dNc9sdhaTcBZmU0MMjuHoRN0/WqGoSssiRxO
8mJtIaAjjCeMFi/Nc94ezSxK+5G9PFBx5jGsl9e7U9cMtl0LHlfeB59giRnnUqLaB103xYfIy+3H
3tyLnMeYDRtpob/r8MdlR76nkt8WQsMi44KyHcJuaB5RzcIm962zTTF1XZcDuhd2L/4G54U5Lei+
RYH3XUe/gqlzMfaD/diO9NBRj4c/N4+zeM2sNhoqKgNKYOw6+T/+jZr/Q6GZhiaWugz8h0j7lUqy
cvpxh/Jrvya1JonIWDSVi21S+Cnlh7jpxxKx6dlnpZMjv/u7UrnfUJmNoMjJblwO1+g7WMx7y1ux
A3NwMd+RsH2NcriThlbkBNajnbnNlt+aeA4LcVlZNJ3EDMtjwm7R/mgcLnwoLEW2tz9XmcNcTQsx
wSNrd3mEXwvi9S6syLf2J8zjesMBZ7OgPGIj1Nuc3pz+z+Ld7f6MRYHDl5shmx3ZaGrGjEyBvz/M
09uuY4zcHpXDsTi3EtY0iLQdYNe5zivomddtcwbh/+5D727heUxsdollDku82DZPPDA2h40xt2oL
ErAtYwGdwe5LcmHFWTPKNv6isM+unxB+jhU/OyIqh1WGX+nEQWsv86j+I9Z/9NY2uxYDDncdBrYA
CmI3HCULdF3kKztphc4ah093g7I/8piHnD2RalJ0nfUNMmLPNjKPlPkNcDdekiAQY74h+ud2n/QC
IZiVwGw0Q+3iaA674861vHZuRaIijl3X+c5aec9XWqIikN2H9krW7ks8LNFdQXzqFrZ3B3Dn3ef8
ob63DywHxZB3XY6Pnp0D0tIMtN0aPEzdNYrQ8bqH5iOkSHr/3BvnMYnz4ulk7j8OmotU77Drizw9
EGpvVuZ6BI9s/q936KGawiMb+grZya6pCO/xEaH92MryZo3oN1LQPf6YaYAVeRUg7WnVFq7nx7ig
sWrf/+9OSnP/oQATAbrCISTf3ioWPhDxgv/3f/49863K6k1JZT1amMGZdY8MaPPVGHsI/CCUNjlk
NO68MCb9CxtFiP03hBKtIQty80cdEoE2ggK/2e7ZP488K64QL3m997RlPZvp0KCAq3F46Cj2H2Ms
4J3lI4z0WJyaoQ0UQJC6v9rcKqCazoATRLBkwGfm4CveWP3A6z+g7g9Js6KZ7Na12z2Dw7dHuto5
MDIHG3RhJbnbcmt20z55CfzGxBIO1d9kZonioKy2t80hxEMc9i0O/AO3ygDpVrRwN9BHXlR0XVap
LNnxi+33fXdw5AwdIguQWxfB3hcNCHZ3zS/uv81TenL/j8a/HpEo4SP8LSISTQCRH5mwjMfFPAUU
5hk8ikdN89LeeK0aN6V+Hz8bpxFBC5Su8t4NcPzE3mIIL720sIOYKYJIp3HBp5/0VM5a5MDCMy6J
pHC49kwsBGxV710IjiuLat5xJl5eKUzmVZ6eCaDi/b3Nhj4gt8IIUA2mF7/EbvxDp/jX1D0gKQpJ
pq6G6U9Y+CAOXXM2y3vUp3/lhx4iw9SCGvGoAQ6JVXsM2EHmcJeayHswHjgP596MgzhsVVl5xLTj
h6LNr+FhxCbEjh7c3rTwYNObk0hdXh6YmokFRuxL9U8O0QCkHluzRjDQvESH+AmhIdISzNYQeUBp
aYYQxKCqmeI2tKDCqi8awFceuxubsPHKad/vFbcOQZcqdrISjxPyEeiGGhcls93gCp5aht94DaAp
hvCqa4AaVXzME7Xv+AFX4YnfYWiIv60+3nYItOf1xadXfuVOPcyeEilVrHUKfnLcVp1gi1joNOK4
IHHC2oAtwajToLsy2iFPaxsqdBr73aGYk3pwHZd2V547MOedd9Rpztf0JLAVnoGs6wr6KkETSdZ0
VR4Yz+LYn9saNyAdO23o0IAmpNAzB/8d6BpiUCrm+KIZfq2fiz1jtTbiQJd1RdIN4Nqg/4IMonDM
3r/2QUPga72H3vOIQIOWzACiMqKM94NRNWi/oM7vdWlnMfp4WiH7qQ7xCjk8zHJcYt830946IzJ0
JPAftN0yNEMTj5emXruI36OS3gvA4kNZilPv9/tuKe3AInUNXfbf5s+RUzl0nn7tW+48Jxo8fBcr
aCZwjHCJrnvEYc8Pj6rwbZG1LA70JZuz83Yf+O6P/0t8r2LuP1jLUwPv75cxzDSlAP+aUP17NqH5
FtsP9LRnj0Tgz9yw/Vc4veXfuBnekeKe8X85hC1wrTw47NtU1NAi9wWbouMQML+LnMILWMddPLkn
TkcadLYIbmG3dzfVLi5qfuqwiV27N7RciCYwQ/OAWplWBaLEIawHj8K42dodKod05SgOvaiV3+NR
hm7GjXq3dlLcB95D8+HoZ+SBA0JiuJ1v5sGhmSKhgnRtwTr5VIL9RX/plUHOmQXD1wyz3cw8TPI5
9nHr+4k8dGEuLYKoleaumSmrxxKzr1wIymXIkB+3GPyAeNQnfeXQN+D55jGVs2Hq2ZLAwc7tMvtz
L8+zrTW9stcea0F4gEZ2T7koHlinAG2ym+/QwfIhg+U9Wo/b6d/F9wiAmkHpfpR4sEop6mi3Pib2
ZZwdMoYSD6WD3UJ99EBDR8GF5hNBAwRkg1qFZ6A1hcPqDQnOb+b2Pnrw2A4aeXR5btbz7R/pw+Lo
Ezhs5CHYnV4Le8dDlclEnAucarME2y3FA0SysFivCD3Om2e8fZkBQcx7YyRHQIkv2GPMQ9Nhtzvh
wuTuH38N7LBqZkxXReXBYt++wKWFJ7D0PlkweKBhdy+wuwV6fz/Zyj38w/5LQJ32dBVz323+tZ7/
oYRR1yDgSMDwu3Kxu+psBKW1MGZDBw6maAh1i3a8wGHYBS2GxQctKA9SghnTa+fv5zb08iLnHw5d
QDyug23SFqoiICFCbyeyDj2HBxffjOMG2MOYKZXDlTbxVoxHygPwPgHfGK4diLa7POSWA+o9kOdM
nKNF/lc6fE+VShDqq2dMHx7qek/jb7Pd9GNTP+N7tYISrR6Zj8KjbIcIhAE/P890Fz+kKF+5TGc2
uOVPO3T7DpcPI3gBQfNnzEugnXxj6N9+v86ByLzH3dqMtA14ZLn58e0Dmy4BpB3B+9PrNCPuHsBh
5ld22TOt4ACxmAfb+sprRVQ8uNYfrQiKmAWzFDycpCsLWHlmVB5nli7wVxs0Hlb4C8Tn5lFv3x03
Xv4A5/bg5YI6C4cHWAmyafQVgI6IWrw3PnhjdJhq5rnd1AaHTY1LKgMO+DAP6XmZ9ectzM5fPLMD
xF//2HuXISrLPFzy1GDe0ROLvBiw9GYRuYyfgvJX87Jv/+p3sQ/kALNqEg9X4g7sOHa2PJiNdwXE
PlqT5bAzP+HzervQe1LkIJ0060o3EVQ+mx/fvszPnEyJB3rfpDQzmrZpDm0zUTpvFVGGpgEVrEJ9
QUB5lof8DoOc7F1CJYb0rguIlMNfPOjGaZSpINA+HoBSowJNGzEh6+Dl1UuL+RsDnwM17K6Bz/7b
0Dc+Vr35NYWdQxXtv8G3BLCm61v9CYPWwGn3zeGQ0EEZCqpazbmktuPkIX1FDSrOM3AzmWFFHuOC
l8kiwjlEc0M4a9Al2F8CHlRP07Ue98fkIcXUFIVocEjTtialoTMP4eALjuwwfkAoCkjM6edx2IGQ
9LBJzCL9TwMYT29CE9kSwtZBeSSavyP8v1E83+FCHY+ajGkldu+jTR7t/Q98FFn1yqh2tPKgq8jG
mAMOCfKxUyX5/mR5JFTRQ90C49gDp+J55HDaoTi9TcaoT7SEOHjEluPc9eKErUbxyOrf0WoNRHDY
kXmEaFOwdRnjygP3PIUmFHMNPAdQ/nzQ9HwjALDSbLyXXMvTO8H8479yu/f4d7N13KrzoNdc9+Hn
dlQxS0F1wE74w6cn/WI3vaN+9ivGBUoxd5nLBTJuXObbWgUeWeVLUOgcK0OzkGaG2xQAj2sEKsJx
zpLLRRAsO384Sp0vGa9D5BFsYtjWoMewuK+8MS5xkT6w2ACRRwx7iUQZqsNsIVEccDjLu5HbcGh0
i+Lw4eKa2t82xIO2/j0e3J4+dFceXPxmmO0O5nFlbEdl7wuRR7F2Z4b7Qy/L2CQSpCSbl3i7Nb79
469FhFRYM9J2OXjoud8iMmmh+Xiopi3s6sG1g8DO9mcs8VCKfyINbB1OdnAOF8iC6qOyUgcSn0I7
xSr1LmxUsJhJ0ybsXQ/KAroiLUEASeSw6Rao2zI7Dmz67rO9Q0u+ZhS6jSUehMvFH/8R9+7i8I+/
bpPFN+SP/4wePBZ/J/GoHN3hGLZR0TKHuO/Oiuq2gZZ4cN8/OM8OOA+JSOQJfFAZexMrY78mD0XH
K9BBWj69xENPbow8DAUkMtuPxwX79VkMIvEAwH71wnvrvmQtBu2q3t1iFFA+fn6+eVBzh1CpuoMz
x5CqQbbqPut39xWroapBOg0alIaia9BrhqE+HU/tZ6HHv5RGsNO26pqJ3Z//6Sz6zsn6aUIJkO1U
Pb35Yjvfq/np7U4Mmo22ulXxcJun0OEETIR4STPD7Xx5oHVnQKwxg/K4VWcZsWzmcKBbb/OUty8u
5po2o2wXgIdC/3lMWi4AF+H1eVECx87Mlod9uLDvrajlI/O4Qq/Bx2Amy8MEvwd3lI1ueGB0Flbx
6PXeEat9ffKA4ywqZB73F0LiwXd5KqTSOffGoUdhX2zQwIOJ8AmSeCDsRIy+G3pXNm/z9nP3xYY+
ZjPM1p/l0dPuKu5h0/1d1msDXCDo3zzs7XOe0tYxuP7vH4GpQOKeOYqKJPAwy3CU7w/VwVGAh73j
wbJ5d1/0LouM2ZFPo3NYo3+9HS/Gtx/Ho//do5uH4vae7X+wlFHPl+F66BKo0YpyOsW2f3//hP9x
6J8d6mMNHRD4hs3AP/UbjWdyYIgnf3N3r9JWqD+0mbaPYntMs/IGzS6Fr0X1K/b+6d6DmgHoE+St
JAZ9wtNL7/1e0/aV7SX8ll/Ye6WdltrRVzoorvDf4M2opsZ3Ga0Dn+rJ9ra62TQvVhyEiO6t9v5n
A+DzaWP8qs9GFcpe8XKsksGb3u3HDvlF70a9lmOvxsrk/Xd5Jyp1c/S12JstwSVl7wzGL1p22n70
2LLvGCzsLBk1nb1//mc5JhROeuydRnaRZw/uvp/xpv30M+f/1Od8goY9BECc/+X/AwAA//8=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4.png"/><Relationship Id="rId6" Type="http://schemas.openxmlformats.org/officeDocument/2006/relationships/image" Target="../media/image5.pn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3.png"/><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169768</xdr:colOff>
      <xdr:row>58</xdr:row>
      <xdr:rowOff>100292</xdr:rowOff>
    </xdr:from>
    <xdr:to>
      <xdr:col>9</xdr:col>
      <xdr:colOff>1680</xdr:colOff>
      <xdr:row>77</xdr:row>
      <xdr:rowOff>53788</xdr:rowOff>
    </xdr:to>
    <xdr:graphicFrame macro="">
      <xdr:nvGraphicFramePr>
        <xdr:cNvPr id="7"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295275</xdr:colOff>
      <xdr:row>58</xdr:row>
      <xdr:rowOff>85725</xdr:rowOff>
    </xdr:from>
    <xdr:to>
      <xdr:col>18</xdr:col>
      <xdr:colOff>57150</xdr:colOff>
      <xdr:row>75</xdr:row>
      <xdr:rowOff>104774</xdr:rowOff>
    </xdr:to>
    <xdr:pic>
      <xdr:nvPicPr>
        <xdr:cNvPr id="3" name="Picture 2">
          <a:extLst>
            <a:ext uri="{FF2B5EF4-FFF2-40B4-BE49-F238E27FC236}">
              <a16:creationId xmlns:a16="http://schemas.microsoft.com/office/drawing/2014/main" id="{E56A0819-EA0C-519B-2104-043D40D1D040}"/>
            </a:ext>
            <a:ext uri="{147F2762-F138-4A5C-976F-8EAC2B608ADB}">
              <a16:predDERef xmlns:a16="http://schemas.microsoft.com/office/drawing/2014/main" pred="{00000000-0008-0000-0000-000009000000}"/>
            </a:ext>
          </a:extLst>
        </xdr:cNvPr>
        <xdr:cNvPicPr>
          <a:picLocks noChangeAspect="1"/>
        </xdr:cNvPicPr>
      </xdr:nvPicPr>
      <xdr:blipFill>
        <a:blip xmlns:r="http://schemas.openxmlformats.org/officeDocument/2006/relationships" r:embed="rId4"/>
        <a:stretch>
          <a:fillRect/>
        </a:stretch>
      </xdr:blipFill>
      <xdr:spPr>
        <a:xfrm>
          <a:off x="7200900" y="10868025"/>
          <a:ext cx="7334250" cy="3133725"/>
        </a:xfrm>
        <a:prstGeom prst="rect">
          <a:avLst/>
        </a:prstGeom>
      </xdr:spPr>
    </xdr:pic>
    <xdr:clientData/>
  </xdr:twoCellAnchor>
  <xdr:twoCellAnchor>
    <xdr:from>
      <xdr:col>3</xdr:col>
      <xdr:colOff>95250</xdr:colOff>
      <xdr:row>46</xdr:row>
      <xdr:rowOff>76200</xdr:rowOff>
    </xdr:from>
    <xdr:to>
      <xdr:col>5</xdr:col>
      <xdr:colOff>733425</xdr:colOff>
      <xdr:row>55</xdr:row>
      <xdr:rowOff>114300</xdr:rowOff>
    </xdr:to>
    <xdr:graphicFrame macro="">
      <xdr:nvGraphicFramePr>
        <xdr:cNvPr id="13" name="Chart 3">
          <a:extLst>
            <a:ext uri="{FF2B5EF4-FFF2-40B4-BE49-F238E27FC236}">
              <a16:creationId xmlns:a16="http://schemas.microsoft.com/office/drawing/2014/main" id="{885D71B2-1807-4D13-97A2-202D619EF86C}"/>
            </a:ext>
            <a:ext uri="{147F2762-F138-4A5C-976F-8EAC2B608ADB}">
              <a16:predDERef xmlns:a16="http://schemas.microsoft.com/office/drawing/2014/main" pred="{E56A0819-EA0C-519B-2104-043D40D1D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828675</xdr:colOff>
      <xdr:row>46</xdr:row>
      <xdr:rowOff>114300</xdr:rowOff>
    </xdr:from>
    <xdr:to>
      <xdr:col>8</xdr:col>
      <xdr:colOff>742950</xdr:colOff>
      <xdr:row>55</xdr:row>
      <xdr:rowOff>152400</xdr:rowOff>
    </xdr:to>
    <xdr:graphicFrame macro="">
      <xdr:nvGraphicFramePr>
        <xdr:cNvPr id="15" name="Chart 5">
          <a:extLst>
            <a:ext uri="{FF2B5EF4-FFF2-40B4-BE49-F238E27FC236}">
              <a16:creationId xmlns:a16="http://schemas.microsoft.com/office/drawing/2014/main" id="{1142257C-69CF-4C78-B2B4-ED5204BA786E}"/>
            </a:ext>
            <a:ext uri="{147F2762-F138-4A5C-976F-8EAC2B608ADB}">
              <a16:predDERef xmlns:a16="http://schemas.microsoft.com/office/drawing/2014/main" pred="{885D71B2-1807-4D13-97A2-202D619EF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88142</xdr:colOff>
      <xdr:row>2</xdr:row>
      <xdr:rowOff>135341</xdr:rowOff>
    </xdr:from>
    <xdr:to>
      <xdr:col>21</xdr:col>
      <xdr:colOff>938893</xdr:colOff>
      <xdr:row>30</xdr:row>
      <xdr:rowOff>54429</xdr:rowOff>
    </xdr:to>
    <mc:AlternateContent xmlns:mc="http://schemas.openxmlformats.org/markup-compatibility/2006">
      <mc:Choice xmlns="" xmlns:cx4="http://schemas.microsoft.com/office/drawing/2016/5/10/chartex" Requires="cx4">
        <xdr:graphicFrame macro="">
          <xdr:nvGraphicFramePr>
            <xdr:cNvPr id="3"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13658092" y="567141"/>
              <a:ext cx="7562701" cy="4186288"/>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40</xdr:row>
      <xdr:rowOff>126546</xdr:rowOff>
    </xdr:from>
    <xdr:to>
      <xdr:col>10</xdr:col>
      <xdr:colOff>884464</xdr:colOff>
      <xdr:row>70</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24</xdr:row>
      <xdr:rowOff>11794</xdr:rowOff>
    </xdr:from>
    <xdr:to>
      <xdr:col>15</xdr:col>
      <xdr:colOff>54429</xdr:colOff>
      <xdr:row>36</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0</xdr:colOff>
      <xdr:row>6</xdr:row>
      <xdr:rowOff>0</xdr:rowOff>
    </xdr:from>
    <xdr:to>
      <xdr:col>26</xdr:col>
      <xdr:colOff>673570</xdr:colOff>
      <xdr:row>25</xdr:row>
      <xdr:rowOff>122491</xdr:rowOff>
    </xdr:to>
    <xdr:pic>
      <xdr:nvPicPr>
        <xdr:cNvPr id="4" name="Picture 3" descr="Hybrid Cloud Market">
          <a:extLst>
            <a:ext uri="{FF2B5EF4-FFF2-40B4-BE49-F238E27FC236}">
              <a16:creationId xmlns:a16="http://schemas.microsoft.com/office/drawing/2014/main" id="{7340B4AC-FE3C-4858-9AB7-1A38860914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424073" y="1025236"/>
          <a:ext cx="6409352" cy="4170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631737</xdr:colOff>
      <xdr:row>101</xdr:row>
      <xdr:rowOff>117205</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3</xdr:col>
      <xdr:colOff>228600</xdr:colOff>
      <xdr:row>16</xdr:row>
      <xdr:rowOff>65314</xdr:rowOff>
    </xdr:from>
    <xdr:to>
      <xdr:col>11</xdr:col>
      <xdr:colOff>674006</xdr:colOff>
      <xdr:row>30</xdr:row>
      <xdr:rowOff>133992</xdr:rowOff>
    </xdr:to>
    <xdr:graphicFrame macro="">
      <xdr:nvGraphicFramePr>
        <xdr:cNvPr id="3"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293370</xdr:colOff>
      <xdr:row>4</xdr:row>
      <xdr:rowOff>64771</xdr:rowOff>
    </xdr:from>
    <xdr:to>
      <xdr:col>20</xdr:col>
      <xdr:colOff>831140</xdr:colOff>
      <xdr:row>13</xdr:row>
      <xdr:rowOff>19275</xdr:rowOff>
    </xdr:to>
    <xdr:pic>
      <xdr:nvPicPr>
        <xdr:cNvPr id="4" name="Imagem 3">
          <a:extLst>
            <a:ext uri="{FF2B5EF4-FFF2-40B4-BE49-F238E27FC236}">
              <a16:creationId xmlns:a16="http://schemas.microsoft.com/office/drawing/2014/main" id="{A89E77AA-5D38-8993-9180-82FB19A1C49D}"/>
            </a:ext>
            <a:ext uri="{147F2762-F138-4A5C-976F-8EAC2B608ADB}">
              <a16:predDERef xmlns:a16="http://schemas.microsoft.com/office/drawing/2014/main" pred="{F3638278-5944-4261-813D-C5BE2FF7B09C}"/>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10034" b="48920"/>
        <a:stretch/>
      </xdr:blipFill>
      <xdr:spPr>
        <a:xfrm>
          <a:off x="13675995" y="874396"/>
          <a:ext cx="7014770" cy="18404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10</xdr:row>
      <xdr:rowOff>9525</xdr:rowOff>
    </xdr:from>
    <xdr:to>
      <xdr:col>11</xdr:col>
      <xdr:colOff>142875</xdr:colOff>
      <xdr:row>32</xdr:row>
      <xdr:rowOff>86783</xdr:rowOff>
    </xdr:to>
    <xdr:pic>
      <xdr:nvPicPr>
        <xdr:cNvPr id="2" name="Picture 1" descr="Hybrid Cloud Market">
          <a:extLst>
            <a:ext uri="{FF2B5EF4-FFF2-40B4-BE49-F238E27FC236}">
              <a16:creationId xmlns:a16="http://schemas.microsoft.com/office/drawing/2014/main" id="{CDA05223-76DE-4A1F-D3B9-02269663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57575" y="1914525"/>
          <a:ext cx="6296025" cy="406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402167</xdr:colOff>
      <xdr:row>10</xdr:row>
      <xdr:rowOff>10584</xdr:rowOff>
    </xdr:from>
    <xdr:to>
      <xdr:col>19</xdr:col>
      <xdr:colOff>630766</xdr:colOff>
      <xdr:row>25</xdr:row>
      <xdr:rowOff>144992</xdr:rowOff>
    </xdr:to>
    <xdr:pic>
      <xdr:nvPicPr>
        <xdr:cNvPr id="3" name="Picture 2" descr="Hybrid Cloud Market Overview1">
          <a:extLst>
            <a:ext uri="{FF2B5EF4-FFF2-40B4-BE49-F238E27FC236}">
              <a16:creationId xmlns:a16="http://schemas.microsoft.com/office/drawing/2014/main" id="{E01B2A97-2E68-B8D1-C97B-6CA0198F7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3000" y="1915584"/>
          <a:ext cx="5731933" cy="284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1990726</xdr:colOff>
      <xdr:row>32</xdr:row>
      <xdr:rowOff>171450</xdr:rowOff>
    </xdr:from>
    <xdr:to>
      <xdr:col>11</xdr:col>
      <xdr:colOff>108754</xdr:colOff>
      <xdr:row>52</xdr:row>
      <xdr:rowOff>19970</xdr:rowOff>
    </xdr:to>
    <xdr:pic>
      <xdr:nvPicPr>
        <xdr:cNvPr id="4" name="Picture 3">
          <a:extLst>
            <a:ext uri="{FF2B5EF4-FFF2-40B4-BE49-F238E27FC236}">
              <a16:creationId xmlns:a16="http://schemas.microsoft.com/office/drawing/2014/main" id="{E82C5530-04F0-2555-7673-EE0B649CC4E2}"/>
            </a:ext>
          </a:extLst>
        </xdr:cNvPr>
        <xdr:cNvPicPr>
          <a:picLocks noChangeAspect="1"/>
        </xdr:cNvPicPr>
      </xdr:nvPicPr>
      <xdr:blipFill>
        <a:blip xmlns:r="http://schemas.openxmlformats.org/officeDocument/2006/relationships" r:embed="rId3"/>
        <a:stretch>
          <a:fillRect/>
        </a:stretch>
      </xdr:blipFill>
      <xdr:spPr>
        <a:xfrm>
          <a:off x="3429001" y="6057900"/>
          <a:ext cx="6290478" cy="3468020"/>
        </a:xfrm>
        <a:prstGeom prst="rect">
          <a:avLst/>
        </a:prstGeom>
      </xdr:spPr>
    </xdr:pic>
    <xdr:clientData/>
  </xdr:twoCellAnchor>
  <xdr:twoCellAnchor>
    <xdr:from>
      <xdr:col>24</xdr:col>
      <xdr:colOff>158750</xdr:colOff>
      <xdr:row>13</xdr:row>
      <xdr:rowOff>73023</xdr:rowOff>
    </xdr:from>
    <xdr:to>
      <xdr:col>30</xdr:col>
      <xdr:colOff>603250</xdr:colOff>
      <xdr:row>28</xdr:row>
      <xdr:rowOff>117473</xdr:rowOff>
    </xdr:to>
    <xdr:graphicFrame macro="">
      <xdr:nvGraphicFramePr>
        <xdr:cNvPr id="45" name="Chart 5">
          <a:extLst>
            <a:ext uri="{FF2B5EF4-FFF2-40B4-BE49-F238E27FC236}">
              <a16:creationId xmlns:a16="http://schemas.microsoft.com/office/drawing/2014/main" id="{BC23C9AF-0512-7B73-A3BB-51D31FD5E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33</xdr:col>
      <xdr:colOff>138489</xdr:colOff>
      <xdr:row>50</xdr:row>
      <xdr:rowOff>98249</xdr:rowOff>
    </xdr:to>
    <xdr:pic>
      <xdr:nvPicPr>
        <xdr:cNvPr id="2" name="Picture 1">
          <a:extLst>
            <a:ext uri="{FF2B5EF4-FFF2-40B4-BE49-F238E27FC236}">
              <a16:creationId xmlns:a16="http://schemas.microsoft.com/office/drawing/2014/main" id="{9D45521B-099B-ADAC-779B-C192646D3DFA}"/>
            </a:ext>
          </a:extLst>
        </xdr:cNvPr>
        <xdr:cNvPicPr>
          <a:picLocks noChangeAspect="1"/>
        </xdr:cNvPicPr>
      </xdr:nvPicPr>
      <xdr:blipFill>
        <a:blip xmlns:r="http://schemas.openxmlformats.org/officeDocument/2006/relationships" r:embed="rId1"/>
        <a:stretch>
          <a:fillRect/>
        </a:stretch>
      </xdr:blipFill>
      <xdr:spPr>
        <a:xfrm>
          <a:off x="17992725" y="857250"/>
          <a:ext cx="9526329" cy="78401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EaGKENylPymKR2vxwyKFWGRGtGNcLXtM8meCLdtsfYI&amp;qlt=95" TargetMode="External"/><Relationship Id="rId2" Type="http://schemas.openxmlformats.org/officeDocument/2006/relationships/hyperlink" Target="https://www.bing.com/images/search?form=xlimg&amp;q=United%20States" TargetMode="External"/><Relationship Id="rId1" Type="http://schemas.openxmlformats.org/officeDocument/2006/relationships/hyperlink" Target="https://www.bing.com/th?id=OSK.08d481ce2e6378c8b3492a5438438208&amp;qlt=95" TargetMode="External"/><Relationship Id="rId6" Type="http://schemas.openxmlformats.org/officeDocument/2006/relationships/hyperlink" Target="https://www.bing.com/images/search?form=xlimg&amp;q=France" TargetMode="External"/><Relationship Id="rId5" Type="http://schemas.openxmlformats.org/officeDocument/2006/relationships/hyperlink" Target="https://www.bing.com/th?id=OSK.IJoB2IAflCzjheZJfaz5mfzEWw5jRcoWEgDQz1yU2Yk&amp;qlt=95" TargetMode="External"/><Relationship Id="rId4" Type="http://schemas.openxmlformats.org/officeDocument/2006/relationships/hyperlink" Target="https://www.bing.com/images/search?form=xlimg&amp;q=Republic%20of%20Irelan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47">
  <a r="4">
    <v t="r">28</v>
    <v t="r">29</v>
    <v t="r">30</v>
    <v t="r">31</v>
  </a>
  <a r="1">
    <v t="s">English language</v>
  </a>
  <a r="55">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a>
  <a r="6">
    <v t="s">Samoa Time Zone</v>
    <v t="s">Atlantic Time Zone</v>
    <v t="s">Central Time Zone</v>
    <v t="s">Alaska Time Zone</v>
    <v t="s">Mountain Time Zone</v>
    <v t="s">Chamorro Time Zone</v>
  </a>
  <a r="3">
    <v t="r">135</v>
    <v t="r">136</v>
    <v t="r">137</v>
  </a>
  <a r="2">
    <v t="s">English language</v>
    <v t="s">Irish language</v>
  </a>
  <a r="26">
    <v t="r">156</v>
    <v t="r">157</v>
    <v t="r">158</v>
    <v t="r">159</v>
    <v t="r">160</v>
    <v t="r">161</v>
    <v t="r">162</v>
    <v t="r">163</v>
    <v t="r">164</v>
    <v t="r">165</v>
    <v t="r">166</v>
    <v t="r">167</v>
    <v t="r">168</v>
    <v t="r">169</v>
    <v t="r">170</v>
    <v t="r">171</v>
    <v t="r">172</v>
    <v t="r">173</v>
    <v t="r">174</v>
    <v t="r">175</v>
    <v t="r">176</v>
    <v t="r">177</v>
    <v t="r">178</v>
    <v t="r">179</v>
    <v t="r">180</v>
    <v t="r">181</v>
  </a>
  <a r="2">
    <v t="s">UTC+00:00</v>
    <v t="s">UTC+01:00</v>
  </a>
  <a r="2">
    <v t="r">212</v>
    <v t="r">213</v>
  </a>
  <a r="1">
    <v t="s">French language</v>
  </a>
  <a r="25">
    <v t="r">232</v>
    <v t="r">233</v>
    <v t="r">234</v>
    <v t="r">235</v>
    <v t="r">236</v>
    <v t="r">237</v>
    <v t="r">238</v>
    <v t="r">239</v>
    <v t="r">240</v>
    <v t="r">241</v>
    <v t="r">242</v>
    <v t="r">243</v>
    <v t="r">244</v>
    <v t="r">245</v>
    <v t="r">246</v>
    <v t="r">247</v>
    <v t="r">248</v>
    <v t="r">249</v>
    <v t="r">250</v>
    <v t="r">251</v>
    <v t="r">252</v>
    <v t="r">253</v>
    <v t="r">254</v>
    <v t="r">255</v>
    <v t="r">256</v>
  </a>
  <a r="1">
    <v t="s">Central European Time</v>
  </a>
  <a r="1">
    <v t="i">0</v>
  </a>
  <a r="1">
    <v>21.47</v>
  </a>
  <a r="1">
    <v>23.52</v>
  </a>
  <a r="1">
    <v>24.43</v>
  </a>
  <a r="1">
    <v>134.04</v>
  </a>
  <a r="1">
    <v>137.62</v>
  </a>
  <a r="1">
    <v>133.66</v>
  </a>
  <a r="1">
    <v>113.67</v>
  </a>
  <a r="1">
    <v>160.44</v>
  </a>
  <a r="1">
    <v>219.83</v>
  </a>
  <a r="1">
    <v>125.88</v>
  </a>
  <a r="1">
    <v>139.78</v>
  </a>
  <a r="1">
    <v>133.35</v>
  </a>
  <a r="1">
    <v>160.51</v>
  </a>
  <a r="1">
    <v>166.6</v>
  </a>
  <a r="1">
    <v>141.06</v>
  </a>
  <a r="1">
    <v>153.41999999999999</v>
  </a>
  <a r="1">
    <v>163.55000000000001</v>
  </a>
  <a r="1">
    <v>123.8</v>
  </a>
  <a r="1">
    <v>219.94</v>
  </a>
  <a r="1">
    <v>288.37</v>
  </a>
  <a r="1">
    <v>248.53</v>
  </a>
  <a r="1">
    <v>348.82</v>
  </a>
  <a r="1">
    <v>254.95</v>
  </a>
  <a r="1">
    <v>418.58</v>
  </a>
  <a r="1">
    <v>166.03</v>
  </a>
  <a r="1">
    <v>286.14</v>
  </a>
  <a r="1">
    <v>232.8</v>
  </a>
  <a r="1">
    <v>159.88990000000001</v>
  </a>
  <a r="1">
    <v>147.01</v>
  </a>
  <a r="1">
    <v>43.1</v>
  </a>
  <a r="1">
    <v>73.28</v>
  </a>
  <a r="1">
    <v>41.8</v>
  </a>
  <a r="1">
    <v>20</v>
  </a>
  <a r="1">
    <v>40.06</v>
  </a>
</arrayData>
</file>

<file path=xl/richData/rdrichvalue.xml><?xml version="1.0" encoding="utf-8"?>
<rvData xmlns="http://schemas.microsoft.com/office/spreadsheetml/2017/richdata" count="323">
  <rv s="0">
    <v>http://en.wikipedia.org/wiki/Public_domain</v>
    <v>Public domain</v>
  </rv>
  <rv s="0">
    <v>http://en.wikipedia.org/wiki/IBM</v>
    <v>Wikipedia</v>
  </rv>
  <rv s="1">
    <v>0</v>
    <v>1</v>
  </rv>
  <rv s="2">
    <v>7</v>
    <v>https://www.bing.com/th?id=AMMS_41da901be1b295dc42c72dadb9c0f67d&amp;qlt=95</v>
    <v>2</v>
    <v>0</v>
    <v>https://www.bing.com/images/search?form=xlimg&amp;q=ibm</v>
    <v>Image of INTERNATIONAL BUSINESS MACHINES CORPORATION</v>
  </rv>
  <rv s="0">
    <v>https://www.bing.com/financeapi/forcetrigger?t=a1v6nm&amp;q=XNYS%3aIBM&amp;form=skydnc</v>
    <v>Learn more on Bing</v>
  </rv>
  <rv s="3">
    <v>pt-BR</v>
    <v>a1v6nm</v>
    <v>268435456</v>
    <v>1</v>
    <v>Da plataforma Refinitiv</v>
    <v>0</v>
    <v>1</v>
    <v>INTERNATIONAL BUSINESS MACHINES CORPORATION (XNYS:IBM)</v>
    <v>4</v>
    <v>5</v>
    <v>Finance</v>
    <v>6</v>
    <v>296.16000000000003</v>
    <v>203.51</v>
    <v>XNYS</v>
    <v>931519200</v>
    <v>2.7740000000000002E-4</v>
    <v>0.08</v>
    <v>293.32</v>
    <v>1911</v>
    <v>287.3</v>
    <v>0.6925</v>
    <v>New York Stock Exchange</v>
    <v>268622200000</v>
    <v>A International Business Machines Corporation está empenhada em abordar a oportunidade de nuvem híbrida e inteligência artificial (IA) com uma abordagem centrada na plataforma, focada em fornecer valor ao cliente por meio de uma combinação de tecnologia e especialização em negócios. Seus segmentos incluem Software, Consultoria, Infraestrutura e Financiamento. Seu segmento de software compreende duas áreas de negócios: Plataforma híbrida e soluções, que inclui software para ajudar os clientes a operar, gerenciar e otimizar seus RECURSOS DE TI e processos de negócios em ambientes híbridos e multinuvem e processamento de transações, que inclui software que suporta cargas de trabalho locais e de missão crítica do cliente em setores como bancos, companhias aéreas e varejo. O segmento de consultoria está envolvido na transformação de negócios, consultoria tecnológica e operações de aplicação. O segmento de infraestrutura está envolvido em infraestrutura híbrida e suporte à infraestrutura. O segmento de financiamento está envolvido em financiamento de clientes e financiamento comercial.</v>
    <v>XNYS</v>
    <v>286.72000000000003</v>
    <v>293400</v>
    <v>45933.99984582109</v>
    <v>3</v>
    <v>4</v>
    <v>4970750</v>
    <v>USD</v>
    <v>INTERNATIONAL BUSINESS MACHINES CORPORATION</v>
    <v>INTERNATIONAL BUSINESS MACHINES CORPORATION</v>
    <v>46.411700000000003</v>
    <v>287.5</v>
    <v>288.37</v>
    <v>288.45</v>
    <v>One New Orchard Road, ARMONK, NY, 10504 US</v>
    <v>Software &amp; IT Services</v>
    <v>IBM</v>
    <v>Ações</v>
    <v>INTERNATIONAL BUSINESS MACHINES CORPORATION (XNYS:IBM)</v>
    <v>1.65</v>
    <v>5.7549999999999997E-3</v>
    <v>4375082</v>
  </rv>
  <rv s="4">
    <v>5</v>
  </rv>
  <rv s="5">
    <v>536870912</v>
    <v>United States</v>
    <v>5232ed96-85b1-2edb-12c6-63e6c597a1de</v>
    <v>en-GB</v>
    <v>Map</v>
  </rv>
  <rv s="6">
    <fb>0.44369067999501505</fb>
    <v>30</v>
  </rv>
  <rv s="6">
    <fb>9826675</fb>
    <v>31</v>
  </rv>
  <rv s="6">
    <fb>1359000</fb>
    <v>31</v>
  </rv>
  <rv s="6">
    <fb>11.6</fb>
    <v>32</v>
  </rv>
  <rv s="6">
    <fb>1</fb>
    <v>33</v>
  </rv>
  <rv s="5">
    <v>536870912</v>
    <v>Washington, D.C.</v>
    <v>216726d1-8987-06d3-5eff-823da05c3d3c</v>
    <v>en-GB</v>
    <v>Map</v>
  </rv>
  <rv s="6">
    <fb>5006302.0769999996</fb>
    <v>31</v>
  </rv>
  <rv s="6">
    <fb>117.244195476228</fb>
    <v>34</v>
  </rv>
  <rv s="6">
    <fb>7.4999999999999997E-2</fb>
    <v>30</v>
  </rv>
  <rv s="6">
    <fb>12993.961824772699</fb>
    <v>31</v>
  </rv>
  <rv s="6">
    <fb>1.7295</fb>
    <v>32</v>
  </rv>
  <rv s="6">
    <fb>0.339297856663409</fb>
    <v>30</v>
  </rv>
  <rv s="6">
    <fb>82.427828245269197</fb>
    <v>35</v>
  </rv>
  <rv s="6">
    <fb>0.71</fb>
    <v>36</v>
  </rv>
  <rv s="6">
    <fb>21427700000000</fb>
    <v>37</v>
  </rv>
  <rv s="6">
    <fb>1.0182144</fb>
    <v>30</v>
  </rv>
  <rv s="6">
    <fb>0.88167390000000001</fb>
    <v>30</v>
  </rv>
  <rv s="7">
    <v>0</v>
    <v>28</v>
    <v>10</v>
    <v>7</v>
    <v>0</v>
    <v>Image of United States</v>
  </rv>
  <rv s="6">
    <fb>5.6</fb>
    <v>35</v>
  </rv>
  <rv s="5">
    <v>536870912</v>
    <v>New York City</v>
    <v>60d5dc2b-c915-460b-b722-c9e3485499ca</v>
    <v>en-GB</v>
    <v>Map</v>
  </rv>
  <rv s="5">
    <v>805306368</v>
    <v>Donald Trump (President)</v>
    <v>1a466af2-ed23-25bd-794d-1ca925e4681b</v>
    <v>en-GB</v>
    <v>Generic</v>
  </rv>
  <rv s="5">
    <v>805306368</v>
    <v>JD Vance (Vice president)</v>
    <v>cf52f4b6-e15c-553b-c991-5fd07410b914</v>
    <v>en-GB</v>
    <v>Generic</v>
  </rv>
  <rv s="5">
    <v>805306368</v>
    <v>Mike Johnson (Speaker)</v>
    <v>0cdd8beb-6fa0-b09e-350a-8a9eef364ec7</v>
    <v>en-GB</v>
    <v>Generic</v>
  </rv>
  <rv s="5">
    <v>805306368</v>
    <v>John Roberts (Chief justice)</v>
    <v>af7f7f4b-fd5b-867d-e108-4b6ecf118076</v>
    <v>en-GB</v>
    <v>Generic</v>
  </rv>
  <rv s="8">
    <v>0</v>
  </rv>
  <rv s="0">
    <v>https://www.bing.com/search?q=united+states&amp;form=skydnc</v>
    <v>Learn more on Bing</v>
  </rv>
  <rv s="6">
    <fb>78.539024390243895</fb>
    <v>35</v>
  </rv>
  <rv s="6">
    <fb>30436313050000</fb>
    <v>37</v>
  </rv>
  <rv s="6">
    <fb>19</fb>
    <v>35</v>
  </rv>
  <rv s="6">
    <fb>7.25</fb>
    <v>36</v>
  </rv>
  <rv s="8">
    <v>1</v>
  </rv>
  <rv s="6">
    <fb>0.1108387988</fb>
    <v>30</v>
  </rv>
  <rv s="6">
    <fb>2.6120000000000001</fb>
    <v>32</v>
  </rv>
  <rv s="6">
    <fb>333287557</fb>
    <v>31</v>
  </rv>
  <rv s="6">
    <fb>0.22600000000000001</fb>
    <v>30</v>
  </rv>
  <rv s="6">
    <fb>0.30499999999999999</fb>
    <v>30</v>
  </rv>
  <rv s="6">
    <fb>0.46799999999999997</fb>
    <v>30</v>
  </rv>
  <rv s="6">
    <fb>1.7000000000000001E-2</fb>
    <v>30</v>
  </rv>
  <rv s="6">
    <fb>5.0999999999999997E-2</fb>
    <v>30</v>
  </rv>
  <rv s="6">
    <fb>0.10300000000000001</fb>
    <v>30</v>
  </rv>
  <rv s="6">
    <fb>0.153</fb>
    <v>30</v>
  </rv>
  <rv s="6">
    <fb>0.62048999786377002</fb>
    <v>30</v>
  </rv>
  <rv s="5">
    <v>536870912</v>
    <v>Alabama</v>
    <v>376f8b06-52f6-4e72-a31d-311a3563e645</v>
    <v>en-GB</v>
    <v>Map</v>
  </rv>
  <rv s="5">
    <v>536870912</v>
    <v>Alaska</v>
    <v>31c4c7a1-54e7-4306-ac9b-f1b02e85bda5</v>
    <v>en-GB</v>
    <v>Map</v>
  </rv>
  <rv s="5">
    <v>536870912</v>
    <v>Arizona</v>
    <v>bf973f46-5962-4997-a7ba-a05f1aa2a9f9</v>
    <v>en-GB</v>
    <v>Map</v>
  </rv>
  <rv s="5">
    <v>536870912</v>
    <v>Arkansas</v>
    <v>b939db72-08f2-4ea6-a16a-a53bf32e6612</v>
    <v>en-GB</v>
    <v>Map</v>
  </rv>
  <rv s="5">
    <v>536870912</v>
    <v>California</v>
    <v>3009d91d-d582-4c34-85ba-772ba09e5be1</v>
    <v>en-GB</v>
    <v>Map</v>
  </rv>
  <rv s="5">
    <v>536870912</v>
    <v>Colorado</v>
    <v>a070c5c2-b22d-41d8-b869-f20e583c4f80</v>
    <v>en-GB</v>
    <v>Map</v>
  </rv>
  <rv s="5">
    <v>536870912</v>
    <v>Connecticut</v>
    <v>b3ca6523-435e-4a3b-8f78-1ad900a52cf8</v>
    <v>en-GB</v>
    <v>Map</v>
  </rv>
  <rv s="5">
    <v>536870912</v>
    <v>Delaware</v>
    <v>8ad617cc-3d7a-4b3c-a787-098de959ccc4</v>
    <v>en-GB</v>
    <v>Map</v>
  </rv>
  <rv s="5">
    <v>536870912</v>
    <v>Florida</v>
    <v>5fece3f4-e8e8-4159-843e-f725a930ad50</v>
    <v>en-GB</v>
    <v>Map</v>
  </rv>
  <rv s="5">
    <v>536870912</v>
    <v>Georgia</v>
    <v>84604bc7-2c47-4f8d-8ea5-b6ac8c018a20</v>
    <v>en-GB</v>
    <v>Map</v>
  </rv>
  <rv s="5">
    <v>536870912</v>
    <v>Hawaii</v>
    <v>b6f01eaf-aecf-44f6-b64d-1f6e982365c3</v>
    <v>en-GB</v>
    <v>Map</v>
  </rv>
  <rv s="5">
    <v>536870912</v>
    <v>Idaho</v>
    <v>ecd30387-20fa-4523-9045-e2860154b5e9</v>
    <v>en-GB</v>
    <v>Map</v>
  </rv>
  <rv s="5">
    <v>536870912</v>
    <v>Illinois</v>
    <v>4131acb8-628a-4241-8920-ca79eab9dade</v>
    <v>en-GB</v>
    <v>Map</v>
  </rv>
  <rv s="5">
    <v>536870912</v>
    <v>Indiana</v>
    <v>109f7e5a-efbb-4953-b4b8-cb812ce1ff5d</v>
    <v>en-GB</v>
    <v>Map</v>
  </rv>
  <rv s="5">
    <v>536870912</v>
    <v>Iowa</v>
    <v>77850824-b07a-487a-af58-37f9949afc27</v>
    <v>en-GB</v>
    <v>Map</v>
  </rv>
  <rv s="5">
    <v>536870912</v>
    <v>Kansas</v>
    <v>6e527b71-bd3e-4bc1-b1c0-59d288b4fd5e</v>
    <v>en-GB</v>
    <v>Map</v>
  </rv>
  <rv s="5">
    <v>536870912</v>
    <v>Kentucky</v>
    <v>108dfd18-4626-481a-8dfa-18f64e6eac84</v>
    <v>en-GB</v>
    <v>Map</v>
  </rv>
  <rv s="5">
    <v>536870912</v>
    <v>Louisiana</v>
    <v>0ca1e87f-e2f6-43fb-8deb-d22bd09a9cae</v>
    <v>en-GB</v>
    <v>Map</v>
  </rv>
  <rv s="5">
    <v>536870912</v>
    <v>Maine</v>
    <v>d62dd683-9cf9-4db9-a497-d810d529592b</v>
    <v>en-GB</v>
    <v>Map</v>
  </rv>
  <rv s="5">
    <v>536870912</v>
    <v>Maryland</v>
    <v>4c472f4d-06a8-4d90-8bb8-da4d168c73fe</v>
    <v>en-GB</v>
    <v>Map</v>
  </rv>
  <rv s="5">
    <v>536870912</v>
    <v>Massachusetts</v>
    <v>845219d5-3650-4199-b926-964ca27c863c</v>
    <v>en-GB</v>
    <v>Map</v>
  </rv>
  <rv s="5">
    <v>536870912</v>
    <v>Michigan</v>
    <v>162411c2-b757-495d-aa81-93942fae2f7e</v>
    <v>en-GB</v>
    <v>Map</v>
  </rv>
  <rv s="5">
    <v>536870912</v>
    <v>Minnesota</v>
    <v>77f97f6f-7e93-46e5-b486-6198effe8dea</v>
    <v>en-GB</v>
    <v>Map</v>
  </rv>
  <rv s="5">
    <v>536870912</v>
    <v>Mississippi</v>
    <v>6af619ca-217d-49c0-9a86-153fc7fbcd78</v>
    <v>en-GB</v>
    <v>Map</v>
  </rv>
  <rv s="5">
    <v>536870912</v>
    <v>Missouri</v>
    <v>6185f8cb-44e1-4da6-9bf0-b75286aeb591</v>
    <v>en-GB</v>
    <v>Map</v>
  </rv>
  <rv s="5">
    <v>536870912</v>
    <v>Montana</v>
    <v>447d6cd5-53f6-4c8f-bf6c-9ff228415c3b</v>
    <v>en-GB</v>
    <v>Map</v>
  </rv>
  <rv s="5">
    <v>536870912</v>
    <v>Nebraska</v>
    <v>3e64ff5d-6b40-4dbe-91b1-0e554e892496</v>
    <v>en-GB</v>
    <v>Map</v>
  </rv>
  <rv s="5">
    <v>536870912</v>
    <v>Nevada</v>
    <v>c2157d7e-617e-4517-80f8-1b08113afc14</v>
    <v>en-GB</v>
    <v>Map</v>
  </rv>
  <rv s="5">
    <v>536870912</v>
    <v>New Hampshire</v>
    <v>9ca71997-cc97-46eb-8911-fac32f80b0b1</v>
    <v>en-GB</v>
    <v>Map</v>
  </rv>
  <rv s="5">
    <v>536870912</v>
    <v>New Jersey</v>
    <v>05277898-b62b-4878-8632-09d29756a2ff</v>
    <v>en-GB</v>
    <v>Map</v>
  </rv>
  <rv s="5">
    <v>536870912</v>
    <v>New Mexico</v>
    <v>a16d3636-4349-41c7-a77e-89e34b26a8ad</v>
    <v>en-GB</v>
    <v>Map</v>
  </rv>
  <rv s="5">
    <v>536870912</v>
    <v>New York</v>
    <v>caeb7b9a-f5d7-4686-8fb5-cf7628296b13</v>
    <v>en-GB</v>
    <v>Map</v>
  </rv>
  <rv s="5">
    <v>536870912</v>
    <v>North Dakota</v>
    <v>77fbc744-3efe-4aa9-9e8e-f8034f06b941</v>
    <v>en-GB</v>
    <v>Map</v>
  </rv>
  <rv s="5">
    <v>536870912</v>
    <v>North Carolina</v>
    <v>9e2bf053-dd80-4646-8f26-65075e7085c0</v>
    <v>en-GB</v>
    <v>Map</v>
  </rv>
  <rv s="5">
    <v>536870912</v>
    <v>Ohio</v>
    <v>6f3df7da-1ef6-48e3-b2b3-b5b5fce3e846</v>
    <v>en-GB</v>
    <v>Map</v>
  </rv>
  <rv s="5">
    <v>536870912</v>
    <v>Oklahoma</v>
    <v>cbcf556f-952a-4665-bb95-0500b27f9976</v>
    <v>en-GB</v>
    <v>Map</v>
  </rv>
  <rv s="5">
    <v>536870912</v>
    <v>Oregon</v>
    <v>cacd36fd-7c62-43e2-a632-64a2a1811933</v>
    <v>en-GB</v>
    <v>Map</v>
  </rv>
  <rv s="5">
    <v>536870912</v>
    <v>Pennsylvania</v>
    <v>6304580e-c803-4266-818a-971619176547</v>
    <v>en-GB</v>
    <v>Map</v>
  </rv>
  <rv s="5">
    <v>536870912</v>
    <v>Rhode Island</v>
    <v>65a08f52-b469-4f7c-8353-9b3c0b2a5752</v>
    <v>en-GB</v>
    <v>Map</v>
  </rv>
  <rv s="5">
    <v>536870912</v>
    <v>South Dakota</v>
    <v>9cee0b65-d357-479e-a066-31c634648f47</v>
    <v>en-GB</v>
    <v>Map</v>
  </rv>
  <rv s="5">
    <v>536870912</v>
    <v>South Carolina</v>
    <v>810015e8-b10b-4232-9e2c-de87a67bd26e</v>
    <v>en-GB</v>
    <v>Map</v>
  </rv>
  <rv s="5">
    <v>536870912</v>
    <v>Tennessee</v>
    <v>9bbc9c72-1bf1-4ef6-b66d-a6cdef70f4f3</v>
    <v>en-GB</v>
    <v>Map</v>
  </rv>
  <rv s="5">
    <v>536870912</v>
    <v>Texas</v>
    <v>00a23ccd-3344-461c-8b9f-c2bb55be5815</v>
    <v>en-GB</v>
    <v>Map</v>
  </rv>
  <rv s="5">
    <v>536870912</v>
    <v>Utah</v>
    <v>c6705e44-d27f-4240-95a2-54e802e3b524</v>
    <v>en-GB</v>
    <v>Map</v>
  </rv>
  <rv s="5">
    <v>536870912</v>
    <v>Vermont</v>
    <v>221864cc-447e-4e78-847c-59e485d73bff</v>
    <v>en-GB</v>
    <v>Map</v>
  </rv>
  <rv s="5">
    <v>536870912</v>
    <v>Virginia</v>
    <v>7eee9976-e8a7-472c-ada1-007208abd678</v>
    <v>en-GB</v>
    <v>Map</v>
  </rv>
  <rv s="5">
    <v>536870912</v>
    <v>Washington</v>
    <v>982ad551-fd5d-45df-bd70-bf704dd576e4</v>
    <v>en-GB</v>
    <v>Map</v>
  </rv>
  <rv s="5">
    <v>536870912</v>
    <v>West Virginia</v>
    <v>8a47255a-fae3-4faa-aa32-c6f384cb6c1d</v>
    <v>en-GB</v>
    <v>Map</v>
  </rv>
  <rv s="5">
    <v>536870912</v>
    <v>Wisconsin</v>
    <v>cb4d2853-06f4-4467-8e7c-4e31cbb35cb2</v>
    <v>en-GB</v>
    <v>Map</v>
  </rv>
  <rv s="5">
    <v>536870912</v>
    <v>Wyoming</v>
    <v>bff03ad6-2b7f-400b-a76e-eb9fc4a93961</v>
    <v>en-GB</v>
    <v>Map</v>
  </rv>
  <rv s="5">
    <v>536870912</v>
    <v>American Samoa</v>
    <v>12d04d63-b9b5-855b-0821-b32474a729a4</v>
    <v>en-GB</v>
    <v>Map</v>
  </rv>
  <rv s="5">
    <v>536870912</v>
    <v>United States Virgin Islands</v>
    <v>38bd827b-bc00-140e-85be-46a96078429c</v>
    <v>en-GB</v>
    <v>Map</v>
  </rv>
  <rv s="5">
    <v>536870912</v>
    <v>Guam</v>
    <v>f842c067-b461-3084-6a3b-6c6c7431fc9a</v>
    <v>en-GB</v>
    <v>Map</v>
  </rv>
  <rv s="5">
    <v>536870912</v>
    <v>Northern Mariana Islands</v>
    <v>f4475436-adda-9ff0-b5fe-6c3dff0e26be</v>
    <v>en-GB</v>
    <v>Map</v>
  </rv>
  <rv s="5">
    <v>536870912</v>
    <v>Puerto Rico</v>
    <v>72752f4d-11d3-5470-b64e-b9e012b0520f</v>
    <v>en-GB</v>
    <v>Map</v>
  </rv>
  <rv s="8">
    <v>2</v>
  </rv>
  <rv s="6">
    <fb>9.5866513904898809E-2</fb>
    <v>30</v>
  </rv>
  <rv s="8">
    <v>3</v>
  </rv>
  <rv s="6">
    <fb>0.36599999999999999</fb>
    <v>30</v>
  </rv>
  <rv s="6">
    <fb>0.14699999999999999</fb>
    <v>38</v>
  </rv>
  <rv s="6">
    <fb>270663028</fb>
    <v>31</v>
  </rv>
  <rv s="9">
    <v>#VALUE!</v>
    <v>en-GB</v>
    <v>5232ed96-85b1-2edb-12c6-63e6c597a1de</v>
    <v>536870912</v>
    <v>1</v>
    <v>24</v>
    <v>25</v>
    <v>United States</v>
    <v>26</v>
    <v>27</v>
    <v>Map</v>
    <v>28</v>
    <v>29</v>
    <v>US</v>
    <v>8</v>
    <v>9</v>
    <v>10</v>
    <v>11</v>
    <v>12</v>
    <v>13</v>
    <v>14</v>
    <v>15</v>
    <v>16</v>
    <v>USD</v>
    <v>The United States of America, also known as the United States or America, is a country primarily located in North America. It is a federal republic of 50 states and Washington, D.C. as its federal capital district. The 48 contiguous states ...</v>
    <v>17</v>
    <v>18</v>
    <v>19</v>
    <v>20</v>
    <v>21</v>
    <v>22</v>
    <v>23</v>
    <v>24</v>
    <v>25</v>
    <v>26</v>
    <v>27</v>
    <v>32</v>
    <v>33</v>
    <v>34</v>
    <v>35</v>
    <v>36</v>
    <v>37</v>
    <v>United States</v>
    <v>The Star-Spangled Banner</v>
    <v>38</v>
    <v>the United States of America</v>
    <v>39</v>
    <v>40</v>
    <v>41</v>
    <v>42</v>
    <v>43</v>
    <v>44</v>
    <v>45</v>
    <v>46</v>
    <v>47</v>
    <v>48</v>
    <v>49</v>
    <v>105</v>
    <v>106</v>
    <v>107</v>
    <v>108</v>
    <v>109</v>
    <v>United States</v>
    <v>110</v>
    <v>mdp/vdpid/244</v>
  </rv>
  <rv s="0">
    <v>https://www.bing.com/financeapi/forcetrigger?t=a1mthw&amp;q=XNYS%3aACN&amp;form=skydnc</v>
    <v>Learn more on Bing</v>
  </rv>
  <rv s="10">
    <v>pt-BR</v>
    <v>a1mthw</v>
    <v>268435456</v>
    <v>1</v>
    <v>Da plataforma Refinitiv</v>
    <v>39</v>
    <v>40</v>
    <v>ACCENTURE PUBLIC LIMITED COMPANY (XNYS:ACN)</v>
    <v>41</v>
    <v>42</v>
    <v>Finance</v>
    <v>6</v>
    <v>398.35</v>
    <v>229.40010000000001</v>
    <v>XNYS</v>
    <v>622852700</v>
    <v>-4.0759999999999996E-5</v>
    <v>-0.01</v>
    <v>246.46</v>
    <v>2009</v>
    <v>242.66</v>
    <v>1.2809999999999999</v>
    <v>New York Stock Exchange</v>
    <v>152798200000</v>
    <v>Accenture plc é uma empresa global de serviços profissionais. Está envolvida no fornecimento de uma gama de serviços e soluções em estratégia e consultoria, tecnologia, operações, Indústria X e Song. Seus serviços incluem serviços de aplicação, inteligência artificial, automação, terceirização de processos de negócios, estratégia de negócios, gerenciamento de mudanças, nuvem, experiência do cliente, dados e análises, parceiros de ecossistema, consultoria financeira, Indústria X, infraestrutura, marketing, fusões e aquisições, modelos operacionais, segurança, gestão da cadeia de suprimentos, sustentabilidade, consultoria de tecnologia, inovação tecnológica e orçamento baseado em zero (ZBB). É especializada na plataforma de tecnologia empresarial SAP que projeta produtos e experiências digitais para clientes empresariais, incluindo portais personalizados e soluções Web e aplicativos móveis. Fornece aos clientes serviços de gestão de riscos e conformidade quantitativos e qualitativos. É especializada em consultoria, serviços de gestão e segurança cibernética.</v>
    <v>XNYS</v>
    <v>244.34</v>
    <v>774000</v>
    <v>45933.99600041641</v>
    <v>112</v>
    <v>5779537</v>
    <v>USD</v>
    <v>ACCENTURE PUBLIC LIMITED COMPANY</v>
    <v>ACCENTURE PUBLIC LIMITED COMPANY</v>
    <v>20.1112</v>
    <v>244.88</v>
    <v>245.32</v>
    <v>245.31</v>
    <v>1 Grand Canal Square, Grand Canal Harbour, Dublin 2, DUBLIN, DUBLIN IE</v>
    <v>Software &amp; IT Services</v>
    <v>ACN</v>
    <v>Ações</v>
    <v>ACCENTURE PUBLIC LIMITED COMPANY (XNYS:ACN)</v>
    <v>0.98</v>
    <v>4.0109999999999998E-3</v>
    <v>3383997</v>
  </rv>
  <rv s="4">
    <v>113</v>
  </rv>
  <rv s="5">
    <v>536870912</v>
    <v>Republic of Ireland</v>
    <v>77f28672-5669-4775-a58a-b62b17779010</v>
    <v>en-GB</v>
    <v>Map</v>
  </rv>
  <rv s="6">
    <fb>0.64537668747278298</fb>
    <v>30</v>
  </rv>
  <rv s="6">
    <fb>69797</fb>
    <v>31</v>
  </rv>
  <rv s="6">
    <fb>9000</fb>
    <v>31</v>
  </rv>
  <rv s="6">
    <fb>12.5</fb>
    <v>32</v>
  </rv>
  <rv s="6">
    <fb>353</fb>
    <v>33</v>
  </rv>
  <rv s="5">
    <v>536870912</v>
    <v>Dublin</v>
    <v>7e7d2832-97c8-afa4-d282-865c20a549c9</v>
    <v>en-GB</v>
    <v>Map</v>
  </rv>
  <rv s="6">
    <fb>37711.428</fb>
    <v>31</v>
  </rv>
  <rv s="6">
    <fb>106.584326346003</fb>
    <v>34</v>
  </rv>
  <rv s="6">
    <fb>9.3904448105434097E-3</fb>
    <v>30</v>
  </rv>
  <rv s="6">
    <fb>5672.0641341079599</fb>
    <v>31</v>
  </rv>
  <rv s="6">
    <fb>1.75</fb>
    <v>32</v>
  </rv>
  <rv s="6">
    <fb>0.110277255364644</fb>
    <v>30</v>
  </rv>
  <rv s="6">
    <fb>85.342819766444293</fb>
    <v>35</v>
  </rv>
  <rv s="6">
    <fb>1.37</fb>
    <v>36</v>
  </rv>
  <rv s="6">
    <fb>388698711348.15601</fb>
    <v>37</v>
  </rv>
  <rv s="6">
    <fb>1.0085278</fb>
    <v>30</v>
  </rv>
  <rv s="6">
    <fb>0.7778062</fb>
    <v>30</v>
  </rv>
  <rv s="7">
    <v>1</v>
    <v>28</v>
    <v>44</v>
    <v>7</v>
    <v>0</v>
    <v>Image of Republic of Ireland</v>
  </rv>
  <rv s="6">
    <fb>3.1</fb>
    <v>35</v>
  </rv>
  <rv s="5">
    <v>805306368</v>
    <v>Michael D. Higgins (President)</v>
    <v>66da4ccd-5e5c-25af-1ee8-8bc26bc581fe</v>
    <v>en-GB</v>
    <v>Generic</v>
  </rv>
  <rv s="5">
    <v>805306368</v>
    <v>Micheál Martin (Taoiseach)</v>
    <v>d1e155ab-47ab-8ddd-669d-6583e3acba47</v>
    <v>en-GB</v>
    <v>Generic</v>
  </rv>
  <rv s="5">
    <v>805306368</v>
    <v>Donal O'Donnell (Chief justice)</v>
    <v>e19e8bb7-3a15-4389-9ca9-f25cb75bc3b7</v>
    <v>en-GB</v>
    <v>Generic</v>
  </rv>
  <rv s="8">
    <v>4</v>
  </rv>
  <rv s="0">
    <v>https://www.bing.com/search?q=republic+of+ireland&amp;form=skydnc</v>
    <v>Learn more on Bing</v>
  </rv>
  <rv s="6">
    <fb>82.256097560975604</fb>
    <v>35</v>
  </rv>
  <rv s="6">
    <fb>110154370000</fb>
    <v>37</v>
  </rv>
  <rv s="6">
    <fb>5</fb>
    <v>35</v>
  </rv>
  <rv s="6">
    <fb>10.79</fb>
    <v>36</v>
  </rv>
  <rv s="8">
    <v>5</v>
  </rv>
  <rv s="6">
    <fb>0.15164452009999999</fb>
    <v>30</v>
  </rv>
  <rv s="6">
    <fb>3.3125</fb>
    <v>32</v>
  </rv>
  <rv s="6">
    <fb>5086988</fb>
    <v>31</v>
  </rv>
  <rv s="6">
    <fb>0.22</fb>
    <v>30</v>
  </rv>
  <rv s="6">
    <fb>0.25900000000000001</fb>
    <v>30</v>
  </rv>
  <rv s="6">
    <fb>0.41200000000000003</fb>
    <v>30</v>
  </rv>
  <rv s="6">
    <fb>3.1E-2</fb>
    <v>30</v>
  </rv>
  <rv s="6">
    <fb>7.9000000000000001E-2</fb>
    <v>30</v>
  </rv>
  <rv s="6">
    <fb>0.126</fb>
    <v>30</v>
  </rv>
  <rv s="6">
    <fb>0.16300000000000001</fb>
    <v>30</v>
  </rv>
  <rv s="6">
    <fb>0.62067001342773398</fb>
    <v>30</v>
  </rv>
  <rv s="5">
    <v>536870912</v>
    <v>County Cork</v>
    <v>bb6ad608-a731-417f-8fb4-3b29c7a06023</v>
    <v>en-GB</v>
    <v>Map</v>
  </rv>
  <rv s="5">
    <v>536870912</v>
    <v>County Kerry</v>
    <v>e281d492-542b-4c66-83a2-ec093a5cc247</v>
    <v>en-GB</v>
    <v>Map</v>
  </rv>
  <rv s="5">
    <v>536870912</v>
    <v>County Waterford</v>
    <v>a5aedce9-d905-4473-a32e-cd606469c5aa</v>
    <v>en-GB</v>
    <v>Map</v>
  </rv>
  <rv s="5">
    <v>536870912</v>
    <v>County Wexford</v>
    <v>99e6a13e-c2b2-40d9-b651-20d465421019</v>
    <v>en-GB</v>
    <v>Map</v>
  </rv>
  <rv s="5">
    <v>536870912</v>
    <v>County Galway</v>
    <v>73d9290c-2300-4ebd-98b6-0f77a242e08d</v>
    <v>en-GB</v>
    <v>Map</v>
  </rv>
  <rv s="5">
    <v>536870912</v>
    <v>County Laois</v>
    <v>c781c434-2a24-4f3d-a510-636b54663792</v>
    <v>en-GB</v>
    <v>Map</v>
  </rv>
  <rv s="5">
    <v>536870912</v>
    <v>County Kildare</v>
    <v>de3b8ce7-c7bc-4504-b970-d00c510d4ad6</v>
    <v>en-GB</v>
    <v>Map</v>
  </rv>
  <rv s="5">
    <v>536870912</v>
    <v>County Donegal</v>
    <v>b645d938-5d54-43e6-a821-1b0a55668a19</v>
    <v>en-GB</v>
    <v>Map</v>
  </rv>
  <rv s="5">
    <v>536870912</v>
    <v>County Westmeath</v>
    <v>54d058c5-8802-4485-8280-3d1537c6ff67</v>
    <v>en-GB</v>
    <v>Map</v>
  </rv>
  <rv s="5">
    <v>536870912</v>
    <v>County Leitrim</v>
    <v>5bdfc913-2ad8-446b-b3f9-e2e5bceeeafa</v>
    <v>en-GB</v>
    <v>Map</v>
  </rv>
  <rv s="5">
    <v>536870912</v>
    <v>County Mayo</v>
    <v>66ce3cb4-58f3-4497-b907-d42613782718</v>
    <v>en-GB</v>
    <v>Map</v>
  </rv>
  <rv s="5">
    <v>536870912</v>
    <v>County Roscommon</v>
    <v>b8c54237-085b-4bce-94ae-a61830948221</v>
    <v>en-GB</v>
    <v>Map</v>
  </rv>
  <rv s="5">
    <v>536870912</v>
    <v>County Clare</v>
    <v>085afbf1-6f94-4dcc-b587-444630726c9d</v>
    <v>en-GB</v>
    <v>Map</v>
  </rv>
  <rv s="5">
    <v>536870912</v>
    <v>County Tipperary</v>
    <v>9fc814a7-4b18-a287-d374-0875740a332b</v>
    <v>en-GB</v>
    <v>Map</v>
  </rv>
  <rv s="5">
    <v>536870912</v>
    <v>County Carlow</v>
    <v>344c1010-7d51-b5ad-141b-1b033e5928e0</v>
    <v>en-GB</v>
    <v>Map</v>
  </rv>
  <rv s="5">
    <v>536870912</v>
    <v>County Longford</v>
    <v>b606fd50-b140-461d-8499-0a2f15477c3f</v>
    <v>en-GB</v>
    <v>Map</v>
  </rv>
  <rv s="5">
    <v>536870912</v>
    <v>County Louth</v>
    <v>b3be5d39-0c24-438c-8cc9-4f47b53ee145</v>
    <v>en-GB</v>
    <v>Map</v>
  </rv>
  <rv s="5">
    <v>536870912</v>
    <v>County Offaly</v>
    <v>a2b6e818-7b54-4481-a69c-4b2490dcfe0c</v>
    <v>en-GB</v>
    <v>Map</v>
  </rv>
  <rv s="5">
    <v>536870912</v>
    <v>County Wicklow</v>
    <v>5cd59f89-1103-45a7-b3b9-0e04f5a8806b</v>
    <v>en-GB</v>
    <v>Map</v>
  </rv>
  <rv s="5">
    <v>536870912</v>
    <v>County Cavan</v>
    <v>e04372f9-a714-ff4d-9b13-bd083769ac5c</v>
    <v>en-GB</v>
    <v>Map</v>
  </rv>
  <rv s="5">
    <v>536870912</v>
    <v>County Monaghan</v>
    <v>fc43fd90-de92-49b3-bf37-7c577555fac7</v>
    <v>en-GB</v>
    <v>Map</v>
  </rv>
  <rv s="5">
    <v>536870912</v>
    <v>County Meath</v>
    <v>ff3f7e83-2ccd-4a6f-ac4f-9cfbc30014d6</v>
    <v>en-GB</v>
    <v>Map</v>
  </rv>
  <rv s="5">
    <v>536870912</v>
    <v>County Kilkenny</v>
    <v>1e943eb7-cca5-478d-b38d-39f3df9d3cb1</v>
    <v>en-GB</v>
    <v>Map</v>
  </rv>
  <rv s="5">
    <v>536870912</v>
    <v>County Limerick</v>
    <v>a20328c4-ef10-4fd7-bd04-5fe56806534e</v>
    <v>en-GB</v>
    <v>Map</v>
  </rv>
  <rv s="5">
    <v>536870912</v>
    <v>County Sligo</v>
    <v>f380e360-16e6-4512-b449-7900cf9b1aa7</v>
    <v>en-GB</v>
    <v>Map</v>
  </rv>
  <rv s="5">
    <v>536870912</v>
    <v>Connacht</v>
    <v>ef4b0f22-1de8-46c2-be90-c31bfbcc6a14</v>
    <v>en-GB</v>
    <v>Map</v>
  </rv>
  <rv s="8">
    <v>6</v>
  </rv>
  <rv s="6">
    <fb>0.18262353633181699</fb>
    <v>30</v>
  </rv>
  <rv s="8">
    <v>7</v>
  </rv>
  <rv s="6">
    <fb>0.26100000000000001</fb>
    <v>30</v>
  </rv>
  <rv s="6">
    <fb>4.9279999732971203E-2</fb>
    <v>38</v>
  </rv>
  <rv s="6">
    <fb>3133123</fb>
    <v>31</v>
  </rv>
  <rv s="11">
    <v>#VALUE!</v>
    <v>en-GB</v>
    <v>77f28672-5669-4775-a58a-b62b17779010</v>
    <v>536870912</v>
    <v>1</v>
    <v>47</v>
    <v>48</v>
    <v>Republic of Ireland</v>
    <v>26</v>
    <v>27</v>
    <v>Map</v>
    <v>28</v>
    <v>49</v>
    <v>116</v>
    <v>117</v>
    <v>118</v>
    <v>119</v>
    <v>120</v>
    <v>121</v>
    <v>122</v>
    <v>123</v>
    <v>124</v>
    <v>EUR</v>
    <v>Ireland, also known as the Republic of Ireland, is a country in Northwestern Europe consisting of 26 of the 32 counties of the island of Ireland, with a population of about 5.4 million. Its capital and largest city is Dublin, on the eastern side ...</v>
    <v>125</v>
    <v>126</v>
    <v>127</v>
    <v>128</v>
    <v>129</v>
    <v>130</v>
    <v>131</v>
    <v>132</v>
    <v>133</v>
    <v>134</v>
    <v>121</v>
    <v>138</v>
    <v>139</v>
    <v>140</v>
    <v>141</v>
    <v>142</v>
    <v>143</v>
    <v>Republic of Ireland</v>
    <v>Amhrán na bhFiann</v>
    <v>144</v>
    <v>Ireland</v>
    <v>145</v>
    <v>146</v>
    <v>147</v>
    <v>148</v>
    <v>149</v>
    <v>150</v>
    <v>151</v>
    <v>152</v>
    <v>153</v>
    <v>154</v>
    <v>155</v>
    <v>182</v>
    <v>183</v>
    <v>184</v>
    <v>185</v>
    <v>186</v>
    <v>Republic of Ireland</v>
    <v>187</v>
    <v>mdp/vdpid/68</v>
  </rv>
  <rv s="0">
    <v>https://www.bing.com/financeapi/forcetrigger?t=a2b3m7&amp;q=OTCM%3aCAPMF&amp;form=skydnc</v>
    <v>Learn more on Bing</v>
  </rv>
  <rv s="12">
    <v>pt-BR</v>
    <v>a2b3m7</v>
    <v>268435456</v>
    <v>1</v>
    <v>Da plataforma Refinitiv</v>
    <v>50</v>
    <v>51</v>
    <v>Capgemini (OTCM:CAPMF)</v>
    <v>41</v>
    <v>52</v>
    <v>Finance</v>
    <v>53</v>
    <v>213.15</v>
    <v>128.6</v>
    <v>OTCM</v>
    <v>171347500</v>
    <v>152.44999999999999</v>
    <v>1984</v>
    <v>142.02000000000001</v>
    <v>1.0537000000000001</v>
    <v>OTC Markets</v>
    <v>21392730000</v>
    <v>Capgemini SE is a France-based company specialized in consulting, technology services and digital transformation. It operates through four segments: Application services, Technology and Engineering services, Consulting services and Other Managed services. Application services designs and develops technological solutions and help customers optimize their applications, among others. Technology and Engineering services assists and supports internal information technology (IT) and engineering teams within client companies. Consulting focuses on strategy, technology, data science, and creative design to support customers in creating new models and new products and services within the digital economy. Other Managed services integrates, manages, and/or develops clients’ IT infrastructure systems, among others.</v>
    <v>OTCM</v>
    <v>144.31</v>
    <v>349373</v>
    <v>45934.006944444445</v>
    <v>189</v>
    <v>450380</v>
    <v>USD</v>
    <v>Capgemini</v>
    <v>Capgemini</v>
    <v>13.5661</v>
    <v>152.44999999999999</v>
    <v>147.01</v>
    <v>Place de l'etoile, 11 rue de Tilsitt, PARIS, ILE-DE-FRANCE, 75017 FR</v>
    <v>Software &amp; IT Services</v>
    <v>CAPMF</v>
    <v>Ações</v>
    <v>Capgemini (OTCM:CAPMF)</v>
    <v>2.7</v>
    <v>1.8710000000000001E-2</v>
    <v>1644</v>
  </rv>
  <rv s="4">
    <v>190</v>
  </rv>
  <rv s="5">
    <v>536870912</v>
    <v>France</v>
    <v>c7bfe2de-4f82-e23c-ae42-8544b5b5c0ea</v>
    <v>en-GB</v>
    <v>Map</v>
  </rv>
  <rv s="6">
    <fb>0.524475441661716</fb>
    <v>30</v>
  </rv>
  <rv s="6">
    <fb>643801</fb>
    <v>31</v>
  </rv>
  <rv s="6">
    <fb>307000</fb>
    <v>31</v>
  </rv>
  <rv s="6">
    <fb>11.3</fb>
    <v>32</v>
  </rv>
  <rv s="6">
    <fb>33</fb>
    <v>33</v>
  </rv>
  <rv s="5">
    <v>536870912</v>
    <v>Paris</v>
    <v>85584d24-2116-5b98-89f9-5714db931ac6</v>
    <v>en-GB</v>
    <v>Map</v>
  </rv>
  <rv s="6">
    <fb>303275.56800000003</fb>
    <v>31</v>
  </rv>
  <rv s="6">
    <fb>110.04856675289</fb>
    <v>34</v>
  </rv>
  <rv s="6">
    <fb>1.1082549228829199E-2</fb>
    <v>30</v>
  </rv>
  <rv s="6">
    <fb>6939.5214736692897</fb>
    <v>31</v>
  </rv>
  <rv s="6">
    <fb>1.88</fb>
    <v>32</v>
  </rv>
  <rv s="6">
    <fb>0.31233278442262596</fb>
    <v>30</v>
  </rv>
  <rv s="6">
    <fb>46.487970872236403</fb>
    <v>35</v>
  </rv>
  <rv s="6">
    <fb>1.39</fb>
    <v>36</v>
  </rv>
  <rv s="6">
    <fb>2715518274227.4502</fb>
    <v>37</v>
  </rv>
  <rv s="6">
    <fb>1.0251076000000001</fb>
    <v>30</v>
  </rv>
  <rv s="6">
    <fb>0.65629000000000004</fb>
    <v>30</v>
  </rv>
  <rv s="7">
    <v>2</v>
    <v>28</v>
    <v>55</v>
    <v>7</v>
    <v>0</v>
    <v>Image of France</v>
  </rv>
  <rv s="6">
    <fb>3.4</fb>
    <v>35</v>
  </rv>
  <rv s="5">
    <v>805306368</v>
    <v>Emmanuel Macron (President)</v>
    <v>35be5a56-7a78-6352-b158-60da8f84c858</v>
    <v>en-GB</v>
    <v>Generic</v>
  </rv>
  <rv s="5">
    <v>805306368</v>
    <v>François Bayrou (Prime minister)</v>
    <v>901a2dc7-aad0-c6da-f219-c2d7def8acba</v>
    <v>en-GB</v>
    <v>Generic</v>
  </rv>
  <rv s="8">
    <v>8</v>
  </rv>
  <rv s="0">
    <v>https://www.bing.com/search?q=france&amp;form=skydnc</v>
    <v>Learn more on Bing</v>
  </rv>
  <rv s="6">
    <fb>82.526829268292701</fb>
    <v>35</v>
  </rv>
  <rv s="6">
    <fb>2365950236659.3599</fb>
    <v>37</v>
  </rv>
  <rv s="6">
    <fb>8</fb>
    <v>35</v>
  </rv>
  <rv s="6">
    <fb>11.16</fb>
    <v>36</v>
  </rv>
  <rv s="8">
    <v>9</v>
  </rv>
  <rv s="6">
    <fb>6.7968269799999995E-2</fb>
    <v>30</v>
  </rv>
  <rv s="6">
    <fb>3.2671999999999999</fb>
    <v>32</v>
  </rv>
  <rv s="6">
    <fb>67749632</fb>
    <v>31</v>
  </rv>
  <rv s="6">
    <fb>0.21899999999999997</fb>
    <v>30</v>
  </rv>
  <rv s="6">
    <fb>0.25800000000000001</fb>
    <v>30</v>
  </rv>
  <rv s="6">
    <fb>0.4</fb>
    <v>30</v>
  </rv>
  <rv s="6">
    <fb>3.2000000000000001E-2</fb>
    <v>30</v>
  </rv>
  <rv s="6">
    <fb>8.1000000000000003E-2</fb>
    <v>30</v>
  </rv>
  <rv s="6">
    <fb>0.13</fb>
    <v>30</v>
  </rv>
  <rv s="6">
    <fb>0.16899999999999998</fb>
    <v>30</v>
  </rv>
  <rv s="6">
    <fb>0.55125999450683605</fb>
    <v>30</v>
  </rv>
  <rv s="5">
    <v>536870912</v>
    <v>Brittany</v>
    <v>809fb739-638d-2499-95bd-c8e5b10153ee</v>
    <v>en-GB</v>
    <v>Map</v>
  </rv>
  <rv s="5">
    <v>536870912</v>
    <v>Centre-Val de Loire</v>
    <v>6aafd8c4-aba3-0388-62a3-d302e77f40c4</v>
    <v>en-GB</v>
    <v>Map</v>
  </rv>
  <rv s="5">
    <v>536870912</v>
    <v>Corsica</v>
    <v>7dae6ff4-03ba-2162-da4b-d4cf544ad43f</v>
    <v>en-GB</v>
    <v>Map</v>
  </rv>
  <rv s="5">
    <v>536870912</v>
    <v>Île-de-France</v>
    <v>ba200862-fc37-6d22-3434-c6e709faa507</v>
    <v>en-GB</v>
    <v>Map</v>
  </rv>
  <rv s="5">
    <v>536870912</v>
    <v>Pays de la Loire</v>
    <v>a6129a88-a4cd-2b75-1a35-f5d0639f17ae</v>
    <v>en-GB</v>
    <v>Map</v>
  </rv>
  <rv s="5">
    <v>536870912</v>
    <v>Provence-Alpes-Côte d'Azur</v>
    <v>66cd1ae3-f633-45f9-93bd-73ca67bffb25</v>
    <v>en-GB</v>
    <v>Map</v>
  </rv>
  <rv s="5">
    <v>536870912</v>
    <v>Guadeloupe</v>
    <v>56b80aaa-d840-1a73-13ba-70eb9b61a642</v>
    <v>en-GB</v>
    <v>Map</v>
  </rv>
  <rv s="5">
    <v>536870912</v>
    <v>French Guiana</v>
    <v>328feb88-20d1-8674-1574-3ce8cc0bc9e9</v>
    <v>en-GB</v>
    <v>Map</v>
  </rv>
  <rv s="5">
    <v>536870912</v>
    <v>Martinique</v>
    <v>f245adef-ee09-9352-e265-2a287e5eadbe</v>
    <v>en-GB</v>
    <v>Map</v>
  </rv>
  <rv s="5">
    <v>536870912</v>
    <v>Mayotte</v>
    <v>545cc8bc-c211-076d-ee26-d2ff955eb394</v>
    <v>en-GB</v>
    <v>Map</v>
  </rv>
  <rv s="5">
    <v>536870912</v>
    <v>Réunion</v>
    <v>7d1fa0b0-e3d7-d903-d64d-489c03fd0a75</v>
    <v>en-GB</v>
    <v>Map</v>
  </rv>
  <rv s="5">
    <v>536870912</v>
    <v>French Polynesia</v>
    <v>340e15d5-6b74-8497-bbfa-4c1f323f5483</v>
    <v>en-GB</v>
    <v>Map</v>
  </rv>
  <rv s="5">
    <v>536870912</v>
    <v>French Southern and Antarctic Lands</v>
    <v>b9d52319-44ee-bf16-d95f-72397f26ce4a</v>
    <v>en-GB</v>
    <v>Map</v>
  </rv>
  <rv s="5">
    <v>536870912</v>
    <v>New Caledonia</v>
    <v>25b2aeab-b390-d01e-1f7f-90be767bd899</v>
    <v>en-GB</v>
    <v>Map</v>
  </rv>
  <rv s="5">
    <v>536870912</v>
    <v>Saint Barthélemy</v>
    <v>5c5081a9-306e-4f05-73a2-32b95a4b8600</v>
    <v>en-GB</v>
    <v>Map</v>
  </rv>
  <rv s="5">
    <v>536870912</v>
    <v>Collectivity of Saint Martin</v>
    <v>281a8fb2-1b63-4320-5d31-8f0fb46c4f1a</v>
    <v>en-GB</v>
    <v>Map</v>
  </rv>
  <rv s="5">
    <v>536870912</v>
    <v>Saint Pierre and Miquelon</v>
    <v>aa096cf4-a54e-cd44-7204-c28310ca40f4</v>
    <v>en-GB</v>
    <v>Map</v>
  </rv>
  <rv s="5">
    <v>536870912</v>
    <v>Wallis and Futuna</v>
    <v>db8aa235-58e4-9e3d-8799-6839f3d35025</v>
    <v>en-GB</v>
    <v>Map</v>
  </rv>
  <rv s="5">
    <v>536870912</v>
    <v>Grand Est</v>
    <v>e2f60e84-1701-6d84-e960-ba87138e3631</v>
    <v>en-GB</v>
    <v>Map</v>
  </rv>
  <rv s="5">
    <v>536870912</v>
    <v>Nouvelle-Aquitaine</v>
    <v>7955f423-af31-d2e0-f045-b14668178865</v>
    <v>en-GB</v>
    <v>Map</v>
  </rv>
  <rv s="5">
    <v>536870912</v>
    <v>Auvergne-Rhône-Alpes</v>
    <v>b53940d0-b739-faf5-78d1-93f189f878c9</v>
    <v>en-GB</v>
    <v>Map</v>
  </rv>
  <rv s="5">
    <v>536870912</v>
    <v>Bourgogne-Franche-Comté</v>
    <v>4bc8dff1-8d72-5341-f405-63c7be8c6672</v>
    <v>en-GB</v>
    <v>Map</v>
  </rv>
  <rv s="5">
    <v>536870912</v>
    <v>Occitania</v>
    <v>5105d172-dc70-689f-09ab-4163a747508a</v>
    <v>en-GB</v>
    <v>Map</v>
  </rv>
  <rv s="5">
    <v>536870912</v>
    <v>Hauts-de-France</v>
    <v>4eb2d0b0-8845-48d0-9343-9ba3e7fe81a0</v>
    <v>en-GB</v>
    <v>Map</v>
  </rv>
  <rv s="5">
    <v>536870912</v>
    <v>Clipperton Island</v>
    <v>15fb63fc-f501-7360-7d44-f26d1501209e</v>
    <v>en-GB</v>
    <v>Map</v>
  </rv>
  <rv s="8">
    <v>10</v>
  </rv>
  <rv s="6">
    <fb>0.24229980509910898</fb>
    <v>30</v>
  </rv>
  <rv s="8">
    <v>11</v>
  </rv>
  <rv s="6">
    <fb>0.60699999999999998</fb>
    <v>30</v>
  </rv>
  <rv s="6">
    <fb>8.4270000457763714E-2</fb>
    <v>38</v>
  </rv>
  <rv s="6">
    <fb>54123364</fb>
    <v>31</v>
  </rv>
  <rv s="9">
    <v>#VALUE!</v>
    <v>en-GB</v>
    <v>c7bfe2de-4f82-e23c-ae42-8544b5b5c0ea</v>
    <v>536870912</v>
    <v>1</v>
    <v>58</v>
    <v>25</v>
    <v>France</v>
    <v>26</v>
    <v>27</v>
    <v>Map</v>
    <v>28</v>
    <v>59</v>
    <v>FR</v>
    <v>193</v>
    <v>194</v>
    <v>195</v>
    <v>196</v>
    <v>197</v>
    <v>198</v>
    <v>199</v>
    <v>200</v>
    <v>201</v>
    <v>EUR</v>
    <v>France, officially the French Republic, is a country located primarily in Western Europe. Its overseas regions and territories include French Guiana in South America, Saint Pierre and Miquelon in the North Atlantic, the French West Indies, and ...</v>
    <v>202</v>
    <v>203</v>
    <v>204</v>
    <v>205</v>
    <v>206</v>
    <v>207</v>
    <v>208</v>
    <v>209</v>
    <v>210</v>
    <v>211</v>
    <v>198</v>
    <v>214</v>
    <v>215</v>
    <v>216</v>
    <v>217</v>
    <v>218</v>
    <v>219</v>
    <v>France</v>
    <v>La Marseillaise</v>
    <v>220</v>
    <v>République française</v>
    <v>221</v>
    <v>222</v>
    <v>223</v>
    <v>224</v>
    <v>225</v>
    <v>226</v>
    <v>227</v>
    <v>228</v>
    <v>229</v>
    <v>230</v>
    <v>231</v>
    <v>257</v>
    <v>258</v>
    <v>259</v>
    <v>260</v>
    <v>261</v>
    <v>France</v>
    <v>262</v>
    <v>mdp/vdpid/84</v>
  </rv>
  <rv s="0">
    <v>https://en.wikipedia.org/wiki/Microsoft</v>
    <v>Wikipedia</v>
  </rv>
  <rv s="1">
    <v>0</v>
    <v>264</v>
  </rv>
  <rv s="2">
    <v>7</v>
    <v>https://www.bing.com/th?id=AMMS_e6e837c7bf3a77408619758b7447855a&amp;qlt=95</v>
    <v>265</v>
    <v>0</v>
    <v>https://www.bing.com/images/search?form=xlimg&amp;q=microsoft</v>
    <v>Image of MICROSOFT CORPORATION</v>
  </rv>
  <rv s="0">
    <v>https://www.bing.com/financeapi/forcetrigger?t=a1xzim&amp;q=XNAS%3aMSFT&amp;form=skydnc</v>
    <v>Learn more on Bing</v>
  </rv>
  <rv s="3">
    <v>pt-BR</v>
    <v>a1xzim</v>
    <v>268435456</v>
    <v>1</v>
    <v>Da plataforma Refinitiv</v>
    <v>0</v>
    <v>1</v>
    <v>MICROSOFT CORPORATION (XNAS:MSFT)</v>
    <v>4</v>
    <v>5</v>
    <v>Finance</v>
    <v>6</v>
    <v>555.45000000000005</v>
    <v>344.79</v>
    <v>XNAS</v>
    <v>7433167000</v>
    <v>-7.7320000000000004E-4</v>
    <v>-0.4</v>
    <v>520.49</v>
    <v>1993</v>
    <v>515</v>
    <v>1.02</v>
    <v>Nasdaq Stock Market</v>
    <v>3845549000000</v>
    <v>A Microsoft Corporation é uma empresa de tecnologia. A Empresa desenvolve e apoia software, serviços, dispositivos e soluções. Os segmentos da empresa incluem Produtividade e Processos de Negócios, Nuvem Inteligente e Mais Computação Pessoal. O segmento de Produtividade e Processos de Negócio é composto por produtos e serviços em seu portfólio de serviços de produtividade, comunicação e informação. Este segmento compreende principalmente: Office Commercial, Office Consumer, LinkedIn e soluções de negócios Dynamics. O segmento de nuvem inteligente consiste em produtos de servidor e serviços de nuvem, incluindo Azure e outros serviços de nuvem, SQL Server, Windows Server, Visual Studio, System Center, e licenças de acesso de cliente (CALs) relacionadas, Nuance e GitHub; e Serviços corporativos, incluindo serviços de suporte empresarial, soluções do setor e serviços profissionais Nuance. O segmento de Computação Mais Pessoal compreende principalmente Windows, Dispositivos, Jogos e pesquisa e publicidade de notícias.</v>
    <v>XNAS</v>
    <v>515.74</v>
    <v>228000</v>
    <v>45933.99986590234</v>
    <v>266</v>
    <v>267</v>
    <v>20274318</v>
    <v>USD</v>
    <v>MICROSOFT CORPORATION</v>
    <v>MICROSOFT CORPORATION</v>
    <v>37.807899999999997</v>
    <v>517.1</v>
    <v>517.35</v>
    <v>516.95000000000005</v>
    <v>One Microsoft Way, REDMOND, WA, 98052 US</v>
    <v>Software &amp; IT Services</v>
    <v>MSFT</v>
    <v>Ações</v>
    <v>MICROSOFT CORPORATION (XNAS:MSFT)</v>
    <v>1.61</v>
    <v>3.1219999999999998E-3</v>
    <v>15112321</v>
  </rv>
  <rv s="4">
    <v>268</v>
  </rv>
  <rv s="0">
    <v>http://pt.wikipedia.org/wiki/Oracle_Corporation</v>
    <v>Wikipedia</v>
  </rv>
  <rv s="1">
    <v>0</v>
    <v>270</v>
  </rv>
  <rv s="2">
    <v>7</v>
    <v>https://www.bing.com/th?id=AMMS_672116c618c664d13b2515d6587ba357&amp;qlt=95</v>
    <v>271</v>
    <v>0</v>
    <v>https://www.bing.com/images/search?form=xlimg&amp;q=oracle+corporation</v>
    <v>Image of ORACLE CORPORATION</v>
  </rv>
  <rv s="0">
    <v>https://www.bing.com/financeapi/forcetrigger?t=a1zbec&amp;q=XNYS%3aORCL&amp;form=skydnc</v>
    <v>Learn more on Bing</v>
  </rv>
  <rv s="3">
    <v>pt-BR</v>
    <v>a1zbec</v>
    <v>268435456</v>
    <v>1</v>
    <v>Da plataforma Refinitiv</v>
    <v>0</v>
    <v>1</v>
    <v>ORACLE CORPORATION (XNYS:ORCL)</v>
    <v>4</v>
    <v>5</v>
    <v>Finance</v>
    <v>6</v>
    <v>345.72</v>
    <v>118.86</v>
    <v>XNYS</v>
    <v>2850793000</v>
    <v>-2.2720000000000001E-3</v>
    <v>-0.65</v>
    <v>294.64</v>
    <v>2005</v>
    <v>284</v>
    <v>1.5210999999999999</v>
    <v>New York Stock Exchange</v>
    <v>815725800000</v>
    <v>A Oracle Corporation oferece suítes integradas de aplicativos, além de infraestrutura segura e autônoma no Oracle Cloud. A empresa opera por meio de três negócios: Nuvem e licença, hardware e serviço. Seu negócio de nuvem e licenças está envolvido na venda, marketing e fornecimento de seus aplicativos empresariais e tecnologias de infraestrutura por meio de modelos de implantação na nuvem e no local, incluindo seus serviços de nuvem e ofertas de suporte a licenças, e suas ofertas de licença na nuvem e licenças no local. Seu negócio de hardware fornece tecnologias de infraestrutura, incluindo Oracle Engineered Systems, servidores, armazenamento, hardware específico do setor, sistemas operacionais, virtualização, gerenciamento e outros softwares relacionados a hardware para dar suporte a diversos ambientes DE TI. Seu negócio de serviços fornece serviços a clientes e parceiros para ajudar a maximizar o desempenho de seus investimentos em aplicativos Oracle e tecnologias de infraestrutura.</v>
    <v>XNYS</v>
    <v>288.77999999999997</v>
    <v>162000</v>
    <v>45933.999954907034</v>
    <v>272</v>
    <v>273</v>
    <v>33472643</v>
    <v>USD</v>
    <v>ORACLE CORPORATION</v>
    <v>ORACLE CORPORATION</v>
    <v>66.228399999999993</v>
    <v>289.60000000000002</v>
    <v>286.14</v>
    <v>285.49</v>
    <v>2300 Oracle Way, AUSTIN, TX, 78741 US</v>
    <v>Software &amp; IT Services</v>
    <v>ORCL</v>
    <v>Ações</v>
    <v>ORACLE CORPORATION (XNYS:ORCL)</v>
    <v>-2.64</v>
    <v>-9.1420000000000008E-3</v>
    <v>13688407</v>
  </rv>
  <rv s="4">
    <v>274</v>
  </rv>
  <rv s="0">
    <v>https://www.bing.com/financeapi/forcetrigger?t=a1utqh&amp;q=XNYS%3aHPE&amp;form=skydnc</v>
    <v>Learn more on Bing</v>
  </rv>
  <rv s="10">
    <v>pt-BR</v>
    <v>a1utqh</v>
    <v>268435456</v>
    <v>1</v>
    <v>Da plataforma Refinitiv</v>
    <v>39</v>
    <v>40</v>
    <v>HEWLETT PACKARD ENTERPRISE COMPANY (XNYS:HPE)</v>
    <v>41</v>
    <v>42</v>
    <v>Finance</v>
    <v>6</v>
    <v>25.355899999999998</v>
    <v>11.965</v>
    <v>XNYS</v>
    <v>1319450000</v>
    <v>0</v>
    <v>0</v>
    <v>25</v>
    <v>2015</v>
    <v>24.3</v>
    <v>1.4451000000000001</v>
    <v>New York Stock Exchange</v>
    <v>32234160000</v>
    <v>A Hewlett Packard Enterprise Company é a empresa global de ponta a nuvem. Ele oferece soluções tecnológicas abertas e inteligentes como um serviço. Sua oferta inclui serviços em nuvem, computação, computação de alto desempenho e inteligência artificial, borda inteligente, software e armazenamento. Seus segmentos incluem Servidor, Nuvem Híbrida, Intelligent Edge, Serviços Financeiros, Investimentos Corporativos e outros. Suas ofertas de segmento de servidor consistem em servidores de uso geral para computação com várias cargas de trabalho, servidores otimizados para cargas de trabalho e sistemas integrados. Seu segmento de nuvem híbrida oferece uma variedade de soluções nativas e híbridas em nuvem em armazenamento, nuvem privada e espaço de software como serviço de infraestrutura. Seu segmento de borda inteligente oferece redes locais com e sem fio, comutação de campus, filial e data center, entre outros. Seu segmento de Serviços Financeiros oferece soluções flexíveis de investimento, como leasing, financiamento, consumo DE TI, programas de utilidade pública, serviços públicos, etc. e serviços de gestão de ativos.</v>
    <v>XNYS</v>
    <v>24.48</v>
    <v>61000</v>
    <v>45933.997250832814</v>
    <v>276</v>
    <v>25301007</v>
    <v>USD</v>
    <v>HEWLETT PACKARD ENTERPRISE COMPANY</v>
    <v>HEWLETT PACKARD ENTERPRISE COMPANY</v>
    <v>29.3627</v>
    <v>24.6</v>
    <v>24.43</v>
    <v>24.43</v>
    <v>1701 E MOSSY OAKS ROAD, SPRING, TX, 77389 US</v>
    <v>Computers, Phones &amp; Household Electronics</v>
    <v>HPE</v>
    <v>Ações</v>
    <v>HEWLETT PACKARD ENTERPRISE COMPANY (XNYS:HPE)</v>
    <v>-0.05</v>
    <v>-2.042E-3</v>
    <v>20800647</v>
  </rv>
  <rv s="4">
    <v>277</v>
  </rv>
  <rv s="0">
    <v>https://www.bing.com/financeapi/forcetrigger?t=bxb5m7&amp;q=XNYS%3aIONQ&amp;form=skydnc</v>
    <v>Learn more on Bing</v>
  </rv>
  <rv s="13">
    <v>pt-BR</v>
    <v>bxb5m7</v>
    <v>268435456</v>
    <v>1</v>
    <v>Da plataforma Refinitiv</v>
    <v>60</v>
    <v>61</v>
    <v>IONQ (XNYS:IONQ)</v>
    <v>41</v>
    <v>62</v>
    <v>Finance</v>
    <v>6</v>
    <v>76.129000000000005</v>
    <v>8.7899999999999991</v>
    <v>XNYS</v>
    <v>323054600</v>
    <v>-8.4609999999999998E-3</v>
    <v>-0.62</v>
    <v>73.759900000000002</v>
    <v>2020</v>
    <v>68.349999999999994</v>
    <v>2.5926</v>
    <v>New York Stock Exchange</v>
    <v>23673440000</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XNYS</v>
    <v>69.599999999999994</v>
    <v>407</v>
    <v>45933.99986891172</v>
    <v>279</v>
    <v>29143241</v>
    <v>USD</v>
    <v>IONQ</v>
    <v>IONQ</v>
    <v>70.59</v>
    <v>73.28</v>
    <v>72.66</v>
    <v>4505 Campus Drive, Suite 100, COLLEGE PARK, MD, 20740 US</v>
    <v>Software &amp; IT Services</v>
    <v>IONQ</v>
    <v>Ações</v>
    <v>IONQ (XNYS:IONQ)</v>
    <v>3.68</v>
    <v>5.2873999999999997E-2</v>
    <v>37681777</v>
  </rv>
  <rv s="4">
    <v>280</v>
  </rv>
  <rv s="0">
    <v>https://www.bing.com/financeapi/forcetrigger?t=c1uvkr&amp;q=XNAS%3aRGTI&amp;form=skydnc</v>
    <v>Learn more on Bing</v>
  </rv>
  <rv s="10">
    <v>pt-BR</v>
    <v>c1uvkr</v>
    <v>268435456</v>
    <v>1</v>
    <v>Da plataforma Refinitiv</v>
    <v>39</v>
    <v>40</v>
    <v>Rigetti (XNAS:RGTI)</v>
    <v>41</v>
    <v>42</v>
    <v>Finance</v>
    <v>6</v>
    <v>40.630000000000003</v>
    <v>0.72499999999999998</v>
    <v>XNAS</v>
    <v>324165200</v>
    <v>4.4929999999999996E-3</v>
    <v>0.18</v>
    <v>40.630000000000003</v>
    <v>2022</v>
    <v>35.75</v>
    <v>1.5956999999999999</v>
    <v>Nasdaq Stock Market</v>
    <v>12986060000</v>
    <v>Rigetti Computing, Inc. is a full-stack quantum computing company. The Company operates quantum computers over the cloud and serves global enterprise, government, and research clients through its Rigetti Quantum Cloud Services platform. The Company’s quantum-classical infrastructure provides high-performance integration with public and private clouds for practical quantum computing. It has developed a multi-chip quantum processor for scalable quantum computing systems. Through the Company’s Quantum Computing as a Service (QCaaS) platform, its machines can be integrated into any public, private or hybrid cloud. It is also engaged in the sale of quantum processing units (QPUs) and custom computing components, and development contracts and other services. Its QPUs contain fabricated silicon-based chips featuring superconducting qubits. The Company designs and manufactures its chips in-house at Fab-1, an integrated quantum device manufacturing facility.</v>
    <v>XNAS</v>
    <v>35.4</v>
    <v>137</v>
    <v>45933.999956064064</v>
    <v>282</v>
    <v>75700232</v>
    <v>USD</v>
    <v>Rigetti</v>
    <v>Rigetti</v>
    <v>0</v>
    <v>36.99</v>
    <v>40.06</v>
    <v>40.24</v>
    <v>775 Heinz Avenue, BERKELEY, CA, 94710 US</v>
    <v>Semiconductors &amp; Semiconductor Equipment</v>
    <v>RGTI</v>
    <v>Ações</v>
    <v>Rigetti (XNAS:RGTI)</v>
    <v>4.66</v>
    <v>0.13163800000000001</v>
    <v>155531229</v>
  </rv>
  <rv s="4">
    <v>283</v>
  </rv>
  <rv s="14">
    <v>12</v>
    <v>Name</v>
    <v>0</v>
  </rv>
  <rv s="2">
    <v>68</v>
    <v>https://www.bing.com/th?id=AMMS_41da901be1b295dc42c72dadb9c0f67d&amp;qlt=95</v>
    <v>2</v>
    <v>0</v>
    <v>https://www.bing.com/images/search?form=xlimg&amp;q=ibm</v>
    <v>Image of INTERNATIONAL BUSINESS MACHINES CORPORATION</v>
  </rv>
  <rv s="15">
    <v>en-US</v>
    <v>a1v6nm</v>
    <v>268435456</v>
    <v>1</v>
    <v>Powered by Refinitiv</v>
    <v>63</v>
    <v>64</v>
    <v>INTERNATIONAL BUSINESS MACHINES CORPORATION (XNYS:IBM)</v>
    <v>65</v>
    <v>66</v>
    <v>Finance</v>
    <v>67</v>
    <v>296.16000000000003</v>
    <v>203.51</v>
    <v>0.6925</v>
    <v>1.65</v>
    <v>2.7740000000000002E-4</v>
    <v>5.7549999999999997E-3</v>
    <v>0.08</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293400</v>
    <v>New York Stock Exchange</v>
    <v>XNYS</v>
    <v>XNYS</v>
    <v>One New Orchard Road, ARMONK, NY, 10504 US</v>
    <v>293.32</v>
    <v>286</v>
    <v>Software &amp; IT Services</v>
    <v>Stock</v>
    <v>45933.99984582109</v>
    <v>4</v>
    <v>287.3</v>
    <v>268622200000</v>
    <v>INTERNATIONAL BUSINESS MACHINES CORPORATION</v>
    <v>INTERNATIONAL BUSINESS MACHINES CORPORATION</v>
    <v>287.5</v>
    <v>46.411700000000003</v>
    <v>286.72000000000003</v>
    <v>288.37</v>
    <v>288.45</v>
    <v>931519200</v>
    <v>IBM</v>
    <v>INTERNATIONAL BUSINESS MACHINES CORPORATION (XNYS:IBM)</v>
    <v>4375082</v>
    <v>4970750</v>
    <v>1911</v>
  </rv>
  <rv s="4">
    <v>287</v>
  </rv>
  <rv s="16">
    <v>69</v>
    <v>HPE</v>
    <v>Daily</v>
    <v>45659</v>
    <v>45659</v>
    <v>0</v>
    <v>1</v>
    <v>638713728000000000,638810889908484347,0</v>
    <v>12</v>
    <v>a1utqh</v>
    <v>XNYS:HPE</v>
    <v>13</v>
  </rv>
  <rv s="16">
    <v>69</v>
    <v>HPE</v>
    <v>Daily</v>
    <v>45905</v>
    <v>45905</v>
    <v>0</v>
    <v>1</v>
    <v>638926272000000000,638952041968549518,0</v>
    <v>12</v>
    <v>a1utqh</v>
    <v>XNYS:HPE</v>
    <v>14</v>
  </rv>
  <rv s="16">
    <v>69</v>
    <v>HPE</v>
    <v>Daily</v>
    <v>45933</v>
    <v>45933</v>
    <v>0</v>
    <v>1</v>
    <v>638950464000000000,638952041971058737,0</v>
    <v>12</v>
    <v>a1utqh</v>
    <v>XNYS:HPE</v>
    <v>15</v>
  </rv>
  <rv s="16">
    <v>69</v>
    <v>a1v6nm</v>
    <v>Daily</v>
    <v>43830</v>
    <v>43830</v>
    <v>0</v>
    <v>1</v>
    <v>637133472000000000,638804183964197856,0</v>
    <v>12</v>
    <v>a1v6nm</v>
    <v>XNYS:IBM</v>
    <v>16</v>
  </rv>
  <rv s="16">
    <v>69</v>
    <v>a1v6nm</v>
    <v>Daily</v>
    <v>42369</v>
    <v>42369</v>
    <v>0</v>
    <v>1</v>
    <v>635871168000000000,638804183964567940,0</v>
    <v>12</v>
    <v>a1v6nm</v>
    <v>XNYS:IBM</v>
    <v>17</v>
  </rv>
  <rv s="16">
    <v>69</v>
    <v>a1v6nm</v>
    <v>Daily</v>
    <v>44561</v>
    <v>44561</v>
    <v>0</v>
    <v>1</v>
    <v>637765056000000000,638804183966378355,0</v>
    <v>12</v>
    <v>a1v6nm</v>
    <v>XNYS:IBM</v>
    <v>18</v>
  </rv>
  <rv s="16">
    <v>69</v>
    <v>a1v6nm</v>
    <v>Daily</v>
    <v>43465</v>
    <v>43465</v>
    <v>0</v>
    <v>1</v>
    <v>636818112000000000,638804183964928020,0</v>
    <v>12</v>
    <v>a1v6nm</v>
    <v>XNYS:IBM</v>
    <v>19</v>
  </rv>
  <rv s="16">
    <v>69</v>
    <v>a1v6nm</v>
    <v>Daily</v>
    <v>42004</v>
    <v>42004</v>
    <v>0</v>
    <v>1</v>
    <v>635555808000000000,638804183940862266,0</v>
    <v>12</v>
    <v>a1v6nm</v>
    <v>XNYS:IBM</v>
    <v>20</v>
  </rv>
  <rv s="16">
    <v>69</v>
    <v>a1v6nm</v>
    <v>Daily</v>
    <v>45657</v>
    <v>45657</v>
    <v>0</v>
    <v>1</v>
    <v>638712000000000000,638804183963479936,0</v>
    <v>12</v>
    <v>a1v6nm</v>
    <v>XNYS:IBM</v>
    <v>21</v>
  </rv>
  <rv s="16">
    <v>69</v>
    <v>a1v6nm</v>
    <v>Daily</v>
    <v>44196</v>
    <v>44196</v>
    <v>0</v>
    <v>1</v>
    <v>637449696000000000,638804183966740647,0</v>
    <v>12</v>
    <v>a1v6nm</v>
    <v>XNYS:IBM</v>
    <v>22</v>
  </rv>
  <rv s="16">
    <v>69</v>
    <v>a1v6nm</v>
    <v>Daily</v>
    <v>42367</v>
    <v>42367</v>
    <v>0</v>
    <v>1</v>
    <v>635869440000000000,638804184006184707,0</v>
    <v>12</v>
    <v>a1v6nm</v>
    <v>XNYS:IBM</v>
    <v>23</v>
  </rv>
  <rv s="16">
    <v>69</v>
    <v>a1v6nm</v>
    <v>Daily</v>
    <v>44559</v>
    <v>44559</v>
    <v>0</v>
    <v>1</v>
    <v>637763328000000000,638804184006699708,0</v>
    <v>12</v>
    <v>a1v6nm</v>
    <v>XNYS:IBM</v>
    <v>24</v>
  </rv>
  <rv s="16">
    <v>69</v>
    <v>a1v6nm</v>
    <v>Daily</v>
    <v>42002</v>
    <v>42002</v>
    <v>0</v>
    <v>1</v>
    <v>635554080000000000,638804183945080311,0</v>
    <v>12</v>
    <v>a1v6nm</v>
    <v>XNYS:IBM</v>
    <v>25</v>
  </rv>
  <rv s="16">
    <v>69</v>
    <v>a1v6nm</v>
    <v>Daily</v>
    <v>42733</v>
    <v>42733</v>
    <v>0</v>
    <v>1</v>
    <v>636185664000000000,638804184006480659,0</v>
    <v>12</v>
    <v>a1v6nm</v>
    <v>XNYS:IBM</v>
    <v>26</v>
  </rv>
  <rv s="16">
    <v>69</v>
    <v>a1v6nm</v>
    <v>Daily</v>
    <v>44924</v>
    <v>44924</v>
    <v>0</v>
    <v>1</v>
    <v>638078688000000000,638804184006582959,0</v>
    <v>12</v>
    <v>a1v6nm</v>
    <v>XNYS:IBM</v>
    <v>27</v>
  </rv>
  <rv s="16">
    <v>69</v>
    <v>a1v6nm</v>
    <v>Daily</v>
    <v>43098</v>
    <v>43098</v>
    <v>0</v>
    <v>1</v>
    <v>636501024000000000,638804184006391049,0</v>
    <v>12</v>
    <v>a1v6nm</v>
    <v>XNYS:IBM</v>
    <v>28</v>
  </rv>
  <rv s="16">
    <v>69</v>
    <v>a1v6nm</v>
    <v>Daily</v>
    <v>45289</v>
    <v>45289</v>
    <v>0</v>
    <v>1</v>
    <v>638394048000000000,638804184005975618,0</v>
    <v>12</v>
    <v>a1v6nm</v>
    <v>XNYS:IBM</v>
    <v>29</v>
  </rv>
  <rv s="16">
    <v>69</v>
    <v>a1v6nm</v>
    <v>Daily</v>
    <v>44194</v>
    <v>44194</v>
    <v>0</v>
    <v>1</v>
    <v>637447968000000000,638804184006811952,0</v>
    <v>12</v>
    <v>a1v6nm</v>
    <v>XNYS:IBM</v>
    <v>30</v>
  </rv>
  <rv s="16">
    <v>69</v>
    <v>IBM</v>
    <v>Daily</v>
    <v>45659</v>
    <v>45659</v>
    <v>0</v>
    <v>1</v>
    <v>638713728000000000,638781224813265418,0</v>
    <v>12</v>
    <v>a1v6nm</v>
    <v>XNYS:IBM</v>
    <v>31</v>
  </rv>
  <rv s="16">
    <v>69</v>
    <v>IBM</v>
    <v>Daily</v>
    <v>45933</v>
    <v>45933</v>
    <v>0</v>
    <v>1</v>
    <v>638950464000000000,638952041972584611,0</v>
    <v>12</v>
    <v>a1v6nm</v>
    <v>XNYS:IBM</v>
    <v>32</v>
  </rv>
  <rv s="16">
    <v>69</v>
    <v>IBM</v>
    <v>Daily</v>
    <v>45905</v>
    <v>45905</v>
    <v>0</v>
    <v>1</v>
    <v>638926272000000000,638952041973093741,0</v>
    <v>12</v>
    <v>a1v6nm</v>
    <v>XNYS:IBM</v>
    <v>33</v>
  </rv>
  <rv s="16">
    <v>69</v>
    <v>ACN</v>
    <v>Daily</v>
    <v>45659</v>
    <v>45659</v>
    <v>0</v>
    <v>1</v>
    <v>638713728000000000,638810889866880127,0</v>
    <v>12</v>
    <v>a1mthw</v>
    <v>XNYS:ACN</v>
    <v>34</v>
  </rv>
  <rv s="16">
    <v>69</v>
    <v>ACN</v>
    <v>Daily</v>
    <v>45905</v>
    <v>45905</v>
    <v>0</v>
    <v>1</v>
    <v>638926272000000000,638952041971569761,0</v>
    <v>12</v>
    <v>a1mthw</v>
    <v>XNYS:ACN</v>
    <v>35</v>
  </rv>
  <rv s="16">
    <v>69</v>
    <v>MSFT</v>
    <v>Daily</v>
    <v>45659</v>
    <v>45659</v>
    <v>0</v>
    <v>1</v>
    <v>638713728000000000,638810889908655289,0</v>
    <v>12</v>
    <v>a1xzim</v>
    <v>XNAS:MSFT</v>
    <v>36</v>
  </rv>
  <rv s="16">
    <v>69</v>
    <v>ORCL</v>
    <v>Daily</v>
    <v>45659</v>
    <v>45659</v>
    <v>0</v>
    <v>1</v>
    <v>638713728000000000,638810889908818595,0</v>
    <v>12</v>
    <v>a1zbec</v>
    <v>XNYS:ORCL</v>
    <v>37</v>
  </rv>
  <rv s="16">
    <v>69</v>
    <v>ORCL</v>
    <v>Daily</v>
    <v>45933</v>
    <v>45933</v>
    <v>0</v>
    <v>1</v>
    <v>638950464000000000,638952041969478008,0</v>
    <v>12</v>
    <v>a1zbec</v>
    <v>XNYS:ORCL</v>
    <v>38</v>
  </rv>
  <rv s="16">
    <v>69</v>
    <v>ORCL</v>
    <v>Daily</v>
    <v>45905</v>
    <v>45905</v>
    <v>0</v>
    <v>1</v>
    <v>638926272000000000,638952041970542601,0</v>
    <v>12</v>
    <v>a1zbec</v>
    <v>XNYS:ORCL</v>
    <v>39</v>
  </rv>
  <rv s="16">
    <v>69</v>
    <v>CAPMF</v>
    <v>Daily</v>
    <v>45659</v>
    <v>45659</v>
    <v>0</v>
    <v>1</v>
    <v>638713728000000000,638810889909963215,0</v>
    <v>12</v>
    <v>a2b3m7</v>
    <v>OTCM:CAPMF</v>
    <v>40</v>
  </rv>
  <rv s="16">
    <v>69</v>
    <v>CAPMF</v>
    <v>Daily</v>
    <v>45933</v>
    <v>45933</v>
    <v>0</v>
    <v>1</v>
    <v>638950464000000000,638952041970033065,0</v>
    <v>12</v>
    <v>a2b3m7</v>
    <v>OTCM:CAPMF</v>
    <v>41</v>
  </rv>
  <rv s="16">
    <v>69</v>
    <v>IONQ</v>
    <v>Daily</v>
    <v>45659</v>
    <v>45659</v>
    <v>0</v>
    <v>1</v>
    <v>638713728000000000,638810889908161060,0</v>
    <v>12</v>
    <v>bxb5m7</v>
    <v>XNYS:IONQ</v>
    <v>42</v>
  </rv>
  <rv s="16">
    <v>69</v>
    <v>IONQ</v>
    <v>Daily</v>
    <v>45933</v>
    <v>45933</v>
    <v>0</v>
    <v>1</v>
    <v>638950464000000000,638952041968237123,0</v>
    <v>12</v>
    <v>bxb5m7</v>
    <v>XNYS:IONQ</v>
    <v>43</v>
  </rv>
  <rv s="16">
    <v>69</v>
    <v>IONQ</v>
    <v>Daily</v>
    <v>45905</v>
    <v>45905</v>
    <v>0</v>
    <v>1</v>
    <v>638926272000000000,638952041969167938,0</v>
    <v>12</v>
    <v>bxb5m7</v>
    <v>XNYS:IONQ</v>
    <v>44</v>
  </rv>
  <rv s="16">
    <v>69</v>
    <v>RGTI</v>
    <v>Daily</v>
    <v>45659</v>
    <v>45659</v>
    <v>0</v>
    <v>1</v>
    <v>638713728000000000,638810889908127104,0</v>
    <v>12</v>
    <v>c1uvkr</v>
    <v>XNAS:RGTI</v>
    <v>45</v>
  </rv>
  <rv s="16">
    <v>69</v>
    <v>RGTI</v>
    <v>Daily</v>
    <v>45933</v>
    <v>45933</v>
    <v>0</v>
    <v>1</v>
    <v>638950464000000000,638952041969012135,0</v>
    <v>12</v>
    <v>c1uvkr</v>
    <v>XNAS:RGTI</v>
    <v>46</v>
  </rv>
</rvData>
</file>

<file path=xl/richData/rdrichvaluestructure.xml><?xml version="1.0" encoding="utf-8"?>
<rvStructures xmlns="http://schemas.microsoft.com/office/spreadsheetml/2017/richdata" count="17">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Preço (Horário prolongado)"/>
    <k n="Sede" t="s"/>
    <k n="Setor" t="s"/>
    <k n="Símbolo do ticker" t="s"/>
    <k n="Tipo de instrumento" t="s"/>
    <k n="UniqueName" t="s"/>
    <k n="Variação"/>
    <k n="Variação (%)"/>
    <k n="Volume"/>
  </s>
  <s t="_error">
    <k n="errorType" t="i"/>
    <k n="field" t="s"/>
    <k n="subType" t="i"/>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7">
    <a count="47">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5">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7">
      <v t="s">%EntityServiceId</v>
      <v t="s">_Format</v>
      <v t="s">%IsRefreshable</v>
      <v t="s">_CanonicalPropertyNames</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70">
    <spb s="0">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0</v>
      <v>Name</v>
      <v>LearnMoreOnLink</v>
    </spb>
    <spb s="2">
      <v>0</v>
      <v>0</v>
    </spb>
    <spb s="3">
      <v>0</v>
      <v>0</v>
      <v>0</v>
    </spb>
    <spb s="4">
      <v>2</v>
      <v>3</v>
      <v>3</v>
      <v>3</v>
      <v>3</v>
    </spb>
    <spb s="5">
      <v>1</v>
      <v>2</v>
      <v>1</v>
      <v>3</v>
      <v>2</v>
      <v>2</v>
      <v>4</v>
      <v>5</v>
      <v>2</v>
      <v>2</v>
      <v>5</v>
      <v>6</v>
      <v>5</v>
      <v>7</v>
      <v>2</v>
      <v>2</v>
      <v>8</v>
      <v>5</v>
      <v>2</v>
      <v>9</v>
      <v>10</v>
      <v>2</v>
      <v>2</v>
      <v>6</v>
    </spb>
    <spb s="6">
      <v xml:space="preserve">no fechamento </v>
      <v xml:space="preserve">do fechamento anterior </v>
      <v>Origem : Nasdaq</v>
      <v xml:space="preserve">do fechamento anterior </v>
      <v>GMT</v>
      <v>Atraso de 15 minutos</v>
      <v xml:space="preserve">do fechamento </v>
      <v xml:space="preserve">do fechamento </v>
    </spb>
    <spb s="7">
      <v>Da plataforma Refinitiv</v>
    </spb>
    <spb s="8">
      <v xml:space="preserve">data.worldbank.org	</v>
      <v xml:space="preserve">	</v>
      <v xml:space="preserve">http://data.worldbank.org/indicator/FP.CPI.TOTL	</v>
      <v xml:space="preserve">	</v>
    </spb>
    <spb s="8">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8">
      <v xml:space="preserve">Wikipedia	</v>
      <v xml:space="preserve">CC BY-SA 3.0	</v>
      <v xml:space="preserve">https://en.wikipedia.org/wiki/United_States	</v>
      <v xml:space="preserve">https://creativecommons.org/licenses/by-sa/3.0	</v>
    </spb>
    <spb s="8">
      <v xml:space="preserve">data.worldbank.org	</v>
      <v xml:space="preserve">	</v>
      <v xml:space="preserve">http://data.worldbank.org/indicator/SP.DYN.CBRT.IN	</v>
      <v xml:space="preserve">	</v>
    </spb>
    <spb s="8">
      <v xml:space="preserve">Wikipedia	</v>
      <v xml:space="preserve">CC-BY-SA	</v>
      <v xml:space="preserve">http://en.wikipedia.org/wiki/United_States	</v>
      <v xml:space="preserve">http://creativecommons.org/licenses/by-sa/3.0/	</v>
    </spb>
    <spb s="8">
      <v xml:space="preserve">data.worldbank.org	</v>
      <v xml:space="preserve">	</v>
      <v xml:space="preserve">http://data.worldbank.org/indicator/SP.DYN.TFRT.IN	</v>
      <v xml:space="preserve">	</v>
    </spb>
    <spb s="8">
      <v xml:space="preserve">US Census	</v>
      <v xml:space="preserve">	</v>
      <v xml:space="preserve">https://www.census.gov/popest/data/state/asrh/2014/files/SC-EST2014-AGESEX-CIV.csv	</v>
      <v xml:space="preserve">	</v>
    </spb>
    <spb s="8">
      <v xml:space="preserve">data.worldbank.org	</v>
      <v xml:space="preserve">	</v>
      <v xml:space="preserve">http://data.worldbank.org/indicator/SP.DYN.LE00.IN	</v>
      <v xml:space="preserve">	</v>
    </spb>
    <spb s="8">
      <v xml:space="preserve">data.worldbank.org	</v>
      <v xml:space="preserve">	</v>
      <v xml:space="preserve">http://data.worldbank.org/indicator/SP.DYN.IMRT.IN	</v>
      <v xml:space="preserve">	</v>
    </spb>
    <spb s="8">
      <v xml:space="preserve">data.worldbank.org	</v>
      <v xml:space="preserve">	</v>
      <v xml:space="preserve">http://data.worldbank.org/indicator/SP.URB.TOTL	</v>
      <v xml:space="preserve">	</v>
    </spb>
    <spb s="8">
      <v xml:space="preserve">data.worldbank.org	</v>
      <v xml:space="preserve">	</v>
      <v xml:space="preserve">http://data.worldbank.org/indicator/MS.MIL.TOTL.P1	</v>
      <v xml:space="preserve">	</v>
    </spb>
    <spb s="8">
      <v xml:space="preserve">data.worldbank.org	</v>
      <v xml:space="preserve">	</v>
      <v xml:space="preserve">http://data.worldbank.org/indicator/SH.MED.PHYS.ZS	</v>
      <v xml:space="preserve">	</v>
    </spb>
    <spb s="8">
      <v xml:space="preserve">data.worldbank.org	</v>
      <v xml:space="preserve">	</v>
      <v xml:space="preserve">http://data.worldbank.org/indicator/EN.ATM.CO2E.KT	</v>
      <v xml:space="preserve">	</v>
    </spb>
    <spb s="8">
      <v xml:space="preserve">data.worldbank.org	</v>
      <v xml:space="preserve">	</v>
      <v xml:space="preserve">http://data.worldbank.org/indicator/SH.STA.MMRT	</v>
      <v xml:space="preserve">	</v>
    </spb>
    <spb s="8">
      <v xml:space="preserve">data.worldbank.org	</v>
      <v xml:space="preserve">	</v>
      <v xml:space="preserve">http://data.worldbank.org/indicator/EG.USE.ELEC.KH.PC	</v>
      <v xml:space="preserve">	</v>
    </spb>
    <spb s="8">
      <v xml:space="preserve">data.worldbank.org	</v>
      <v xml:space="preserve">	</v>
      <v xml:space="preserve">http://data.worldbank.org/indicator/SL.TLF.CACT.ZS	</v>
      <v xml:space="preserve">	</v>
    </spb>
    <spb s="9">
      <v>8</v>
      <v>9</v>
      <v>10</v>
      <v>10</v>
      <v>11</v>
      <v>10</v>
      <v>10</v>
      <v>10</v>
      <v>12</v>
      <v>10</v>
      <v>10</v>
      <v>12</v>
      <v>10</v>
      <v>10</v>
      <v>13</v>
      <v>9</v>
      <v>14</v>
      <v>15</v>
      <v>10</v>
      <v>14</v>
      <v>16</v>
      <v>17</v>
      <v>18</v>
      <v>14</v>
      <v>10</v>
      <v>14</v>
      <v>19</v>
      <v>20</v>
      <v>21</v>
      <v>22</v>
      <v>14</v>
      <v>9</v>
      <v>14</v>
      <v>14</v>
      <v>14</v>
      <v>14</v>
      <v>14</v>
      <v>14</v>
      <v>14</v>
      <v>14</v>
      <v>14</v>
      <v>14</v>
      <v>23</v>
    </spb>
    <spb s="1">
      <v>1</v>
      <v>Name</v>
      <v>LearnMoreOnLink</v>
    </spb>
    <spb s="10">
      <v>3</v>
      <v>3</v>
      <v>3</v>
    </spb>
    <spb s="11">
      <v>3</v>
      <v>4</v>
    </spb>
    <spb s="12">
      <v>https://www.bing.com</v>
      <v>https://www.bing.com/th?id=Ga%5Cbing_yt.png&amp;w=100&amp;h=40&amp;c=0&amp;pid=0.1</v>
      <v>Powered by Bing</v>
    </spb>
    <spb s="13">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14">
      <v>11</v>
    </spb>
    <spb s="14">
      <v>5</v>
    </spb>
    <spb s="14">
      <v>7</v>
    </spb>
    <spb s="14">
      <v>8</v>
    </spb>
    <spb s="14">
      <v>1</v>
    </spb>
    <spb s="14">
      <v>12</v>
    </spb>
    <spb s="14">
      <v>2</v>
    </spb>
    <spb s="14">
      <v>9</v>
    </spb>
    <spb s="14">
      <v>6</v>
    </spb>
    <spb s="15">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2</v>
      <v>Name</v>
      <v>LearnMoreOnLink</v>
    </spb>
    <spb s="16">
      <v>3</v>
      <v>3</v>
      <v>3</v>
      <v>3</v>
    </spb>
    <spb s="17">
      <v>1</v>
      <v>2</v>
      <v>1</v>
      <v>3</v>
      <v>2</v>
      <v>2</v>
      <v>5</v>
      <v>2</v>
      <v>2</v>
      <v>5</v>
      <v>6</v>
      <v>5</v>
      <v>7</v>
      <v>2</v>
      <v>2</v>
      <v>8</v>
      <v>5</v>
      <v>2</v>
      <v>9</v>
      <v>10</v>
      <v>2</v>
      <v>2</v>
      <v>6</v>
    </spb>
    <spb s="8">
      <v xml:space="preserve">Wikipedia	Cia	</v>
      <v xml:space="preserve">CC-BY-SA		</v>
      <v xml:space="preserve">http://en.wikipedia.org/wiki/Republic_of_Ireland	https://www.cia.gov/library/publications/the-world-factbook/geos/ei.html?Transportation	</v>
      <v xml:space="preserve">http://creativecommons.org/licenses/by-sa/3.0/		</v>
    </spb>
    <spb s="8">
      <v xml:space="preserve">Wikipedia	</v>
      <v xml:space="preserve">CC BY-SA 3.0	</v>
      <v xml:space="preserve">https://en.wikipedia.org/wiki/Republic_of_Ireland	</v>
      <v xml:space="preserve">https://creativecommons.org/licenses/by-sa/3.0	</v>
    </spb>
    <spb s="8">
      <v xml:space="preserve">Wikipedia	</v>
      <v xml:space="preserve">CC-BY-SA	</v>
      <v xml:space="preserve">http://en.wikipedia.org/wiki/Republic_of_Ireland	</v>
      <v xml:space="preserve">http://creativecommons.org/licenses/by-sa/3.0/	</v>
    </spb>
    <spb s="8">
      <v xml:space="preserve">Cia	</v>
      <v xml:space="preserve">	</v>
      <v xml:space="preserve">https://www.cia.gov/library/publications/the-world-factbook/geos/ei.html?Transportation	</v>
      <v xml:space="preserve">	</v>
    </spb>
    <spb s="18">
      <v>8</v>
      <v>43</v>
      <v>44</v>
      <v>44</v>
      <v>11</v>
      <v>44</v>
      <v>44</v>
      <v>44</v>
      <v>44</v>
      <v>44</v>
      <v>45</v>
      <v>44</v>
      <v>44</v>
      <v>46</v>
      <v>13</v>
      <v>43</v>
      <v>46</v>
      <v>15</v>
      <v>44</v>
      <v>46</v>
      <v>16</v>
      <v>17</v>
      <v>18</v>
      <v>46</v>
      <v>46</v>
      <v>44</v>
      <v>46</v>
      <v>19</v>
      <v>20</v>
      <v>21</v>
      <v>22</v>
      <v>46</v>
      <v>43</v>
      <v>46</v>
      <v>46</v>
      <v>46</v>
      <v>46</v>
      <v>46</v>
      <v>46</v>
      <v>46</v>
      <v>46</v>
      <v>46</v>
      <v>46</v>
      <v>23</v>
    </spb>
    <spb s="1">
      <v>3</v>
      <v>Name</v>
      <v>LearnMoreOnLink</v>
    </spb>
    <spb s="13">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19">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4</v>
      <v>Name</v>
      <v>LearnMoreOnLink</v>
    </spb>
    <spb s="20">
      <v>1</v>
      <v>2</v>
      <v>1</v>
      <v>3</v>
      <v>2</v>
      <v>2</v>
      <v>5</v>
      <v>2</v>
      <v>2</v>
      <v>5</v>
      <v>6</v>
      <v>5</v>
      <v>7</v>
      <v>2</v>
      <v>2</v>
      <v>8</v>
      <v>5</v>
      <v>2</v>
      <v>13</v>
      <v>10</v>
    </spb>
    <spb s="21">
      <v>Atraso de 15 minutos</v>
      <v xml:space="preserve">do fechamento anterior </v>
      <v xml:space="preserve">do fechamento anterior </v>
      <v>GMT</v>
    </spb>
    <spb s="8">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8">
      <v xml:space="preserve">Wikipedia	</v>
      <v xml:space="preserve">CC BY-SA 3.0	</v>
      <v xml:space="preserve">https://en.wikipedia.org/wiki/France	</v>
      <v xml:space="preserve">https://creativecommons.org/licenses/by-sa/3.0	</v>
    </spb>
    <spb s="8">
      <v xml:space="preserve">Wikipedia	</v>
      <v xml:space="preserve">CC-BY-SA	</v>
      <v xml:space="preserve">http://en.wikipedia.org/wiki/France	</v>
      <v xml:space="preserve">http://creativecommons.org/licenses/by-sa/3.0/	</v>
    </spb>
    <spb s="8">
      <v xml:space="preserve">Cia	</v>
      <v xml:space="preserve">	</v>
      <v xml:space="preserve">https://www.cia.gov/library/publications/the-world-factbook/geos/fr.html?Transportation	</v>
      <v xml:space="preserve">	</v>
    </spb>
    <spb s="22">
      <v>8</v>
      <v>54</v>
      <v>55</v>
      <v>55</v>
      <v>11</v>
      <v>55</v>
      <v>55</v>
      <v>55</v>
      <v>56</v>
      <v>55</v>
      <v>55</v>
      <v>56</v>
      <v>55</v>
      <v>55</v>
      <v>57</v>
      <v>13</v>
      <v>54</v>
      <v>57</v>
      <v>15</v>
      <v>55</v>
      <v>57</v>
      <v>16</v>
      <v>17</v>
      <v>18</v>
      <v>57</v>
      <v>57</v>
      <v>55</v>
      <v>57</v>
      <v>19</v>
      <v>20</v>
      <v>21</v>
      <v>22</v>
      <v>57</v>
      <v>54</v>
      <v>57</v>
      <v>57</v>
      <v>57</v>
      <v>57</v>
      <v>57</v>
      <v>57</v>
      <v>57</v>
      <v>57</v>
      <v>57</v>
      <v>57</v>
      <v>23</v>
    </spb>
    <spb s="13">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23">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5</v>
      <v>Name</v>
      <v>LearnMoreOnLink</v>
    </spb>
    <spb s="24">
      <v>2</v>
      <v>1</v>
      <v>3</v>
      <v>2</v>
      <v>2</v>
      <v>5</v>
      <v>2</v>
      <v>2</v>
      <v>5</v>
      <v>6</v>
      <v>5</v>
      <v>7</v>
      <v>2</v>
      <v>2</v>
      <v>8</v>
      <v>5</v>
      <v>2</v>
      <v>9</v>
      <v>10</v>
      <v>2</v>
      <v>2</v>
      <v>6</v>
    </spb>
    <spb s="25">
      <v>Low</v>
      <v>P/E</v>
      <v>Beta</v>
      <v>High</v>
      <v>Name</v>
      <v>Open</v>
      <v>Image</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v>Price (Extended hours)</v>
      <v>Change (Extended hours)</v>
      <v>Change % (Extended hours)</v>
    </spb>
    <spb s="1">
      <v>6</v>
      <v>Name</v>
      <v>LearnMoreOnLink</v>
    </spb>
    <spb s="26">
      <v>2</v>
      <v>3</v>
      <v>3</v>
      <v>3</v>
      <v>3</v>
    </spb>
    <spb s="27">
      <v>2</v>
      <v>1</v>
      <v>1</v>
      <v>2</v>
      <v>3</v>
      <v>2</v>
      <v>4</v>
      <v>2</v>
      <v>2</v>
      <v>5</v>
      <v>5</v>
      <v>6</v>
      <v>9</v>
      <v>2</v>
      <v>2</v>
      <v>2</v>
      <v>5</v>
      <v>10</v>
      <v>8</v>
      <v>7</v>
      <v>5</v>
      <v>2</v>
      <v>2</v>
      <v>6</v>
    </spb>
    <spb s="28">
      <v>at close</v>
      <v>from previous close</v>
      <v>from previous close</v>
      <v>Source: Nasdaq</v>
      <v>GMT</v>
      <v>Delayed 15 minutes</v>
      <v>from close</v>
      <v>from close</v>
    </spb>
    <spb s="7">
      <v>Powered by Refinitiv</v>
    </spb>
    <spb s="29">
      <v>14</v>
      <v>2</v>
    </spb>
  </spbData>
</supportingPropertyBags>
</file>

<file path=xl/richData/rdsupportingpropertybagstructure.xml><?xml version="1.0" encoding="utf-8"?>
<spbStructures xmlns="http://schemas.microsoft.com/office/spreadsheetml/2017/richdata2" count="30">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Order" t="spba"/>
    <k n="TitleProperty" t="s"/>
    <k n="SubTitleProperty" t="s"/>
  </s>
  <s>
    <k n="ShowInDotNotation" t="b"/>
    <k n="ShowInAutoComplete" t="b"/>
  </s>
  <s>
    <k n="ShowInCardView" t="b"/>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name" t="s"/>
  </s>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Low" t="s"/>
    <k n="P/E" t="s"/>
    <k n="Beta" t="s"/>
    <k n="High" t="s"/>
    <k n="Name" t="s"/>
    <k n="Open" t="s"/>
    <k n="Image"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k n="Price (Extended hours)" t="s"/>
    <k n="Change (Extended hours)" t="s"/>
    <k n="Change % (Extended hours)" t="s"/>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m/d/yyyy"/>
    </x:dxf>
    <x:dxf>
      <x:numFmt numFmtId="27" formatCode="m/d/yyyy\ h:mm"/>
    </x:dxf>
    <x:dxf>
      <x:numFmt numFmtId="14" formatCode="0.00%"/>
    </x:dxf>
    <x:dxf>
      <x:numFmt numFmtId="2" formatCode="0.00"/>
    </x:dxf>
    <x:dxf>
      <x:numFmt numFmtId="3" formatCode="#,##0"/>
    </x:dxf>
    <x:dxf>
      <x:numFmt numFmtId="4" formatCode="#,##0.00"/>
    </x:dxf>
    <x:dxf>
      <x:numFmt numFmtId="1" formatCode="0"/>
    </x:dxf>
  </dxfs>
  <richProperties>
    <rPr n="NumberFormat" t="s"/>
    <rPr n="IsTitleField" t="b"/>
    <rPr n="IsHeroField" t="b"/>
  </richProperties>
  <richStyles>
    <rSty dxfid="6">
      <rpv i="0">#,##0.00</rpv>
    </rSty>
    <rSty dxfid="0">
      <rpv i="0">_([$$-en-US]* #,##0.00_);_([$$-en-US]* (#,##0.00);_([$$-en-US]* "-"??_);_(@_)</rpv>
    </rSty>
    <rSty>
      <rpv i="1">1</rpv>
    </rSty>
    <rSty>
      <rpv i="2">1</rpv>
    </rSty>
    <rSty dxfid="5">
      <rpv i="0">#,##0</rpv>
    </rSty>
    <rSty dxfid="3"/>
    <rSty dxfid="4">
      <rpv i="0">0.00</rpv>
    </rSty>
    <rSty dxfid="7">
      <rpv i="0">0</rpv>
    </rSty>
    <rSty dxfid="0">
      <rpv i="0">_([$$-en-US]* #,##0_);_([$$-en-US]* (#,##0);_([$$-en-US]* "-"_);_(@_)</rpv>
    </rSty>
    <rSty dxfid="2"/>
    <rSty dxfid="3">
      <rpv i="0">0.0%</rpv>
    </rSty>
    <rSty dxfid="0">
      <rpv i="0">0.0</rpv>
    </rSty>
    <rSty dxfid="0">
      <rpv i="0">_([$€-x-euro2] * #,##0_);_([$€-x-euro2] * (#,##0);_([$€-x-euro2] * "-"_);_(@_)</rpv>
    </rSty>
    <rSty dxfid="1"/>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4" dT="2025-02-26T18:55:21.53" personId="{8FC7388A-B149-40B4-B48E-70DCA56CA41C}" id="{CB5C8E83-E3D0-4441-B6E0-D862C650B5F5}">
    <text>Chipotle does not have any Intangibles in its Balance Sheet, except for Goodwill. Hence Depreciation and Amortization are forecasted only as % of PP&amp;E.</text>
  </threadedComment>
  <threadedComment ref="B154" dT="2025-02-26T17:14:37.81" personId="{8FC7388A-B149-40B4-B48E-70DCA56CA41C}" id="{E2CDF95A-7B2F-4661-BCB3-C007122C6CFD}">
    <text>Payment for Right of Use Assets are recognized as occupancy costs under SG&amp;A expenses.</text>
  </threadedComment>
  <threadedComment ref="B159" dT="2025-02-26T17:14:37.81" personId="{8FC7388A-B149-40B4-B48E-70DCA56CA41C}" id="{62E50C66-BA1C-4031-B660-F25771E0B7AB}">
    <text>Payment for Right of Use Assets are recognized as occupancy costs under SG&amp;A expenses.</text>
  </threadedComment>
  <threadedComment ref="B166" dT="2025-02-26T17:14:37.81" personId="{8FC7388A-B149-40B4-B48E-70DCA56CA41C}" id="{9EF6C6D7-5E70-49FE-A672-ED08A0372EC5}">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joaogarcia@aln.iseg.ulisboa.pt" TargetMode="External"/><Relationship Id="rId7" Type="http://schemas.openxmlformats.org/officeDocument/2006/relationships/comments" Target="../comments1.xml"/><Relationship Id="rId2" Type="http://schemas.openxmlformats.org/officeDocument/2006/relationships/hyperlink" Target="mailto:l61773@aln.iseg.ulisboa.pt" TargetMode="External"/><Relationship Id="rId1" Type="http://schemas.openxmlformats.org/officeDocument/2006/relationships/hyperlink" Target="mailto:lucas.alves@aln.iseg.ulisboa.pt"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mailto:haitaoyu@aln.iseg.ulisboa.p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https://chatgpt.com/c/67f8d25d-4ed0-8003-91a1-a3404cffeec9"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topLeftCell="A2" zoomScale="55" zoomScaleNormal="55" workbookViewId="0">
      <selection activeCell="D8" sqref="D8"/>
    </sheetView>
  </sheetViews>
  <sheetFormatPr defaultColWidth="15.625" defaultRowHeight="14.1"/>
  <cols>
    <col min="1" max="1" width="11.625" style="561" customWidth="1"/>
    <col min="2" max="2" width="0.75" style="559" customWidth="1"/>
    <col min="3" max="3" width="2.5" style="557" customWidth="1"/>
    <col min="4" max="4" width="11.875" style="557" customWidth="1"/>
    <col min="5" max="5" width="13.375" style="557" customWidth="1"/>
    <col min="6" max="9" width="12.625" style="557" customWidth="1"/>
    <col min="10" max="10" width="4" style="557" customWidth="1"/>
    <col min="11" max="12" width="12.625" style="557" customWidth="1"/>
    <col min="13" max="13" width="3.625" style="557" customWidth="1"/>
    <col min="14" max="15" width="12.625" style="557" customWidth="1"/>
    <col min="16" max="16" width="13.625" style="557" customWidth="1"/>
    <col min="17" max="17" width="15" style="557" customWidth="1"/>
    <col min="18" max="18" width="12.625" style="557" customWidth="1"/>
    <col min="19" max="19" width="3.875" style="611" customWidth="1"/>
    <col min="20" max="20" width="4" style="557" customWidth="1"/>
    <col min="21" max="21" width="27.25" style="557" customWidth="1"/>
    <col min="22" max="22" width="9.875" style="557" customWidth="1"/>
    <col min="23" max="16384" width="15.625" style="557"/>
  </cols>
  <sheetData>
    <row r="1" spans="1:22" ht="24.75" customHeight="1">
      <c r="A1" s="691"/>
      <c r="B1" s="692"/>
      <c r="C1" s="438"/>
      <c r="D1" s="438"/>
      <c r="E1" s="438"/>
      <c r="F1" s="438"/>
      <c r="G1" s="438"/>
      <c r="H1" s="438"/>
      <c r="I1" s="438"/>
      <c r="J1" s="438"/>
      <c r="K1" s="438"/>
      <c r="L1" s="438"/>
      <c r="M1" s="438"/>
      <c r="N1" s="438"/>
      <c r="O1" s="438"/>
      <c r="P1" s="438"/>
      <c r="Q1" s="438"/>
      <c r="R1" s="438"/>
      <c r="S1" s="438"/>
      <c r="T1" s="438"/>
      <c r="U1" s="438"/>
      <c r="V1" s="438"/>
    </row>
    <row r="2" spans="1:22" ht="24" customHeight="1">
      <c r="A2" s="691"/>
      <c r="B2" s="692"/>
      <c r="C2" s="438"/>
      <c r="D2" s="438"/>
      <c r="E2" s="723" t="s">
        <v>0</v>
      </c>
      <c r="F2" s="438"/>
      <c r="G2" s="438"/>
      <c r="H2" s="438"/>
      <c r="I2" s="438"/>
      <c r="J2" s="438"/>
      <c r="K2" s="438"/>
      <c r="L2" s="438"/>
      <c r="M2" s="438"/>
      <c r="N2" s="438"/>
      <c r="O2" s="438"/>
      <c r="P2" s="438"/>
      <c r="Q2" s="438"/>
      <c r="R2" s="438"/>
      <c r="S2" s="438"/>
      <c r="T2" s="438"/>
      <c r="U2" s="631" t="s">
        <v>1</v>
      </c>
      <c r="V2" s="438"/>
    </row>
    <row r="3" spans="1:22">
      <c r="A3" s="691"/>
      <c r="B3" s="692"/>
      <c r="C3" s="438"/>
      <c r="D3" s="438"/>
      <c r="E3" s="438"/>
      <c r="F3" s="438"/>
      <c r="G3" s="438"/>
      <c r="H3" s="438"/>
      <c r="I3" s="438"/>
      <c r="J3" s="438"/>
      <c r="K3" s="438"/>
      <c r="L3" s="438"/>
      <c r="M3" s="438"/>
      <c r="N3" s="438"/>
      <c r="O3" s="438"/>
      <c r="P3" s="438"/>
      <c r="Q3" s="438"/>
      <c r="R3" s="438"/>
      <c r="S3" s="438"/>
      <c r="T3" s="438"/>
      <c r="U3" s="617" t="s">
        <v>2</v>
      </c>
      <c r="V3" s="438"/>
    </row>
    <row r="4" spans="1:22">
      <c r="A4" s="691"/>
      <c r="B4" s="692"/>
      <c r="C4" s="438"/>
      <c r="D4" s="438"/>
      <c r="E4" s="438"/>
      <c r="F4" s="438"/>
      <c r="G4" s="438"/>
      <c r="H4" s="438"/>
      <c r="I4" s="438"/>
      <c r="J4" s="438"/>
      <c r="K4" s="438"/>
      <c r="L4" s="438"/>
      <c r="M4" s="438"/>
      <c r="N4" s="438"/>
      <c r="O4" s="438"/>
      <c r="P4" s="438"/>
      <c r="Q4" s="438"/>
      <c r="R4" s="438"/>
      <c r="S4" s="438"/>
      <c r="T4" s="438"/>
      <c r="U4" s="617"/>
      <c r="V4" s="438"/>
    </row>
    <row r="5" spans="1:22">
      <c r="A5" s="691"/>
      <c r="B5" s="692"/>
      <c r="C5" s="438"/>
      <c r="D5" s="438"/>
      <c r="E5" s="438"/>
      <c r="F5" s="438"/>
      <c r="G5" s="438"/>
      <c r="H5" s="438"/>
      <c r="I5"/>
      <c r="J5" s="438"/>
      <c r="K5" s="438"/>
      <c r="L5" s="438"/>
      <c r="M5" s="438"/>
      <c r="N5" s="438"/>
      <c r="O5" s="438"/>
      <c r="P5" s="438"/>
      <c r="Q5" s="438"/>
      <c r="R5" s="438"/>
      <c r="S5" s="438"/>
      <c r="T5" s="438"/>
      <c r="U5" s="438"/>
      <c r="V5" s="438"/>
    </row>
    <row r="6" spans="1:22" s="558" customFormat="1" ht="15.95" customHeight="1">
      <c r="A6" s="562"/>
      <c r="B6" s="563"/>
      <c r="D6" s="565" t="str" cm="1">
        <f t="array" aca="1" ref="D6" ca="1">+_FV(DCF!R4,"Name")</f>
        <v>INTERNATIONAL BUSINESS MACHINES CORPORATION</v>
      </c>
      <c r="S6" s="693"/>
      <c r="U6" s="616" t="s">
        <v>3</v>
      </c>
    </row>
    <row r="7" spans="1:22" ht="3.75" customHeight="1">
      <c r="A7" s="691"/>
      <c r="B7" s="692"/>
      <c r="C7" s="438"/>
      <c r="D7" s="438"/>
      <c r="E7" s="438"/>
      <c r="F7" s="438"/>
      <c r="G7" s="438"/>
      <c r="H7" s="438"/>
      <c r="I7" s="438"/>
      <c r="J7" s="438"/>
      <c r="K7" s="438"/>
      <c r="L7" s="438"/>
      <c r="M7" s="438"/>
      <c r="N7" s="438"/>
      <c r="O7" s="438"/>
      <c r="P7" s="438"/>
      <c r="Q7" s="438"/>
      <c r="R7" s="438"/>
      <c r="S7" s="693"/>
      <c r="T7" s="438"/>
      <c r="U7" s="558"/>
      <c r="V7" s="438"/>
    </row>
    <row r="8" spans="1:22" ht="14.25" customHeight="1">
      <c r="A8" s="691"/>
      <c r="B8" s="692"/>
      <c r="C8" s="438"/>
      <c r="D8" s="941" t="s">
        <v>4</v>
      </c>
      <c r="E8" s="941"/>
      <c r="F8" s="941"/>
      <c r="G8" s="941"/>
      <c r="H8" s="941"/>
      <c r="I8" s="941"/>
      <c r="J8" s="941"/>
      <c r="K8" s="941"/>
      <c r="L8" s="941"/>
      <c r="M8" s="941"/>
      <c r="N8" s="941"/>
      <c r="O8" s="941"/>
      <c r="P8" s="941"/>
      <c r="Q8" s="941"/>
      <c r="R8" s="941"/>
      <c r="S8" s="694"/>
      <c r="T8" s="438"/>
      <c r="U8" s="695" t="e" vm="1">
        <v>#VALUE!</v>
      </c>
      <c r="V8" s="438"/>
    </row>
    <row r="9" spans="1:22" ht="14.25" customHeight="1">
      <c r="A9" s="691"/>
      <c r="B9" s="692"/>
      <c r="C9" s="438"/>
      <c r="D9" s="941"/>
      <c r="E9" s="941"/>
      <c r="F9" s="941"/>
      <c r="G9" s="941"/>
      <c r="H9" s="941"/>
      <c r="I9" s="941"/>
      <c r="J9" s="941"/>
      <c r="K9" s="941"/>
      <c r="L9" s="941"/>
      <c r="M9" s="941"/>
      <c r="N9" s="941"/>
      <c r="O9" s="941"/>
      <c r="P9" s="941"/>
      <c r="Q9" s="941"/>
      <c r="R9" s="941"/>
      <c r="S9" s="694"/>
      <c r="T9" s="438"/>
      <c r="U9" s="564" t="str" cm="1">
        <f t="array" aca="1" ref="U9" ca="1">+"Price (7 Mar 25): $"&amp;_FV(DCF!$R$4,"Price")</f>
        <v>Price (7 Mar 25): $288.37</v>
      </c>
      <c r="V9" s="438"/>
    </row>
    <row r="10" spans="1:22" ht="20.100000000000001" customHeight="1">
      <c r="A10" s="691"/>
      <c r="B10" s="692"/>
      <c r="C10" s="438"/>
      <c r="D10" s="565" t="s">
        <v>5</v>
      </c>
      <c r="E10" s="696"/>
      <c r="F10" s="696"/>
      <c r="G10" s="696"/>
      <c r="H10" s="696"/>
      <c r="I10" s="696"/>
      <c r="J10" s="696"/>
      <c r="K10" s="696"/>
      <c r="L10" s="696"/>
      <c r="M10" s="696"/>
      <c r="N10" s="696"/>
      <c r="O10" s="696"/>
      <c r="P10" s="696"/>
      <c r="Q10" s="696"/>
      <c r="R10" s="696"/>
      <c r="S10" s="697"/>
      <c r="T10" s="438"/>
      <c r="U10" s="1" t="str">
        <f ca="1">"Price Target: $" &amp; ROUND(IF(Summary!G25="FCFF",DCF!Q209,IF(Summary!G25="FCFE",DCF!Q252,IF(Summary!G25="Tax Shield",DCF!Q225,DCF!Q268))),2) &amp;" "&amp;IF(Summary!G25="FCFF","(FCFF)",IF(Summary!G25="FCFE","(FCFE)",IF(Summary!G25="Tax Shield","(APV)","(DDM)")))</f>
        <v>Price Target: $257.51 (FCFF)</v>
      </c>
      <c r="V10" s="438"/>
    </row>
    <row r="11" spans="1:22" ht="14.25" customHeight="1">
      <c r="A11" s="691"/>
      <c r="B11" s="692"/>
      <c r="C11" s="438"/>
      <c r="D11" s="941" t="s">
        <v>6</v>
      </c>
      <c r="E11" s="941"/>
      <c r="F11" s="941"/>
      <c r="G11" s="941"/>
      <c r="H11" s="941"/>
      <c r="I11" s="941"/>
      <c r="J11" s="941"/>
      <c r="K11" s="941"/>
      <c r="L11" s="941"/>
      <c r="M11" s="941"/>
      <c r="N11" s="941"/>
      <c r="O11" s="941"/>
      <c r="P11" s="941"/>
      <c r="Q11" s="941"/>
      <c r="R11" s="941"/>
      <c r="S11" s="694"/>
      <c r="T11" s="438"/>
      <c r="U11" s="564" t="str">
        <f ca="1">+"Upside (Downside): "&amp;ROUND((DCF!$Q$212*100),2)&amp;"%"</f>
        <v>Upside (Downside): -10.7%</v>
      </c>
      <c r="V11" s="438"/>
    </row>
    <row r="12" spans="1:22" ht="3.75" customHeight="1">
      <c r="A12" s="691"/>
      <c r="B12" s="692"/>
      <c r="C12" s="438"/>
      <c r="D12" s="941"/>
      <c r="E12" s="941"/>
      <c r="F12" s="941"/>
      <c r="G12" s="941"/>
      <c r="H12" s="941"/>
      <c r="I12" s="941"/>
      <c r="J12" s="941"/>
      <c r="K12" s="941"/>
      <c r="L12" s="941"/>
      <c r="M12" s="941"/>
      <c r="N12" s="941"/>
      <c r="O12" s="941"/>
      <c r="P12" s="941"/>
      <c r="Q12" s="941"/>
      <c r="R12" s="941"/>
      <c r="S12" s="694"/>
      <c r="T12" s="438"/>
      <c r="U12" s="438"/>
      <c r="V12" s="438"/>
    </row>
    <row r="13" spans="1:22" ht="17.25" customHeight="1">
      <c r="A13" s="691"/>
      <c r="B13" s="692"/>
      <c r="C13" s="438"/>
      <c r="D13" s="941"/>
      <c r="E13" s="941"/>
      <c r="F13" s="941"/>
      <c r="G13" s="941"/>
      <c r="H13" s="941"/>
      <c r="I13" s="941"/>
      <c r="J13" s="941"/>
      <c r="K13" s="941"/>
      <c r="L13" s="941"/>
      <c r="M13" s="941"/>
      <c r="N13" s="941"/>
      <c r="O13" s="941"/>
      <c r="P13" s="941"/>
      <c r="Q13" s="941"/>
      <c r="R13" s="941"/>
      <c r="S13" s="694"/>
      <c r="T13" s="438"/>
      <c r="U13" s="438"/>
      <c r="V13" s="438"/>
    </row>
    <row r="14" spans="1:22" ht="15" customHeight="1">
      <c r="A14" s="691"/>
      <c r="B14" s="692"/>
      <c r="C14" s="438"/>
      <c r="D14" s="941"/>
      <c r="E14" s="941"/>
      <c r="F14" s="941"/>
      <c r="G14" s="941"/>
      <c r="H14" s="941"/>
      <c r="I14" s="941"/>
      <c r="J14" s="941"/>
      <c r="K14" s="941"/>
      <c r="L14" s="941"/>
      <c r="M14" s="941"/>
      <c r="N14" s="941"/>
      <c r="O14" s="941"/>
      <c r="P14" s="941"/>
      <c r="Q14" s="941"/>
      <c r="R14" s="941"/>
      <c r="S14" s="694"/>
      <c r="T14" s="438"/>
      <c r="U14" s="698" t="s">
        <v>7</v>
      </c>
      <c r="V14" s="692"/>
    </row>
    <row r="15" spans="1:22" ht="15" customHeight="1">
      <c r="A15" s="691"/>
      <c r="B15" s="692"/>
      <c r="C15" s="438"/>
      <c r="D15" s="941"/>
      <c r="E15" s="941"/>
      <c r="F15" s="941"/>
      <c r="G15" s="941"/>
      <c r="H15" s="941"/>
      <c r="I15" s="941"/>
      <c r="J15" s="941"/>
      <c r="K15" s="941"/>
      <c r="L15" s="941"/>
      <c r="M15" s="941"/>
      <c r="N15" s="941"/>
      <c r="O15" s="941"/>
      <c r="P15" s="941"/>
      <c r="Q15" s="941"/>
      <c r="R15" s="941"/>
      <c r="S15" s="694"/>
      <c r="T15" s="438"/>
      <c r="U15" s="698" t="str">
        <f>+ESG!C10</f>
        <v>IT Services</v>
      </c>
      <c r="V15" s="692"/>
    </row>
    <row r="16" spans="1:22" ht="3.75" customHeight="1">
      <c r="A16" s="691"/>
      <c r="B16" s="692"/>
      <c r="C16" s="438"/>
      <c r="D16" s="438"/>
      <c r="E16" s="1"/>
      <c r="F16" s="438"/>
      <c r="G16" s="438"/>
      <c r="H16" s="438"/>
      <c r="I16" s="438"/>
      <c r="J16" s="438"/>
      <c r="K16" s="438"/>
      <c r="L16" s="438"/>
      <c r="M16" s="438"/>
      <c r="N16" s="438"/>
      <c r="O16" s="438"/>
      <c r="P16" s="438"/>
      <c r="Q16" s="438"/>
      <c r="R16" s="438"/>
      <c r="S16" s="693"/>
      <c r="T16" s="438"/>
      <c r="U16" s="699"/>
      <c r="V16" s="438"/>
    </row>
    <row r="17" spans="4:22" ht="14.25" customHeight="1">
      <c r="D17" s="2" t="s">
        <v>8</v>
      </c>
      <c r="E17" s="3"/>
      <c r="F17" s="4">
        <v>2023</v>
      </c>
      <c r="G17" s="9">
        <f>+F17+1</f>
        <v>2024</v>
      </c>
      <c r="H17" s="5">
        <f>+G17+1</f>
        <v>2025</v>
      </c>
      <c r="I17" s="5">
        <f>+H17+1</f>
        <v>2026</v>
      </c>
      <c r="J17" s="438"/>
      <c r="K17" s="7" t="s">
        <v>9</v>
      </c>
      <c r="L17" s="4"/>
      <c r="M17" s="4"/>
      <c r="N17" s="4">
        <v>2022</v>
      </c>
      <c r="O17" s="4">
        <f>+N17+1</f>
        <v>2023</v>
      </c>
      <c r="P17" s="342">
        <f>+O17+1</f>
        <v>2024</v>
      </c>
      <c r="Q17" s="5">
        <f>+P17+1</f>
        <v>2025</v>
      </c>
      <c r="R17" s="5">
        <f>+Q17+1</f>
        <v>2026</v>
      </c>
      <c r="S17" s="612"/>
      <c r="T17" s="438"/>
      <c r="U17" s="700" t="s">
        <v>10</v>
      </c>
      <c r="V17" s="438"/>
    </row>
    <row r="18" spans="4:22" ht="24" customHeight="1">
      <c r="D18" s="943" t="s">
        <v>11</v>
      </c>
      <c r="E18" s="943"/>
      <c r="F18" s="893">
        <f>DCF!F17</f>
        <v>17396</v>
      </c>
      <c r="G18" s="894">
        <f>DCF!G17</f>
        <v>18808</v>
      </c>
      <c r="H18" s="895">
        <f>DCF!H17</f>
        <v>20594.759999999998</v>
      </c>
      <c r="I18" s="895">
        <f>DCF!I17</f>
        <v>22654.236000000001</v>
      </c>
      <c r="J18" s="438"/>
      <c r="K18" s="15" t="s">
        <v>12</v>
      </c>
      <c r="L18"/>
      <c r="M18"/>
      <c r="N18" s="365">
        <f ca="1">IFERROR(_xlfn.XLOOKUP($K18,Multiples!$B:$B,Multiples!N:N),"")</f>
        <v>2.8652042068627126</v>
      </c>
      <c r="O18" s="365">
        <f ca="1">IFERROR(_xlfn.XLOOKUP($K18,Multiples!$B:$B,Multiples!O:O),"")</f>
        <v>3.1620182294285484</v>
      </c>
      <c r="P18" s="343">
        <f ca="1">IFERROR(_xlfn.XLOOKUP($K18,Multiples!$B:$B,Multiples!P:P),"")</f>
        <v>3.9284691241569329</v>
      </c>
      <c r="Q18" s="350">
        <f ca="1">IFERROR(_xlfn.XLOOKUP($K18,Multiples!$B:$B,Multiples!Q:Q),"")</f>
        <v>4.47953430975911</v>
      </c>
      <c r="R18" s="350">
        <f ca="1">IFERROR(_xlfn.XLOOKUP($K18,Multiples!$B:$B,Multiples!R:R),"")</f>
        <v>4.4394652480934145</v>
      </c>
      <c r="S18" s="613"/>
      <c r="T18" s="438"/>
      <c r="U18" s="910" t="s">
        <v>13</v>
      </c>
      <c r="V18" s="438"/>
    </row>
    <row r="19" spans="4:22" ht="15.6">
      <c r="D19" s="10" t="s">
        <v>14</v>
      </c>
      <c r="E19" s="11"/>
      <c r="F19" s="893">
        <f>DCF!F20</f>
        <v>7615</v>
      </c>
      <c r="G19" s="893">
        <f>DCF!G20</f>
        <v>8277</v>
      </c>
      <c r="H19" s="895">
        <f>DCF!H20</f>
        <v>8770.2562454459712</v>
      </c>
      <c r="I19" s="895">
        <f>DCF!I20</f>
        <v>9292.9074073678948</v>
      </c>
      <c r="J19" s="438"/>
      <c r="K19" s="18" t="s">
        <v>15</v>
      </c>
      <c r="L19"/>
      <c r="M19"/>
      <c r="N19" s="365">
        <f ca="1">IFERROR(_xlfn.XLOOKUP($K19,Multiples!$B:$B,Multiples!N:N),"")</f>
        <v>2.1035818708309928</v>
      </c>
      <c r="O19" s="365">
        <f ca="1">IFERROR(_xlfn.XLOOKUP($K19,Multiples!$B:$B,Multiples!O:O),"")</f>
        <v>2.4091245986493699</v>
      </c>
      <c r="P19" s="343">
        <f ca="1">IFERROR(_xlfn.XLOOKUP($K19,Multiples!$B:$B,Multiples!P:P),"")</f>
        <v>3.2290443954587031</v>
      </c>
      <c r="Q19" s="350">
        <f ca="1">IFERROR(_xlfn.XLOOKUP($K19,Multiples!$B:$B,Multiples!Q:Q),"")</f>
        <v>3.8715383891580886</v>
      </c>
      <c r="R19" s="350">
        <f ca="1">IFERROR(_xlfn.XLOOKUP($K19,Multiples!$B:$B,Multiples!R:R),"")</f>
        <v>3.8841567057155761</v>
      </c>
      <c r="S19" s="613"/>
      <c r="T19" s="438"/>
      <c r="U19" s="602" t="s">
        <v>16</v>
      </c>
      <c r="V19" s="438"/>
    </row>
    <row r="20" spans="4:22" ht="14.25" customHeight="1">
      <c r="D20" s="10" t="s">
        <v>17</v>
      </c>
      <c r="E20" s="11"/>
      <c r="F20" s="893">
        <f>DCF!F25</f>
        <v>20884</v>
      </c>
      <c r="G20" s="893">
        <f>DCF!G25</f>
        <v>20692</v>
      </c>
      <c r="H20" s="895">
        <f>DCF!H25</f>
        <v>21105.84</v>
      </c>
      <c r="I20" s="895">
        <f>DCF!I25</f>
        <v>21739.015200000002</v>
      </c>
      <c r="J20" s="438"/>
      <c r="K20" s="19" t="s">
        <v>18</v>
      </c>
      <c r="L20"/>
      <c r="M20"/>
      <c r="N20" s="365">
        <f ca="1">IFERROR(_xlfn.XLOOKUP($K20,Multiples!$B:$B,Multiples!N:N),"")</f>
        <v>13.364476430715881</v>
      </c>
      <c r="O20" s="365">
        <f ca="1">IFERROR(_xlfn.XLOOKUP($K20,Multiples!$B:$B,Multiples!O:O),"")</f>
        <v>14.196722867792859</v>
      </c>
      <c r="P20" s="343">
        <f ca="1">IFERROR(_xlfn.XLOOKUP($K20,Multiples!$B:$B,Multiples!P:P),"")</f>
        <v>17.54863489096099</v>
      </c>
      <c r="Q20" s="350">
        <f ca="1">IFERROR(_xlfn.XLOOKUP($K20,Multiples!$B:$B,Multiples!Q:Q),"")</f>
        <v>21.831534886164562</v>
      </c>
      <c r="R20" s="350">
        <f ca="1">IFERROR(_xlfn.XLOOKUP($K20,Multiples!$B:$B,Multiples!R:R),"")</f>
        <v>21.677854097894912</v>
      </c>
      <c r="S20" s="613"/>
      <c r="T20" s="438"/>
      <c r="U20" s="20" t="s">
        <v>19</v>
      </c>
      <c r="V20" s="438"/>
    </row>
    <row r="21" spans="4:22" ht="15.6">
      <c r="D21" s="10" t="s">
        <v>20</v>
      </c>
      <c r="E21" s="11"/>
      <c r="F21" s="893">
        <f>DCF!F26</f>
        <v>14593</v>
      </c>
      <c r="G21" s="893">
        <f>DCF!G26</f>
        <v>14020</v>
      </c>
      <c r="H21" s="895">
        <f>DCF!H26</f>
        <v>14648.096</v>
      </c>
      <c r="I21" s="895">
        <f>DCF!I26</f>
        <v>14500</v>
      </c>
      <c r="J21" s="438"/>
      <c r="K21" s="19" t="s">
        <v>21</v>
      </c>
      <c r="L21"/>
      <c r="M21"/>
      <c r="N21" s="365">
        <f ca="1">IFERROR(_xlfn.XLOOKUP($K21,Multiples!$B:$B,Multiples!N:N),"")</f>
        <v>21.214778060110092</v>
      </c>
      <c r="O21" s="365">
        <f ca="1">IFERROR(_xlfn.XLOOKUP($K21,Multiples!$B:$B,Multiples!O:O),"")</f>
        <v>20.84869406016308</v>
      </c>
      <c r="P21" s="343">
        <f ca="1">IFERROR(_xlfn.XLOOKUP($K21,Multiples!$B:$B,Multiples!P:P),"")</f>
        <v>26.278991892998615</v>
      </c>
      <c r="Q21" s="350">
        <f ca="1">IFERROR(_xlfn.XLOOKUP($K21,Multiples!$B:$B,Multiples!Q:Q),"")</f>
        <v>33.548656204693451</v>
      </c>
      <c r="R21" s="350">
        <f ca="1">IFERROR(_xlfn.XLOOKUP($K21,Multiples!$B:$B,Multiples!R:R),"")</f>
        <v>33.406954897917196</v>
      </c>
      <c r="S21" s="613"/>
      <c r="T21" s="438"/>
      <c r="U21" s="909" t="s">
        <v>22</v>
      </c>
      <c r="V21" s="438"/>
    </row>
    <row r="22" spans="4:22" ht="15.6">
      <c r="D22" s="10"/>
      <c r="E22" s="11"/>
      <c r="F22" s="12"/>
      <c r="G22" s="13"/>
      <c r="H22" s="14"/>
      <c r="I22" s="14"/>
      <c r="J22" s="438"/>
      <c r="K22" s="18" t="s">
        <v>23</v>
      </c>
      <c r="L22"/>
      <c r="M22"/>
      <c r="N22" s="365">
        <f ca="1">IFERROR(_xlfn.XLOOKUP($K22,Multiples!$B:$B,Multiples!N:N),"")</f>
        <v>71.453316858249167</v>
      </c>
      <c r="O22" s="365">
        <f ca="1">IFERROR(_xlfn.XLOOKUP($K22,Multiples!$B:$B,Multiples!O:O),"")</f>
        <v>19.836077155923068</v>
      </c>
      <c r="P22" s="343">
        <f ca="1">IFERROR(_xlfn.XLOOKUP($K22,Multiples!$B:$B,Multiples!P:P),"")</f>
        <v>33.682217910275931</v>
      </c>
      <c r="Q22" s="350">
        <f ca="1">IFERROR(_xlfn.XLOOKUP($K22,Multiples!$B:$B,Multiples!Q:Q),"")</f>
        <v>37.601264030297834</v>
      </c>
      <c r="R22" s="350">
        <f ca="1">IFERROR(_xlfn.XLOOKUP($K22,Multiples!$B:$B,Multiples!R:R),"")</f>
        <v>32.21556882280322</v>
      </c>
      <c r="S22" s="613"/>
      <c r="T22" s="438"/>
      <c r="U22" s="602" t="s">
        <v>24</v>
      </c>
      <c r="V22" s="438"/>
    </row>
    <row r="23" spans="4:22" ht="14.25" customHeight="1">
      <c r="D23" s="10"/>
      <c r="E23" s="11"/>
      <c r="F23" s="12"/>
      <c r="G23" s="13"/>
      <c r="H23" s="14"/>
      <c r="I23" s="14"/>
      <c r="J23" s="438"/>
      <c r="K23" s="19" t="s">
        <v>25</v>
      </c>
      <c r="L23"/>
      <c r="M23"/>
      <c r="N23" s="365">
        <f ca="1">IFERROR(_xlfn.XLOOKUP($K23,Multiples!$B:$B,Multiples!N:N),"")</f>
        <v>5.7819367287893924</v>
      </c>
      <c r="O23" s="365">
        <f ca="1">IFERROR(_xlfn.XLOOKUP($K23,Multiples!$B:$B,Multiples!O:O),"")</f>
        <v>6.5906796246439949</v>
      </c>
      <c r="P23" s="343">
        <f ca="1">IFERROR(_xlfn.XLOOKUP($K23,Multiples!$B:$B,Multiples!P:P),"")</f>
        <v>7.397496456929761</v>
      </c>
      <c r="Q23" s="350">
        <f ca="1">IFERROR(_xlfn.XLOOKUP($K23,Multiples!$B:$B,Multiples!Q:Q),"")</f>
        <v>9.4071155834685136</v>
      </c>
      <c r="R23" s="350">
        <f ca="1">IFERROR(_xlfn.XLOOKUP($K23,Multiples!$B:$B,Multiples!R:R),"")</f>
        <v>9.4674730879687825</v>
      </c>
      <c r="S23" s="613"/>
      <c r="T23" s="438"/>
      <c r="U23" s="20" t="s">
        <v>26</v>
      </c>
      <c r="V23" s="438"/>
    </row>
    <row r="24" spans="4:22" ht="15.6">
      <c r="D24"/>
      <c r="E24"/>
      <c r="F24"/>
      <c r="G24"/>
      <c r="H24"/>
      <c r="I24"/>
      <c r="J24"/>
      <c r="K24" s="19"/>
      <c r="L24"/>
      <c r="M24"/>
      <c r="N24"/>
      <c r="O24"/>
      <c r="P24"/>
      <c r="Q24"/>
      <c r="R24"/>
      <c r="S24" s="614"/>
      <c r="T24" s="438"/>
      <c r="U24" s="909" t="s">
        <v>27</v>
      </c>
      <c r="V24" s="438"/>
    </row>
    <row r="25" spans="4:22" ht="14.25" customHeight="1">
      <c r="D25" s="25" t="s">
        <v>28</v>
      </c>
      <c r="E25" s="566" t="s">
        <v>29</v>
      </c>
      <c r="F25" s="567" t="s">
        <v>30</v>
      </c>
      <c r="G25" s="567" t="s">
        <v>31</v>
      </c>
      <c r="H25" s="567" t="str">
        <f>+IF(Summary!$G$25="FCFF",DCF!AB6,IF(Summary!$G$25="FCFE",DCF!AC6,DCF!AD6))</f>
        <v>NOPAT</v>
      </c>
      <c r="I25" s="568" t="s">
        <v>32</v>
      </c>
      <c r="J25" s="438"/>
      <c r="K25" s="7" t="s">
        <v>33</v>
      </c>
      <c r="L25" s="4"/>
      <c r="M25" s="4"/>
      <c r="N25" s="4">
        <v>2022</v>
      </c>
      <c r="O25" s="4">
        <f>+N25+1</f>
        <v>2023</v>
      </c>
      <c r="P25" s="342">
        <f>+O25+1</f>
        <v>2024</v>
      </c>
      <c r="Q25" s="5">
        <f>+P25+1</f>
        <v>2025</v>
      </c>
      <c r="R25" s="5">
        <f>+Q25+1</f>
        <v>2026</v>
      </c>
      <c r="S25" s="612"/>
      <c r="T25" s="438"/>
      <c r="U25" s="602" t="s">
        <v>34</v>
      </c>
      <c r="V25" s="438"/>
    </row>
    <row r="26" spans="4:22" ht="15.6">
      <c r="D26" s="26">
        <v>2022</v>
      </c>
      <c r="E26" s="569">
        <f>+DCF!E31</f>
        <v>60530</v>
      </c>
      <c r="F26" s="570">
        <f>+DCF!E61</f>
        <v>0.13505699653064596</v>
      </c>
      <c r="G26" s="571">
        <f ca="1">+INDEX(DCF!X7:AA7,MATCH(Summary!$G$25,{"FCFF","FCFE","Tax Shield","Total Payout"},0))</f>
        <v>11688.4</v>
      </c>
      <c r="H26" s="571">
        <f>+IF(Summary!$G$25="FCFF",DCF!AB7,IF(Summary!$G$25="FCFE",DCF!AC7,DCF!AD7))</f>
        <v>6932.4</v>
      </c>
      <c r="I26" s="572">
        <f>+DCF!E135</f>
        <v>-1235</v>
      </c>
      <c r="J26" s="438"/>
      <c r="K26" s="19" t="s">
        <v>35</v>
      </c>
      <c r="L26"/>
      <c r="M26"/>
      <c r="N26" s="896">
        <f>IFERROR(_xlfn.XLOOKUP($K26,Multiples!$B:$B,Multiples!N:N),"")</f>
        <v>1.400458960736852E-2</v>
      </c>
      <c r="O26" s="896">
        <f>IFERROR(_xlfn.XLOOKUP($K26,Multiples!$B:$B,Multiples!O:O),"")</f>
        <v>5.5553501578686625E-2</v>
      </c>
      <c r="P26" s="360">
        <f>IFERROR(_xlfn.XLOOKUP($K26,Multiples!$B:$B,Multiples!P:P),"")</f>
        <v>4.3856387825770005E-2</v>
      </c>
      <c r="Q26" s="361">
        <f ca="1">IFERROR(_xlfn.XLOOKUP($K26,Multiples!$B:$B,Multiples!Q:Q),"")</f>
        <v>4.7421905974474682E-2</v>
      </c>
      <c r="R26" s="361">
        <f ca="1">IFERROR(_xlfn.XLOOKUP($K26,Multiples!$B:$B,Multiples!R:R),"")</f>
        <v>5.799909357996489E-2</v>
      </c>
      <c r="S26" s="613"/>
      <c r="T26" s="438"/>
      <c r="U26" s="20" t="s">
        <v>36</v>
      </c>
      <c r="V26" s="438"/>
    </row>
    <row r="27" spans="4:22" ht="14.25" customHeight="1">
      <c r="D27" s="26">
        <f t="shared" ref="D27:D33" si="0">+D26+1</f>
        <v>2023</v>
      </c>
      <c r="E27" s="573">
        <f>+DCF!F31</f>
        <v>61860</v>
      </c>
      <c r="F27" s="574">
        <f>+DCF!F61</f>
        <v>0.15166505011315876</v>
      </c>
      <c r="G27" s="575">
        <f ca="1">+INDEX(DCF!X8:AA8,MATCH(Summary!$G$25,{"FCFF","FCFE","Tax Shield","Total Payout"},0))</f>
        <v>14857.52</v>
      </c>
      <c r="H27" s="576">
        <f>+IF(Summary!$G$25="FCFF",DCF!AB8,IF(Summary!$G$25="FCFE",DCF!AC8,DCF!AD8))</f>
        <v>8068.5199999999995</v>
      </c>
      <c r="I27" s="572">
        <f>+DCF!F135</f>
        <v>-924</v>
      </c>
      <c r="J27" s="438"/>
      <c r="K27" s="19" t="s">
        <v>37</v>
      </c>
      <c r="L27"/>
      <c r="M27"/>
      <c r="N27" s="896">
        <f>IFERROR(_xlfn.XLOOKUP($K27,Multiples!$B:$B,Multiples!N:N),"")</f>
        <v>8.0919080919080913E-2</v>
      </c>
      <c r="O27" s="896">
        <f>IFERROR(_xlfn.XLOOKUP($K27,Multiples!$B:$B,Multiples!O:O),"")</f>
        <v>0.33225720856182556</v>
      </c>
      <c r="P27" s="360">
        <f>IFERROR(_xlfn.XLOOKUP($K27,Multiples!$B:$B,Multiples!P:P),"")</f>
        <v>0.21962616822429906</v>
      </c>
      <c r="Q27" s="361">
        <f ca="1">IFERROR(_xlfn.XLOOKUP($K27,Multiples!$B:$B,Multiples!Q:Q),"")</f>
        <v>0.22567839715729265</v>
      </c>
      <c r="R27" s="361">
        <f ca="1">IFERROR(_xlfn.XLOOKUP($K27,Multiples!$B:$B,Multiples!R:R),"")</f>
        <v>0.27601468576036703</v>
      </c>
      <c r="S27" s="613"/>
      <c r="T27" s="438"/>
      <c r="U27" s="909" t="s">
        <v>38</v>
      </c>
      <c r="V27" s="438"/>
    </row>
    <row r="28" spans="4:22" ht="15.6">
      <c r="D28" s="389">
        <f t="shared" si="0"/>
        <v>2024</v>
      </c>
      <c r="E28" s="577">
        <f>+DCF!G31</f>
        <v>62753</v>
      </c>
      <c r="F28" s="578">
        <f>+DCF!G61</f>
        <v>0.14949086099469347</v>
      </c>
      <c r="G28" s="579">
        <f ca="1">+INDEX(DCF!X9:AA9,MATCH(Summary!$G$25,{"FCFF","FCFE","Tax Shield","Total Payout"},0))</f>
        <v>14905.184000000001</v>
      </c>
      <c r="H28" s="580">
        <f>+IF(Summary!$G$25="FCFF",DCF!AB9,IF(Summary!$G$25="FCFE",DCF!AC9,DCF!AD9))</f>
        <v>8105.1840000000002</v>
      </c>
      <c r="I28" s="604">
        <f>+DCF!G135</f>
        <v>-491</v>
      </c>
      <c r="J28" s="438"/>
      <c r="K28" s="120" t="s">
        <v>39</v>
      </c>
      <c r="L28"/>
      <c r="M28"/>
      <c r="N28" s="896">
        <f>IFERROR(_xlfn.XLOOKUP($K28,Multiples!$B:$B,Multiples!N:N),"")</f>
        <v>0.12180040407440615</v>
      </c>
      <c r="O28" s="896">
        <f>IFERROR(_xlfn.XLOOKUP($K28,Multiples!$B:$B,Multiples!O:O),"")</f>
        <v>7.5624695827556182E-2</v>
      </c>
      <c r="P28" s="360">
        <f>IFERROR(_xlfn.XLOOKUP($K28,Multiples!$B:$B,Multiples!P:P),"")</f>
        <v>8.4372835269166432E-2</v>
      </c>
      <c r="Q28" s="361">
        <f ca="1">IFERROR(_xlfn.XLOOKUP($K28,Multiples!$B:$B,Multiples!Q:Q),"")</f>
        <v>8.2144519821767154E-2</v>
      </c>
      <c r="R28" s="361">
        <f ca="1">IFERROR(_xlfn.XLOOKUP($K28,Multiples!$B:$B,Multiples!R:R),"")</f>
        <v>8.3406235227733119E-2</v>
      </c>
      <c r="S28" s="613"/>
      <c r="T28" s="438"/>
      <c r="U28" s="745" t="s">
        <v>40</v>
      </c>
      <c r="V28" s="701"/>
    </row>
    <row r="29" spans="4:22" ht="15.6">
      <c r="D29" s="27">
        <f t="shared" si="0"/>
        <v>2025</v>
      </c>
      <c r="E29" s="581">
        <f>+DCF!H31</f>
        <v>65932.414782163381</v>
      </c>
      <c r="F29" s="582">
        <f>+DCF!H61</f>
        <v>0.13352350933008234</v>
      </c>
      <c r="G29" s="583">
        <f ca="1">+INDEX(DCF!X10:AA10,MATCH(Summary!$G$25,{"FCFF","FCFE","Tax Shield","Total Payout"},0))</f>
        <v>11932.291325615097</v>
      </c>
      <c r="H29" s="581">
        <f ca="1">+IF(Summary!$G$25="FCFF",DCF!AB10,IF(Summary!$G$25="FCFE",DCF!AC10,DCF!AD10))</f>
        <v>7547.5574912085804</v>
      </c>
      <c r="I29" s="730">
        <f>+DCF!H135</f>
        <v>-938.72156737252351</v>
      </c>
      <c r="J29" s="438"/>
      <c r="K29" s="28" t="s">
        <v>41</v>
      </c>
      <c r="L29"/>
      <c r="M29"/>
      <c r="N29" s="896">
        <f>IFERROR(_xlfn.XLOOKUP($K29,Multiples!$B:$B,Multiples!N:N),"")</f>
        <v>0.21438955889641501</v>
      </c>
      <c r="O29" s="896">
        <f>IFERROR(_xlfn.XLOOKUP($K29,Multiples!$B:$B,Multiples!O:O),"")</f>
        <v>0.22272874232137083</v>
      </c>
      <c r="P29" s="360">
        <f>IFERROR(_xlfn.XLOOKUP($K29,Multiples!$B:$B,Multiples!P:P),"")</f>
        <v>0.2238618074036301</v>
      </c>
      <c r="Q29" s="361">
        <f ca="1">IFERROR(_xlfn.XLOOKUP($K29,Multiples!$B:$B,Multiples!Q:Q),"")</f>
        <v>0.20518641190903875</v>
      </c>
      <c r="R29" s="361">
        <f ca="1">IFERROR(_xlfn.XLOOKUP($K29,Multiples!$B:$B,Multiples!R:R),"")</f>
        <v>0.20479265281726022</v>
      </c>
      <c r="S29" s="613"/>
      <c r="T29" s="438"/>
      <c r="U29" s="438"/>
      <c r="V29" s="438"/>
    </row>
    <row r="30" spans="4:22" ht="15.6">
      <c r="D30" s="27">
        <f t="shared" si="0"/>
        <v>2026</v>
      </c>
      <c r="E30" s="581">
        <f>+DCF!I31</f>
        <v>68863.861128704026</v>
      </c>
      <c r="F30" s="582">
        <f>+DCF!I61</f>
        <v>0.13289044935880104</v>
      </c>
      <c r="G30" s="583">
        <f ca="1">+INDEX(DCF!X11:AA11,MATCH(Summary!$G$25,{"FCFF","FCFE","Tax Shield","Total Payout"},0))</f>
        <v>13978.95533218066</v>
      </c>
      <c r="H30" s="581">
        <f ca="1">+IF(Summary!$G$25="FCFF",DCF!AB11,IF(Summary!$G$25="FCFE",DCF!AC11,DCF!AD11))</f>
        <v>7874.2277934011836</v>
      </c>
      <c r="I30" s="730">
        <f>+DCF!I135</f>
        <v>-770.11746913747834</v>
      </c>
      <c r="J30" s="438"/>
      <c r="K30" s="18" t="s">
        <v>30</v>
      </c>
      <c r="L30"/>
      <c r="M30"/>
      <c r="N30" s="896">
        <f>IFERROR(_xlfn.XLOOKUP($K30,Multiples!$B:$B,Multiples!N:N),"")</f>
        <v>0.13505699653064596</v>
      </c>
      <c r="O30" s="896">
        <f>IFERROR(_xlfn.XLOOKUP($K30,Multiples!$B:$B,Multiples!O:O),"")</f>
        <v>0.15166505011315876</v>
      </c>
      <c r="P30" s="360">
        <f>IFERROR(_xlfn.XLOOKUP($K30,Multiples!$B:$B,Multiples!P:P),"")</f>
        <v>0.14949086099469347</v>
      </c>
      <c r="Q30" s="361">
        <f ca="1">IFERROR(_xlfn.XLOOKUP($K30,Multiples!$B:$B,Multiples!Q:Q),"")</f>
        <v>0.13352350933008234</v>
      </c>
      <c r="R30" s="361">
        <f ca="1">IFERROR(_xlfn.XLOOKUP($K30,Multiples!$B:$B,Multiples!R:R),"")</f>
        <v>0.13289044935880104</v>
      </c>
      <c r="S30" s="613"/>
      <c r="T30" s="438"/>
      <c r="U30" s="722" t="s">
        <v>42</v>
      </c>
      <c r="V30" s="692"/>
    </row>
    <row r="31" spans="4:22" ht="14.25" customHeight="1">
      <c r="D31" s="27">
        <f t="shared" si="0"/>
        <v>2027</v>
      </c>
      <c r="E31" s="581">
        <f>+DCF!J31</f>
        <v>72104.208144791104</v>
      </c>
      <c r="F31" s="582">
        <f>+DCF!J61</f>
        <v>0.13351035853463045</v>
      </c>
      <c r="G31" s="583">
        <f ca="1">+INDEX(DCF!X12:AA12,MATCH(Summary!$G$25,{"FCFF","FCFE","Tax Shield","Total Payout"},0))</f>
        <v>14199.951116467744</v>
      </c>
      <c r="H31" s="581">
        <f ca="1">+IF(Summary!$G$25="FCFF",DCF!AB12,IF(Summary!$G$25="FCFE",DCF!AC12,DCF!AD12))</f>
        <v>8284.6311525152814</v>
      </c>
      <c r="I31" s="730">
        <f>+DCF!J135</f>
        <v>-683.21191991013461</v>
      </c>
      <c r="J31" s="438"/>
      <c r="K31" s="18" t="s">
        <v>43</v>
      </c>
      <c r="L31"/>
      <c r="M31"/>
      <c r="N31" s="896">
        <f>IFERROR(_xlfn.XLOOKUP($K31,Multiples!$B:$B,Multiples!N:N),"")</f>
        <v>0.54002973732033699</v>
      </c>
      <c r="O31" s="896">
        <f>IFERROR(_xlfn.XLOOKUP($K31,Multiples!$B:$B,Multiples!O:O),"")</f>
        <v>0.55447785321694143</v>
      </c>
      <c r="P31" s="360">
        <f>IFERROR(_xlfn.XLOOKUP($K31,Multiples!$B:$B,Multiples!P:P),"")</f>
        <v>0.56653865153857186</v>
      </c>
      <c r="Q31" s="361">
        <f ca="1">IFERROR(_xlfn.XLOOKUP($K31,Multiples!$B:$B,Multiples!Q:Q),"")</f>
        <v>0.55388099555916037</v>
      </c>
      <c r="R31" s="361">
        <f ca="1">IFERROR(_xlfn.XLOOKUP($K31,Multiples!$B:$B,Multiples!R:R),"")</f>
        <v>0.55278492442325333</v>
      </c>
      <c r="S31" s="613"/>
      <c r="T31" s="438"/>
      <c r="U31" s="22" t="s">
        <v>44</v>
      </c>
      <c r="V31" s="31">
        <f ca="1">Peers!D74</f>
        <v>0.6925</v>
      </c>
    </row>
    <row r="32" spans="4:22" ht="14.25" customHeight="1">
      <c r="D32" s="27">
        <f t="shared" si="0"/>
        <v>2028</v>
      </c>
      <c r="E32" s="581">
        <f>+DCF!K31</f>
        <v>77148.076552276456</v>
      </c>
      <c r="F32" s="582">
        <f>+DCF!K61</f>
        <v>0.14306114812024587</v>
      </c>
      <c r="G32" s="583">
        <f ca="1">+INDEX(DCF!X13:AA13,MATCH(Summary!$G$25,{"FCFF","FCFE","Tax Shield","Total Payout"},0))</f>
        <v>15830.407443393762</v>
      </c>
      <c r="H32" s="581">
        <f ca="1">+IF(Summary!$G$25="FCFF",DCF!AB13,IF(Summary!$G$25="FCFE",DCF!AC13,DCF!AD13))</f>
        <v>9485.7321209183301</v>
      </c>
      <c r="I32" s="730">
        <f>+DCF!K135</f>
        <v>-729.75803891963051</v>
      </c>
      <c r="J32" s="438"/>
      <c r="K32" s="18" t="s">
        <v>45</v>
      </c>
      <c r="L32"/>
      <c r="M32"/>
      <c r="N32" s="896">
        <f>IFERROR(_xlfn.XLOOKUP($K32,Multiples!$B:$B,Multiples!N:N),"")</f>
        <v>0.30743433008425575</v>
      </c>
      <c r="O32" s="896">
        <f>IFERROR(_xlfn.XLOOKUP($K32,Multiples!$B:$B,Multiples!O:O),"")</f>
        <v>0.30719366311024893</v>
      </c>
      <c r="P32" s="360">
        <f>IFERROR(_xlfn.XLOOKUP($K32,Multiples!$B:$B,Multiples!P:P),"")</f>
        <v>0.31373798862205793</v>
      </c>
      <c r="Q32" s="361">
        <f ca="1">IFERROR(_xlfn.XLOOKUP($K32,Multiples!$B:$B,Multiples!Q:Q),"")</f>
        <v>0.30945532727218755</v>
      </c>
      <c r="R32" s="361">
        <f ca="1">IFERROR(_xlfn.XLOOKUP($K32,Multiples!$B:$B,Multiples!R:R),"")</f>
        <v>0.31012899300149815</v>
      </c>
      <c r="S32" s="613"/>
      <c r="T32" s="438"/>
      <c r="U32" s="32" t="s">
        <v>46</v>
      </c>
      <c r="V32" s="29">
        <f>+Peers!D73</f>
        <v>0.99790000000000001</v>
      </c>
    </row>
    <row r="33" spans="4:30" ht="14.25" customHeight="1">
      <c r="D33" s="27">
        <f t="shared" si="0"/>
        <v>2029</v>
      </c>
      <c r="E33" s="581">
        <f>+DCF!L31</f>
        <v>81934.092571314366</v>
      </c>
      <c r="F33" s="582">
        <f>+DCF!L61</f>
        <v>0.14060073561732556</v>
      </c>
      <c r="G33" s="583">
        <f ca="1">+INDEX(DCF!X14:AA14,MATCH(Summary!$G$25,{"FCFF","FCFE","Tax Shield","Total Payout"},0))</f>
        <v>16724.743248791572</v>
      </c>
      <c r="H33" s="581">
        <f ca="1">+IF(Summary!$G$25="FCFF",DCF!AB14,IF(Summary!$G$25="FCFE",DCF!AC14,DCF!AD14))</f>
        <v>9909.0908666490013</v>
      </c>
      <c r="I33" s="730">
        <f>+DCF!L135</f>
        <v>-665.93999630489611</v>
      </c>
      <c r="J33" s="438"/>
      <c r="K33" s="18" t="s">
        <v>47</v>
      </c>
      <c r="L33"/>
      <c r="M33"/>
      <c r="N33" s="896">
        <f>IFERROR(_xlfn.XLOOKUP($K33,Multiples!$B:$B,Multiples!N:N),"")</f>
        <v>2.9439947133652736E-2</v>
      </c>
      <c r="O33" s="359">
        <f>IFERROR(_xlfn.XLOOKUP($K33,Multiples!$B:$B,Multiples!O:O),"")</f>
        <v>0.12145166505011316</v>
      </c>
      <c r="P33" s="360">
        <f>IFERROR(_xlfn.XLOOKUP($K33,Multiples!$B:$B,Multiples!P:P),"")</f>
        <v>9.5867926632989653E-2</v>
      </c>
      <c r="Q33" s="361">
        <f ca="1">IFERROR(_xlfn.XLOOKUP($K33,Multiples!$B:$B,Multiples!Q:Q),"")</f>
        <v>0.10296298512833327</v>
      </c>
      <c r="R33" s="361">
        <f ca="1">IFERROR(_xlfn.XLOOKUP($K33,Multiples!$B:$B,Multiples!R:R),"")</f>
        <v>0.12056768971175962</v>
      </c>
      <c r="S33" s="613"/>
      <c r="T33" s="438"/>
      <c r="U33" s="22" t="s">
        <v>48</v>
      </c>
      <c r="V33" s="29">
        <f>+Peers!D76</f>
        <v>1.1999999999999999E-3</v>
      </c>
      <c r="W33" s="438"/>
      <c r="X33" s="438"/>
      <c r="Y33" s="438"/>
      <c r="Z33" s="438"/>
      <c r="AA33" s="438"/>
      <c r="AB33" s="438"/>
      <c r="AC33" s="438"/>
      <c r="AD33" s="438"/>
    </row>
    <row r="34" spans="4:30" ht="14.25" customHeight="1">
      <c r="D34" s="438"/>
      <c r="E34" s="438"/>
      <c r="F34" s="438"/>
      <c r="G34" s="438"/>
      <c r="H34" s="438"/>
      <c r="I34" s="438"/>
      <c r="J34" s="438"/>
      <c r="K34" s="438"/>
      <c r="L34" s="438"/>
      <c r="M34" s="438"/>
      <c r="N34" s="438"/>
      <c r="O34" s="438"/>
      <c r="P34" s="438"/>
      <c r="Q34" s="438"/>
      <c r="R34" s="438"/>
      <c r="S34" s="693"/>
      <c r="T34" s="438"/>
      <c r="U34" s="22" t="s">
        <v>49</v>
      </c>
      <c r="V34" s="29">
        <f>+Peers!D77</f>
        <v>0.64059999999999995</v>
      </c>
      <c r="W34" s="438"/>
      <c r="X34" s="438"/>
      <c r="Y34" s="438"/>
      <c r="Z34" s="438"/>
      <c r="AA34" s="438"/>
      <c r="AB34" s="438"/>
      <c r="AC34" s="438"/>
      <c r="AD34" s="438"/>
    </row>
    <row r="35" spans="4:30" ht="14.25" customHeight="1">
      <c r="D35" s="7" t="s">
        <v>50</v>
      </c>
      <c r="E35" s="4"/>
      <c r="F35" s="4"/>
      <c r="G35" s="4"/>
      <c r="H35" s="4"/>
      <c r="I35" s="4"/>
      <c r="J35" s="438"/>
      <c r="K35" s="7" t="s">
        <v>51</v>
      </c>
      <c r="L35" s="4"/>
      <c r="M35" s="4"/>
      <c r="N35" s="4">
        <v>2022</v>
      </c>
      <c r="O35" s="4">
        <f>+N35+1</f>
        <v>2023</v>
      </c>
      <c r="P35" s="342">
        <f>+O35+1</f>
        <v>2024</v>
      </c>
      <c r="Q35" s="5">
        <f>+P35+1</f>
        <v>2025</v>
      </c>
      <c r="R35" s="5">
        <f>+Q35+1</f>
        <v>2026</v>
      </c>
      <c r="S35" s="612"/>
      <c r="T35" s="438"/>
      <c r="U35" s="33" t="s">
        <v>52</v>
      </c>
      <c r="V35" s="589">
        <f>+Peers!D78</f>
        <v>2.23E-2</v>
      </c>
      <c r="W35" s="438"/>
      <c r="X35" s="438"/>
      <c r="Y35" s="438"/>
      <c r="Z35" s="438"/>
      <c r="AA35" s="438"/>
      <c r="AB35" s="438"/>
      <c r="AC35" s="438"/>
      <c r="AD35" s="438"/>
    </row>
    <row r="36" spans="4:30" ht="14.25" customHeight="1">
      <c r="D36" s="585" t="s">
        <v>53</v>
      </c>
      <c r="E36" s="585"/>
      <c r="F36" s="586"/>
      <c r="G36" s="585" t="s">
        <v>54</v>
      </c>
      <c r="H36" s="585"/>
      <c r="I36" s="585"/>
      <c r="J36" s="438"/>
      <c r="K36" s="30" t="s">
        <v>55</v>
      </c>
      <c r="L36"/>
      <c r="M36"/>
      <c r="N36" s="365">
        <f>IFERROR(_xlfn.XLOOKUP($K36,Multiples!$B:$B,Multiples!N:N),"")</f>
        <v>0.25030947468655768</v>
      </c>
      <c r="O36" s="365">
        <f>IFERROR(_xlfn.XLOOKUP($K36,Multiples!$B:$B,Multiples!O:O),"")</f>
        <v>0.38297872340425532</v>
      </c>
      <c r="P36" s="343">
        <f>IFERROR(_xlfn.XLOOKUP($K36,Multiples!$B:$B,Multiples!P:P),"")</f>
        <v>0.42082553859151528</v>
      </c>
      <c r="Q36" s="350">
        <f ca="1">IFERROR(_xlfn.XLOOKUP($K36,Multiples!$B:$B,Multiples!Q:Q),"")</f>
        <v>0.51943531641576879</v>
      </c>
      <c r="R36" s="350">
        <f ca="1">IFERROR(_xlfn.XLOOKUP($K36,Multiples!$B:$B,Multiples!R:R),"")</f>
        <v>0.64176558585359511</v>
      </c>
      <c r="S36" s="613"/>
      <c r="T36" s="438"/>
      <c r="U36" s="438"/>
      <c r="V36" s="438"/>
      <c r="W36" s="590">
        <v>120.87</v>
      </c>
      <c r="X36" s="438"/>
      <c r="Y36" s="438"/>
      <c r="Z36" s="438"/>
      <c r="AA36" s="438"/>
      <c r="AB36" s="438"/>
      <c r="AC36" s="438"/>
      <c r="AD36" s="438"/>
    </row>
    <row r="37" spans="4:30" ht="15.75" customHeight="1">
      <c r="D37" s="942" t="s">
        <v>56</v>
      </c>
      <c r="E37" s="935"/>
      <c r="F37" s="936"/>
      <c r="G37" s="939" t="s">
        <v>57</v>
      </c>
      <c r="H37" s="935"/>
      <c r="I37" s="935"/>
      <c r="J37" s="438"/>
      <c r="K37" s="18" t="s">
        <v>58</v>
      </c>
      <c r="L37"/>
      <c r="M37"/>
      <c r="N37" s="365">
        <f>IFERROR(_xlfn.XLOOKUP($K37,Multiples!$B:$B,Multiples!N:N),"")</f>
        <v>0.48712902713854944</v>
      </c>
      <c r="O37" s="365">
        <f>IFERROR(_xlfn.XLOOKUP($K37,Multiples!$B:$B,Multiples!O:O),"")</f>
        <v>0.62408416857159599</v>
      </c>
      <c r="P37" s="343">
        <f>IFERROR(_xlfn.XLOOKUP($K37,Multiples!$B:$B,Multiples!P:P),"")</f>
        <v>0.6741295033492245</v>
      </c>
      <c r="Q37" s="350">
        <f ca="1">IFERROR(_xlfn.XLOOKUP($K37,Multiples!$B:$B,Multiples!Q:Q),"")</f>
        <v>0.77937201090081099</v>
      </c>
      <c r="R37" s="350">
        <f ca="1">IFERROR(_xlfn.XLOOKUP($K37,Multiples!$B:$B,Multiples!R:R),"")</f>
        <v>0.91415098994778721</v>
      </c>
      <c r="S37" s="613"/>
      <c r="T37" s="438"/>
      <c r="U37" s="722" t="s">
        <v>59</v>
      </c>
      <c r="V37" s="692"/>
      <c r="W37" s="590">
        <v>113.63</v>
      </c>
      <c r="X37" s="438"/>
      <c r="Y37" s="438"/>
      <c r="Z37" s="438"/>
      <c r="AA37" s="438"/>
      <c r="AB37" s="438"/>
      <c r="AC37" s="438"/>
      <c r="AD37" s="438"/>
    </row>
    <row r="38" spans="4:30" ht="15.75" customHeight="1">
      <c r="D38" s="937"/>
      <c r="E38" s="937"/>
      <c r="F38" s="938"/>
      <c r="G38" s="940"/>
      <c r="H38" s="937"/>
      <c r="I38" s="937"/>
      <c r="J38" s="438"/>
      <c r="K38" s="18" t="s">
        <v>60</v>
      </c>
      <c r="L38"/>
      <c r="M38"/>
      <c r="N38" s="365">
        <f>IFERROR(_xlfn.XLOOKUP($K38,Multiples!$B:$B,Multiples!N:N),"")</f>
        <v>0.924234248531979</v>
      </c>
      <c r="O38" s="365">
        <f>IFERROR(_xlfn.XLOOKUP($K38,Multiples!$B:$B,Multiples!O:O),"")</f>
        <v>0.9644217806693629</v>
      </c>
      <c r="P38" s="343">
        <f>IFERROR(_xlfn.XLOOKUP($K38,Multiples!$B:$B,Multiples!P:P),"")</f>
        <v>1.0404320801400035</v>
      </c>
      <c r="Q38" s="350">
        <f ca="1">IFERROR(_xlfn.XLOOKUP($K38,Multiples!$B:$B,Multiples!Q:Q),"")</f>
        <v>1.1669930021168473</v>
      </c>
      <c r="R38" s="350">
        <f ca="1">IFERROR(_xlfn.XLOOKUP($K38,Multiples!$B:$B,Multiples!R:R),"")</f>
        <v>1.1669930021168473</v>
      </c>
      <c r="S38" s="613"/>
      <c r="T38" s="438"/>
      <c r="U38" s="22" t="s">
        <v>61</v>
      </c>
      <c r="V38" s="17">
        <v>0.10009999999999999</v>
      </c>
      <c r="W38" s="590"/>
      <c r="X38" s="438"/>
      <c r="Y38" s="438"/>
      <c r="Z38" s="438"/>
      <c r="AA38" s="438"/>
      <c r="AB38" s="438"/>
      <c r="AC38" s="438"/>
      <c r="AD38" s="438"/>
    </row>
    <row r="39" spans="4:30" ht="15.75" customHeight="1">
      <c r="D39" s="937"/>
      <c r="E39" s="937"/>
      <c r="F39" s="938"/>
      <c r="G39" s="940"/>
      <c r="H39" s="937"/>
      <c r="I39" s="937"/>
      <c r="J39" s="438"/>
      <c r="K39"/>
      <c r="L39"/>
      <c r="M39"/>
      <c r="N39"/>
      <c r="O39"/>
      <c r="P39"/>
      <c r="Q39"/>
      <c r="R39"/>
      <c r="S39" s="614"/>
      <c r="T39" s="438"/>
      <c r="U39" s="22" t="s">
        <v>62</v>
      </c>
      <c r="V39" s="17">
        <v>8.5099999999999995E-2</v>
      </c>
      <c r="W39" s="590"/>
      <c r="X39" s="438"/>
      <c r="Y39" s="438"/>
      <c r="Z39" s="438"/>
      <c r="AA39" s="438"/>
      <c r="AB39" s="438"/>
      <c r="AC39" s="438"/>
      <c r="AD39" s="438"/>
    </row>
    <row r="40" spans="4:30" ht="14.25" customHeight="1">
      <c r="D40" s="585" t="s">
        <v>63</v>
      </c>
      <c r="E40" s="585"/>
      <c r="F40" s="586"/>
      <c r="G40" s="585" t="s">
        <v>64</v>
      </c>
      <c r="H40" s="585"/>
      <c r="I40" s="585"/>
      <c r="J40" s="438"/>
      <c r="K40" s="7" t="s">
        <v>65</v>
      </c>
      <c r="L40" s="4"/>
      <c r="M40" s="4"/>
      <c r="N40" s="4">
        <v>2022</v>
      </c>
      <c r="O40" s="4">
        <f>+N40+1</f>
        <v>2023</v>
      </c>
      <c r="P40" s="342">
        <f>+O40+1</f>
        <v>2024</v>
      </c>
      <c r="Q40" s="5">
        <f>+P40+1</f>
        <v>2025</v>
      </c>
      <c r="R40" s="5">
        <f>+Q40+1</f>
        <v>2026</v>
      </c>
      <c r="S40" s="612"/>
      <c r="T40" s="438"/>
      <c r="U40" s="22" t="s">
        <v>66</v>
      </c>
      <c r="V40" s="17">
        <v>5.9799999999999999E-2</v>
      </c>
      <c r="W40" s="590"/>
      <c r="X40" s="438"/>
      <c r="Y40" s="438"/>
      <c r="Z40" s="438"/>
      <c r="AA40" s="438"/>
      <c r="AB40" s="438"/>
      <c r="AC40" s="438"/>
      <c r="AD40" s="438"/>
    </row>
    <row r="41" spans="4:30" ht="14.25" customHeight="1">
      <c r="D41" s="935" t="s">
        <v>67</v>
      </c>
      <c r="E41" s="935"/>
      <c r="F41" s="936"/>
      <c r="G41" s="939" t="s">
        <v>68</v>
      </c>
      <c r="H41" s="935"/>
      <c r="I41" s="935"/>
      <c r="J41" s="438"/>
      <c r="K41" s="19" t="s">
        <v>69</v>
      </c>
      <c r="L41"/>
      <c r="M41"/>
      <c r="N41" s="365">
        <f>IFERROR(_xlfn.XLOOKUP($K41,Multiples!$B:$B,Multiples!N:N),"")</f>
        <v>11.608122095068254</v>
      </c>
      <c r="O41" s="365">
        <f>IFERROR(_xlfn.XLOOKUP($K41,Multiples!$B:$B,Multiples!O:O),"")</f>
        <v>6.9944772643128275</v>
      </c>
      <c r="P41" s="343">
        <f>IFERROR(_xlfn.XLOOKUP($K41,Multiples!$B:$B,Multiples!P:P),"")</f>
        <v>8.2760561322176827</v>
      </c>
      <c r="Q41" s="350">
        <f ca="1">IFERROR(_xlfn.XLOOKUP($K41,Multiples!$B:$B,Multiples!Q:Q),"")</f>
        <v>8.9513138847701939</v>
      </c>
      <c r="R41" s="350">
        <f ca="1">IFERROR(_xlfn.XLOOKUP($K41,Multiples!$B:$B,Multiples!R:R),"")</f>
        <v>8.0657111480041763</v>
      </c>
      <c r="S41" s="613"/>
      <c r="T41" s="438"/>
      <c r="U41" s="22" t="s">
        <v>70</v>
      </c>
      <c r="V41" s="17">
        <v>2.2499999999999999E-2</v>
      </c>
      <c r="W41" s="590"/>
      <c r="X41" s="438"/>
      <c r="Y41" s="438"/>
      <c r="Z41" s="438"/>
      <c r="AA41" s="438"/>
      <c r="AB41" s="438"/>
      <c r="AC41" s="438"/>
      <c r="AD41" s="438"/>
    </row>
    <row r="42" spans="4:30" ht="15.75" customHeight="1">
      <c r="D42" s="937"/>
      <c r="E42" s="937"/>
      <c r="F42" s="938"/>
      <c r="G42" s="940"/>
      <c r="H42" s="937"/>
      <c r="I42" s="937"/>
      <c r="J42" s="438"/>
      <c r="K42" s="18" t="s">
        <v>71</v>
      </c>
      <c r="L42"/>
      <c r="M42"/>
      <c r="N42" s="365">
        <f>IFERROR(_xlfn.XLOOKUP($K42,Multiples!$B:$B,Multiples!N:N),"")</f>
        <v>0.17077144226161955</v>
      </c>
      <c r="O42" s="365">
        <f>IFERROR(_xlfn.XLOOKUP($K42,Multiples!$B:$B,Multiples!O:O),"")</f>
        <v>0.53930083985356403</v>
      </c>
      <c r="P42" s="343">
        <f>IFERROR(_xlfn.XLOOKUP($K42,Multiples!$B:$B,Multiples!P:P),"")</f>
        <v>0.44745258460394199</v>
      </c>
      <c r="Q42" s="350">
        <f ca="1">IFERROR(_xlfn.XLOOKUP($K42,Multiples!$B:$B,Multiples!Q:Q),"")</f>
        <v>0.53710929478481317</v>
      </c>
      <c r="R42" s="350">
        <f ca="1">IFERROR(_xlfn.XLOOKUP($K42,Multiples!$B:$B,Multiples!R:R),"")</f>
        <v>0.55506040075026541</v>
      </c>
      <c r="S42" s="613"/>
      <c r="T42" s="438"/>
      <c r="U42" s="22" t="s">
        <v>72</v>
      </c>
      <c r="V42" s="17">
        <v>1.43E-2</v>
      </c>
      <c r="W42" s="590"/>
      <c r="X42" s="702"/>
      <c r="Y42" s="438"/>
      <c r="Z42" s="438"/>
      <c r="AA42" s="438"/>
      <c r="AB42" s="438"/>
      <c r="AC42" s="438"/>
      <c r="AD42" s="438"/>
    </row>
    <row r="43" spans="4:30" ht="15.75" customHeight="1">
      <c r="D43" s="937"/>
      <c r="E43" s="937"/>
      <c r="F43" s="938"/>
      <c r="G43" s="940"/>
      <c r="H43" s="937"/>
      <c r="I43" s="937"/>
      <c r="J43" s="438"/>
      <c r="K43" s="30" t="s">
        <v>73</v>
      </c>
      <c r="L43"/>
      <c r="M43"/>
      <c r="N43" s="365">
        <f>IFERROR(_xlfn.XLOOKUP($K43,Multiples!$B:$B,Multiples!N:N),"")</f>
        <v>9.8897939626257786E-2</v>
      </c>
      <c r="O43" s="365">
        <f>IFERROR(_xlfn.XLOOKUP($K43,Multiples!$B:$B,Multiples!O:O),"")</f>
        <v>0.36616179743019167</v>
      </c>
      <c r="P43" s="343">
        <f>IFERROR(_xlfn.XLOOKUP($K43,Multiples!$B:$B,Multiples!P:P),"")</f>
        <v>7.9657865377463735E-2</v>
      </c>
      <c r="Q43" s="350">
        <f ca="1">IFERROR(_xlfn.XLOOKUP($K43,Multiples!$B:$B,Multiples!Q:Q),"")</f>
        <v>0.29226515341959475</v>
      </c>
      <c r="R43" s="350">
        <f ca="1">IFERROR(_xlfn.XLOOKUP($K43,Multiples!$B:$B,Multiples!R:R),"")</f>
        <v>0.27774297881445381</v>
      </c>
      <c r="S43" s="613"/>
      <c r="T43" s="438"/>
      <c r="U43" s="22" t="s">
        <v>74</v>
      </c>
      <c r="V43" s="17">
        <v>1.2999999999999999E-2</v>
      </c>
      <c r="W43" s="590"/>
      <c r="X43" s="438"/>
      <c r="Y43" s="438"/>
      <c r="Z43" s="438"/>
      <c r="AA43" s="438"/>
      <c r="AB43" s="438"/>
      <c r="AC43" s="438"/>
      <c r="AD43" s="438"/>
    </row>
    <row r="44" spans="4:30" ht="15.75" customHeight="1">
      <c r="D44" s="438"/>
      <c r="E44" s="703"/>
      <c r="F44" s="438"/>
      <c r="G44" s="704"/>
      <c r="H44" s="438"/>
      <c r="I44" s="438"/>
      <c r="J44" s="438"/>
      <c r="K44"/>
      <c r="L44"/>
      <c r="M44"/>
      <c r="N44"/>
      <c r="O44"/>
      <c r="P44"/>
      <c r="Q44"/>
      <c r="R44"/>
      <c r="S44" s="614"/>
      <c r="T44" s="438"/>
      <c r="U44" s="22" t="s">
        <v>75</v>
      </c>
      <c r="V44" s="17">
        <v>1.17E-2</v>
      </c>
      <c r="W44" s="590"/>
      <c r="X44" s="438"/>
      <c r="Y44" s="438"/>
      <c r="Z44" s="438"/>
      <c r="AA44" s="438"/>
      <c r="AB44" s="438"/>
      <c r="AC44" s="438"/>
      <c r="AD44" s="438"/>
    </row>
    <row r="45" spans="4:30" ht="14.25" customHeight="1">
      <c r="D45" s="587" t="s">
        <v>76</v>
      </c>
      <c r="E45" s="4"/>
      <c r="F45" s="4"/>
      <c r="G45" s="4" t="s">
        <v>77</v>
      </c>
      <c r="H45" s="4"/>
      <c r="I45" s="4"/>
      <c r="J45" s="438"/>
      <c r="K45" s="7" t="s">
        <v>78</v>
      </c>
      <c r="L45" s="4"/>
      <c r="M45" s="4"/>
      <c r="N45" s="4">
        <v>2022</v>
      </c>
      <c r="O45" s="4">
        <f>+N45+1</f>
        <v>2023</v>
      </c>
      <c r="P45" s="342">
        <f>+O45+1</f>
        <v>2024</v>
      </c>
      <c r="Q45" s="5">
        <f>+P45+1</f>
        <v>2025</v>
      </c>
      <c r="R45" s="5">
        <f>+Q45+1</f>
        <v>2026</v>
      </c>
      <c r="S45" s="612"/>
      <c r="T45" s="438"/>
      <c r="U45" s="22" t="s">
        <v>79</v>
      </c>
      <c r="V45" s="17">
        <v>0.01</v>
      </c>
      <c r="W45" s="590"/>
      <c r="X45" s="438"/>
      <c r="Y45" s="438"/>
      <c r="Z45" s="438"/>
      <c r="AA45" s="438"/>
      <c r="AB45" s="438"/>
      <c r="AC45" s="438"/>
      <c r="AD45" s="438"/>
    </row>
    <row r="46" spans="4:30" ht="14.25" customHeight="1">
      <c r="D46" s="438"/>
      <c r="E46" s="705"/>
      <c r="F46" s="438"/>
      <c r="G46" s="704"/>
      <c r="H46" s="438"/>
      <c r="I46" s="438"/>
      <c r="J46" s="438"/>
      <c r="K46" s="18" t="s">
        <v>80</v>
      </c>
      <c r="L46"/>
      <c r="M46"/>
      <c r="N46" s="365">
        <f>IFERROR(_xlfn.XLOOKUP($K46,Multiples!$B:$B,Multiples!N:N),"")</f>
        <v>2.4526836799564071</v>
      </c>
      <c r="O46" s="365">
        <f>IFERROR(_xlfn.XLOOKUP($K46,Multiples!$B:$B,Multiples!O:O),"")</f>
        <v>2.6505837608349547</v>
      </c>
      <c r="P46" s="343">
        <f>IFERROR(_xlfn.XLOOKUP($K46,Multiples!$B:$B,Multiples!P:P),"")</f>
        <v>2.1318633177570092</v>
      </c>
      <c r="Q46" s="350">
        <f ca="1">IFERROR(_xlfn.XLOOKUP($K46,Multiples!$B:$B,Multiples!Q:Q),"")</f>
        <v>1.9413014600748038</v>
      </c>
      <c r="R46" s="350">
        <f ca="1">IFERROR(_xlfn.XLOOKUP($K46,Multiples!$B:$B,Multiples!R:R),"")</f>
        <v>2.0544830242772978</v>
      </c>
      <c r="S46" s="613"/>
      <c r="T46" s="438" t="s">
        <v>81</v>
      </c>
      <c r="U46" s="22" t="s">
        <v>82</v>
      </c>
      <c r="V46" s="17">
        <v>9.9000000000000008E-3</v>
      </c>
      <c r="W46" s="438"/>
      <c r="X46" s="438"/>
      <c r="Y46"/>
      <c r="Z46" s="438"/>
      <c r="AA46" s="438"/>
      <c r="AB46" s="438"/>
      <c r="AC46" s="438"/>
      <c r="AD46"/>
    </row>
    <row r="47" spans="4:30" ht="15" customHeight="1">
      <c r="D47" s="438"/>
      <c r="E47" s="705"/>
      <c r="F47" s="438"/>
      <c r="G47" s="704"/>
      <c r="H47" s="438"/>
      <c r="I47" s="438"/>
      <c r="J47" s="438"/>
      <c r="K47" s="239" t="s">
        <v>83</v>
      </c>
      <c r="L47" s="438"/>
      <c r="M47" s="438"/>
      <c r="N47" s="365">
        <f>IFERROR(_xlfn.XLOOKUP($K47,Multiples!$B:$B,Multiples!N:N),"")</f>
        <v>0.99959244950432335</v>
      </c>
      <c r="O47" s="365">
        <f>IFERROR(_xlfn.XLOOKUP($K47,Multiples!$B:$B,Multiples!O:O),"")</f>
        <v>0.99962286690137026</v>
      </c>
      <c r="P47" s="343">
        <f>IFERROR(_xlfn.XLOOKUP($K47,Multiples!$B:$B,Multiples!P:P),"")</f>
        <v>0.99953114670233456</v>
      </c>
      <c r="Q47" s="350">
        <f ca="1">IFERROR(_xlfn.XLOOKUP($K47,Multiples!$B:$B,Multiples!Q:Q),"")</f>
        <v>0.66001444817065169</v>
      </c>
      <c r="R47" s="350">
        <f ca="1">IFERROR(_xlfn.XLOOKUP($K47,Multiples!$B:$B,Multiples!R:R),"")</f>
        <v>0.67261235631302818</v>
      </c>
      <c r="S47" s="613"/>
      <c r="T47" s="438"/>
      <c r="U47" s="33" t="s">
        <v>84</v>
      </c>
      <c r="V47" s="601">
        <v>8.0000000000000002E-3</v>
      </c>
      <c r="W47" s="588"/>
      <c r="X47" s="588"/>
      <c r="Y47" s="588"/>
      <c r="Z47" s="588"/>
      <c r="AA47" s="588"/>
      <c r="AB47" s="588"/>
      <c r="AC47" s="438"/>
      <c r="AD47"/>
    </row>
    <row r="48" spans="4:30" ht="14.25" customHeight="1">
      <c r="D48" s="438"/>
      <c r="E48" s="705"/>
      <c r="F48" s="438"/>
      <c r="G48" s="704"/>
      <c r="H48" s="438"/>
      <c r="I48" s="438"/>
      <c r="J48" s="438"/>
      <c r="K48" s="19" t="s">
        <v>85</v>
      </c>
      <c r="L48"/>
      <c r="M48"/>
      <c r="N48" s="365">
        <f>IFERROR(_xlfn.XLOOKUP($K48,Multiples!$B:$B,Multiples!N:N),"")</f>
        <v>0.82693093583980382</v>
      </c>
      <c r="O48" s="365">
        <f>IFERROR(_xlfn.XLOOKUP($K48,Multiples!$B:$B,Multiples!O:O),"")</f>
        <v>0.83279971014278431</v>
      </c>
      <c r="P48" s="343">
        <f>IFERROR(_xlfn.XLOOKUP($K48,Multiples!$B:$B,Multiples!P:P),"")</f>
        <v>0.80031346819755789</v>
      </c>
      <c r="Q48" s="350">
        <f ca="1">IFERROR(_xlfn.XLOOKUP($K48,Multiples!$B:$B,Multiples!Q:Q),"")</f>
        <v>0.78986953748425159</v>
      </c>
      <c r="R48" s="350">
        <f ca="1">IFERROR(_xlfn.XLOOKUP($K48,Multiples!$B:$B,Multiples!R:R),"")</f>
        <v>0.78986953748425159</v>
      </c>
      <c r="S48" s="613"/>
      <c r="T48" s="438"/>
      <c r="U48" s="438"/>
      <c r="V48" s="438"/>
      <c r="W48" s="588"/>
      <c r="X48" s="588"/>
      <c r="Y48" s="588"/>
      <c r="Z48" s="588"/>
      <c r="AA48" s="588"/>
      <c r="AB48" s="588"/>
      <c r="AC48" s="438"/>
      <c r="AD48"/>
    </row>
    <row r="49" spans="4:35" ht="14.25" customHeight="1">
      <c r="D49" s="438"/>
      <c r="E49" s="438"/>
      <c r="F49" s="438"/>
      <c r="G49" s="438"/>
      <c r="H49" s="438"/>
      <c r="I49" s="438"/>
      <c r="J49" s="438"/>
      <c r="K49" s="18" t="s">
        <v>86</v>
      </c>
      <c r="L49"/>
      <c r="M49"/>
      <c r="N49" s="365">
        <f>IFERROR(_xlfn.XLOOKUP($K49,Multiples!$B:$B,Multiples!N:N),"")</f>
        <v>6.2758659660099338</v>
      </c>
      <c r="O49" s="365">
        <f>IFERROR(_xlfn.XLOOKUP($K49,Multiples!$B:$B,Multiples!O:O),"")</f>
        <v>6.144381143406461</v>
      </c>
      <c r="P49" s="343">
        <f>IFERROR(_xlfn.XLOOKUP($K49,Multiples!$B:$B,Multiples!P:P),"")</f>
        <v>6.2623534709193587</v>
      </c>
      <c r="Q49" s="350">
        <f ca="1">IFERROR(_xlfn.XLOOKUP($K49,Multiples!$B:$B,Multiples!Q:Q),"")</f>
        <v>4.3165375251378402</v>
      </c>
      <c r="R49" s="350">
        <f ca="1">IFERROR(_xlfn.XLOOKUP($K49,Multiples!$B:$B,Multiples!R:R),"")</f>
        <v>4.3821469256172767</v>
      </c>
      <c r="S49" s="613"/>
      <c r="T49" s="438"/>
      <c r="U49" s="722" t="s">
        <v>87</v>
      </c>
      <c r="V49" s="692"/>
      <c r="W49" s="588"/>
      <c r="X49" s="588"/>
      <c r="Y49" s="588"/>
      <c r="Z49" s="588"/>
      <c r="AA49" s="588"/>
      <c r="AB49" s="588"/>
      <c r="AC49" s="438"/>
      <c r="AD49"/>
      <c r="AE49" s="438"/>
      <c r="AF49" s="438"/>
      <c r="AG49" s="438"/>
      <c r="AH49" s="438"/>
      <c r="AI49" s="438"/>
    </row>
    <row r="50" spans="4:35" ht="14.25" customHeight="1">
      <c r="D50" s="438"/>
      <c r="E50" s="438"/>
      <c r="F50" s="438"/>
      <c r="G50" s="438"/>
      <c r="H50" s="438"/>
      <c r="I50" s="438"/>
      <c r="J50" s="438"/>
      <c r="K50" s="18" t="s">
        <v>88</v>
      </c>
      <c r="L50" s="438"/>
      <c r="M50" s="438"/>
      <c r="N50" s="365">
        <f>IFERROR(_xlfn.XLOOKUP($K50,Multiples!$B:$B,Multiples!N:N),"")</f>
        <v>6.9359489559624352</v>
      </c>
      <c r="O50" s="365">
        <f>IFERROR(_xlfn.XLOOKUP($K50,Multiples!$B:$B,Multiples!O:O),"")</f>
        <v>6.5860653021514093</v>
      </c>
      <c r="P50" s="343">
        <f>IFERROR(_xlfn.XLOOKUP($K50,Multiples!$B:$B,Multiples!P:P),"")</f>
        <v>6.4891599586542119</v>
      </c>
      <c r="Q50" s="350">
        <f ca="1">IFERROR(_xlfn.XLOOKUP($K50,Multiples!$B:$B,Multiples!Q:Q),"")</f>
        <v>4.6383897018463509</v>
      </c>
      <c r="R50" s="350">
        <f ca="1">IFERROR(_xlfn.XLOOKUP($K50,Multiples!$B:$B,Multiples!R:R),"")</f>
        <v>4.6352666298510155</v>
      </c>
      <c r="S50" s="613"/>
      <c r="T50" s="438"/>
      <c r="U50" s="933" t="s">
        <v>89</v>
      </c>
      <c r="V50" s="933"/>
      <c r="W50" s="588"/>
      <c r="X50" s="588"/>
      <c r="Y50" s="588"/>
      <c r="Z50" s="588"/>
      <c r="AA50" s="588"/>
      <c r="AB50" s="588"/>
      <c r="AC50" s="438"/>
      <c r="AD50"/>
      <c r="AE50" s="438"/>
      <c r="AF50" s="438"/>
      <c r="AG50" s="438"/>
      <c r="AH50" s="438"/>
      <c r="AI50" s="438"/>
    </row>
    <row r="51" spans="4:35" ht="14.25" customHeight="1">
      <c r="D51" s="438"/>
      <c r="E51" s="438"/>
      <c r="F51" s="438"/>
      <c r="G51" s="438"/>
      <c r="H51" s="438"/>
      <c r="I51" s="560"/>
      <c r="J51" s="438"/>
      <c r="K51" s="120" t="s">
        <v>90</v>
      </c>
      <c r="L51"/>
      <c r="M51"/>
      <c r="N51" s="365">
        <f>IFERROR(_xlfn.XLOOKUP($K50,Multiples!$B:$B,Multiples!N:N),"")</f>
        <v>6.9359489559624352</v>
      </c>
      <c r="O51" s="365">
        <f>IFERROR(_xlfn.XLOOKUP($K50,Multiples!$B:$B,Multiples!O:O),"")</f>
        <v>6.5860653021514093</v>
      </c>
      <c r="P51" s="343">
        <f>IFERROR(_xlfn.XLOOKUP($K50,Multiples!$B:$B,Multiples!P:P),"")</f>
        <v>6.4891599586542119</v>
      </c>
      <c r="Q51" s="350">
        <f ca="1">IFERROR(_xlfn.XLOOKUP($K50,Multiples!$B:$B,Multiples!Q:Q),"")</f>
        <v>4.6383897018463509</v>
      </c>
      <c r="R51" s="350">
        <f ca="1">IFERROR(_xlfn.XLOOKUP($K50,Multiples!$B:$B,Multiples!R:R),"")</f>
        <v>4.6352666298510155</v>
      </c>
      <c r="S51" s="613"/>
      <c r="T51" s="438"/>
      <c r="U51" s="933"/>
      <c r="V51" s="933"/>
      <c r="W51" s="588"/>
      <c r="X51" s="588"/>
      <c r="Y51" s="588"/>
      <c r="Z51" s="588"/>
      <c r="AA51" s="588"/>
      <c r="AB51" s="588"/>
      <c r="AC51" s="438"/>
      <c r="AD51"/>
      <c r="AE51" s="438"/>
      <c r="AF51" s="438"/>
      <c r="AG51" s="438"/>
      <c r="AH51" s="438"/>
      <c r="AI51" s="438"/>
    </row>
    <row r="52" spans="4:35">
      <c r="D52" s="438"/>
      <c r="E52" s="438"/>
      <c r="F52" s="438"/>
      <c r="G52" s="438"/>
      <c r="H52" s="438"/>
      <c r="I52" s="1"/>
      <c r="J52" s="438"/>
      <c r="K52" s="438"/>
      <c r="L52" s="438"/>
      <c r="M52" s="438"/>
      <c r="N52" s="438"/>
      <c r="O52" s="438"/>
      <c r="P52" s="438"/>
      <c r="Q52" s="438"/>
      <c r="R52" s="438"/>
      <c r="S52" s="693"/>
      <c r="T52" s="438"/>
      <c r="U52" s="933"/>
      <c r="V52" s="933"/>
      <c r="W52" s="588"/>
      <c r="X52" s="588"/>
      <c r="Y52" s="588"/>
      <c r="Z52" s="588"/>
      <c r="AA52" s="588"/>
      <c r="AB52" s="588"/>
      <c r="AC52" s="438"/>
      <c r="AD52"/>
      <c r="AE52" s="438"/>
      <c r="AF52" s="438"/>
      <c r="AG52" s="438"/>
      <c r="AH52" s="438"/>
      <c r="AI52" s="438"/>
    </row>
    <row r="53" spans="4:35" ht="15.6">
      <c r="D53" s="438"/>
      <c r="E53" s="438"/>
      <c r="F53" s="438"/>
      <c r="G53" s="438"/>
      <c r="H53" s="438"/>
      <c r="I53" s="705"/>
      <c r="J53" s="438"/>
      <c r="K53" s="7" t="s">
        <v>91</v>
      </c>
      <c r="L53" s="4"/>
      <c r="M53" s="4"/>
      <c r="N53" s="4">
        <v>2022</v>
      </c>
      <c r="O53" s="4">
        <f>+N53+1</f>
        <v>2023</v>
      </c>
      <c r="P53" s="342">
        <f>+O53+1</f>
        <v>2024</v>
      </c>
      <c r="Q53" s="5">
        <f>+P53+1</f>
        <v>2025</v>
      </c>
      <c r="R53" s="5">
        <f>+Q53+1</f>
        <v>2026</v>
      </c>
      <c r="S53" s="612"/>
      <c r="T53" s="706"/>
      <c r="U53" s="933"/>
      <c r="V53" s="933"/>
      <c r="W53" s="438"/>
      <c r="X53" s="438"/>
      <c r="Y53"/>
      <c r="Z53" s="438"/>
      <c r="AA53" s="438"/>
      <c r="AB53" s="438"/>
      <c r="AC53" s="438"/>
      <c r="AD53"/>
      <c r="AE53" s="438"/>
      <c r="AF53" s="438"/>
      <c r="AG53" s="438"/>
      <c r="AH53" s="438"/>
      <c r="AI53" s="438"/>
    </row>
    <row r="54" spans="4:35" ht="15.6">
      <c r="D54" s="438"/>
      <c r="E54" s="438"/>
      <c r="F54" s="438"/>
      <c r="G54" s="438"/>
      <c r="H54" s="438"/>
      <c r="I54" s="707"/>
      <c r="J54" s="708"/>
      <c r="K54" s="19" t="s">
        <v>92</v>
      </c>
      <c r="L54"/>
      <c r="M54"/>
      <c r="N54" s="365">
        <f>IFERROR(_xlfn.XLOOKUP($K54,Multiples!$B:$B,Multiples!N:N),"")</f>
        <v>6.7228618421052628</v>
      </c>
      <c r="O54" s="365">
        <f>IFERROR(_xlfn.XLOOKUP($K54,Multiples!$B:$B,Multiples!O:O),"")</f>
        <v>5.8382078406969509</v>
      </c>
      <c r="P54" s="343">
        <f>IFERROR(_xlfn.XLOOKUP($K54,Multiples!$B:$B,Multiples!P:P),"")</f>
        <v>5.4795560747663554</v>
      </c>
      <c r="Q54" s="350" t="str">
        <f ca="1">IFERROR(_xlfn.XLOOKUP($K54,Multiples!$B:$B,Multiples!Q:Q),"")</f>
        <v>N/A</v>
      </c>
      <c r="R54" s="350">
        <f ca="1">IFERROR(_xlfn.XLOOKUP($K54,Multiples!$B:$B,Multiples!R:R),"")</f>
        <v>0</v>
      </c>
      <c r="S54" s="613"/>
      <c r="T54" s="709"/>
      <c r="U54" s="933"/>
      <c r="V54" s="933"/>
      <c r="W54" s="438"/>
      <c r="X54" s="438"/>
      <c r="Y54"/>
      <c r="Z54" s="438"/>
      <c r="AA54" s="438"/>
      <c r="AB54" s="438"/>
      <c r="AC54" s="438"/>
      <c r="AD54"/>
      <c r="AE54" s="438"/>
      <c r="AF54" s="438"/>
      <c r="AG54" s="438"/>
      <c r="AH54" s="438"/>
      <c r="AI54" s="438"/>
    </row>
    <row r="55" spans="4:35" ht="15.6">
      <c r="D55" s="438"/>
      <c r="E55" s="438"/>
      <c r="F55" s="438"/>
      <c r="G55" s="438"/>
      <c r="H55" s="438"/>
      <c r="I55" s="710"/>
      <c r="J55" s="438"/>
      <c r="K55" s="18" t="s">
        <v>93</v>
      </c>
      <c r="L55" s="438"/>
      <c r="M55" s="438"/>
      <c r="N55" s="365">
        <f>IFERROR(_xlfn.XLOOKUP($K55,Multiples!$B:$B,Multiples!N:N),"")</f>
        <v>10.671875</v>
      </c>
      <c r="O55" s="365">
        <f>IFERROR(_xlfn.XLOOKUP($K55,Multiples!$B:$B,Multiples!O:O),"")</f>
        <v>8.5737398879900439</v>
      </c>
      <c r="P55" s="343">
        <f>IFERROR(_xlfn.XLOOKUP($K55,Multiples!$B:$B,Multiples!P:P),"")</f>
        <v>8.2056074766355138</v>
      </c>
      <c r="Q55" s="350">
        <f ca="1">IFERROR(_xlfn.XLOOKUP($K55,Multiples!$B:$B,Multiples!Q:Q),"")</f>
        <v>7.8788488690072045</v>
      </c>
      <c r="R55" s="350">
        <f ca="1">IFERROR(_xlfn.XLOOKUP($K55,Multiples!$B:$B,Multiples!R:R),"")</f>
        <v>7.7774447521611547</v>
      </c>
      <c r="S55" s="613"/>
      <c r="T55" s="438"/>
      <c r="U55" s="933"/>
      <c r="V55" s="933"/>
      <c r="W55" s="438"/>
      <c r="X55" s="438"/>
      <c r="Y55"/>
      <c r="Z55" s="438"/>
      <c r="AA55" s="438"/>
      <c r="AB55" s="438"/>
      <c r="AC55" s="438"/>
      <c r="AD55"/>
      <c r="AE55" s="438"/>
      <c r="AF55" s="438"/>
      <c r="AG55" s="438"/>
      <c r="AH55" s="438"/>
      <c r="AI55" s="136"/>
    </row>
    <row r="56" spans="4:35" ht="15" customHeight="1">
      <c r="D56" s="438"/>
      <c r="E56" s="438"/>
      <c r="F56" s="438"/>
      <c r="G56" s="438"/>
      <c r="H56" s="438"/>
      <c r="I56" s="710"/>
      <c r="J56" s="438"/>
      <c r="K56" s="18" t="s">
        <v>94</v>
      </c>
      <c r="L56"/>
      <c r="M56"/>
      <c r="N56" s="365">
        <f>IFERROR(_xlfn.XLOOKUP($K56,Multiples!$B:$B,Multiples!N:N),"")</f>
        <v>11.6875</v>
      </c>
      <c r="O56" s="365">
        <f>IFERROR(_xlfn.XLOOKUP($K56,Multiples!$B:$B,Multiples!O:O),"")</f>
        <v>9.1487243310516497</v>
      </c>
      <c r="P56" s="343">
        <f>IFERROR(_xlfn.XLOOKUP($K56,Multiples!$B:$B,Multiples!P:P),"")</f>
        <v>8.4924065420560755</v>
      </c>
      <c r="Q56" s="350">
        <f ca="1">IFERROR(_xlfn.XLOOKUP($K56,Multiples!$B:$B,Multiples!Q:Q),"")</f>
        <v>8.4255525358935692</v>
      </c>
      <c r="R56" s="350">
        <f ca="1">IFERROR(_xlfn.XLOOKUP($K56,Multiples!$B:$B,Multiples!R:R),"")</f>
        <v>8.2021505291025232</v>
      </c>
      <c r="S56" s="613"/>
      <c r="T56" s="438"/>
      <c r="U56" s="933"/>
      <c r="V56" s="933"/>
      <c r="W56" s="438"/>
      <c r="X56" s="438"/>
      <c r="Y56" s="438"/>
      <c r="Z56" s="438"/>
      <c r="AA56" s="438"/>
      <c r="AB56" s="438"/>
      <c r="AC56" s="438"/>
      <c r="AD56" s="438"/>
      <c r="AE56" s="438"/>
      <c r="AF56" s="438"/>
      <c r="AG56" s="438"/>
      <c r="AH56" s="438"/>
      <c r="AI56" s="711"/>
    </row>
    <row r="57" spans="4:35" ht="14.25" customHeight="1">
      <c r="D57" s="438"/>
      <c r="E57" s="438"/>
      <c r="F57" s="438"/>
      <c r="G57" s="438"/>
      <c r="H57" s="438"/>
      <c r="I57" s="710"/>
      <c r="J57" s="438"/>
      <c r="K57" s="438"/>
      <c r="L57" s="438"/>
      <c r="M57" s="438"/>
      <c r="N57" s="438"/>
      <c r="O57" s="438"/>
      <c r="P57" s="438"/>
      <c r="Q57" s="438"/>
      <c r="R57" s="438"/>
      <c r="S57" s="693"/>
      <c r="T57" s="438"/>
      <c r="U57" s="933"/>
      <c r="V57" s="933"/>
      <c r="W57" s="438"/>
      <c r="X57" s="438"/>
      <c r="Y57" s="438"/>
      <c r="Z57" s="438"/>
      <c r="AA57" s="438"/>
      <c r="AB57" s="438"/>
      <c r="AC57" s="438"/>
      <c r="AD57" s="438"/>
      <c r="AE57" s="438"/>
      <c r="AF57" s="438"/>
      <c r="AG57" s="438"/>
      <c r="AH57" s="438"/>
      <c r="AI57" s="438"/>
    </row>
    <row r="58" spans="4:35" ht="14.25" customHeight="1">
      <c r="D58" s="587" t="s">
        <v>95</v>
      </c>
      <c r="E58" s="4"/>
      <c r="F58" s="4"/>
      <c r="G58" s="4"/>
      <c r="H58" s="4"/>
      <c r="I58" s="4"/>
      <c r="J58" s="438"/>
      <c r="K58" s="587" t="s">
        <v>96</v>
      </c>
      <c r="L58" s="4"/>
      <c r="M58" s="4"/>
      <c r="N58" s="4"/>
      <c r="O58" s="4"/>
      <c r="P58" s="4"/>
      <c r="Q58" s="4"/>
      <c r="R58" s="4"/>
      <c r="S58" s="615"/>
      <c r="T58" s="438"/>
      <c r="U58" s="934"/>
      <c r="V58" s="934"/>
      <c r="W58" s="438"/>
      <c r="X58" s="438"/>
      <c r="Y58" s="438"/>
      <c r="Z58" s="438"/>
      <c r="AA58" s="438"/>
      <c r="AB58" s="438"/>
      <c r="AC58" s="438"/>
      <c r="AD58" s="438"/>
      <c r="AE58" s="438"/>
      <c r="AF58" s="438"/>
      <c r="AG58" s="438"/>
      <c r="AH58" s="438"/>
      <c r="AI58" s="438"/>
    </row>
    <row r="59" spans="4:35" ht="14.25" customHeight="1">
      <c r="D59" s="438"/>
      <c r="E59" s="438"/>
      <c r="F59" s="438"/>
      <c r="G59" s="438"/>
      <c r="H59" s="438"/>
      <c r="I59" s="710"/>
      <c r="J59" s="438"/>
      <c r="K59" s="438"/>
      <c r="L59" s="438"/>
      <c r="M59" s="438"/>
      <c r="N59" s="438"/>
      <c r="O59" s="438"/>
      <c r="P59" s="438"/>
      <c r="Q59" s="438"/>
      <c r="R59" s="438"/>
      <c r="S59" s="693"/>
      <c r="T59" s="438"/>
      <c r="U59" s="438"/>
      <c r="V59" s="438"/>
      <c r="W59" s="438"/>
      <c r="X59" s="438"/>
      <c r="Y59" s="438"/>
      <c r="Z59" s="438"/>
      <c r="AA59" s="438"/>
      <c r="AB59" s="438"/>
      <c r="AC59" s="438"/>
      <c r="AD59" s="438"/>
      <c r="AE59" s="438"/>
      <c r="AF59" s="438"/>
      <c r="AG59" s="438"/>
      <c r="AH59" s="438"/>
      <c r="AI59" s="438"/>
    </row>
    <row r="60" spans="4:35" ht="14.25" customHeight="1" thickBot="1">
      <c r="D60" s="438"/>
      <c r="E60" s="438"/>
      <c r="F60" s="438"/>
      <c r="G60" s="438"/>
      <c r="H60" s="438"/>
      <c r="I60" s="710"/>
      <c r="J60" s="438"/>
      <c r="K60" s="438"/>
      <c r="L60" s="438"/>
      <c r="M60" s="438"/>
      <c r="N60" s="438"/>
      <c r="O60" s="438"/>
      <c r="P60" s="438"/>
      <c r="Q60" s="438"/>
      <c r="R60" s="438"/>
      <c r="S60" s="693"/>
      <c r="T60" s="438"/>
      <c r="U60" s="698" t="s">
        <v>97</v>
      </c>
      <c r="V60" s="692"/>
      <c r="W60" s="438"/>
      <c r="X60" s="438"/>
      <c r="Y60" s="438"/>
      <c r="Z60" s="438"/>
      <c r="AA60" s="438"/>
      <c r="AB60" s="438"/>
      <c r="AC60" s="438"/>
      <c r="AD60" s="438"/>
      <c r="AE60" s="438"/>
      <c r="AF60" s="438"/>
      <c r="AG60" s="438"/>
      <c r="AH60" s="438"/>
      <c r="AI60" s="438"/>
    </row>
    <row r="61" spans="4:35" ht="14.25" customHeight="1" thickTop="1">
      <c r="D61" s="438"/>
      <c r="E61" s="438"/>
      <c r="F61" s="438"/>
      <c r="G61" s="438"/>
      <c r="H61" s="438"/>
      <c r="I61" s="710"/>
      <c r="J61" s="438"/>
      <c r="K61" s="438"/>
      <c r="L61" s="438"/>
      <c r="M61" s="438"/>
      <c r="N61" s="438"/>
      <c r="O61" s="438"/>
      <c r="P61" s="438"/>
      <c r="Q61" s="438"/>
      <c r="R61" s="438"/>
      <c r="S61" s="693"/>
      <c r="T61" s="438"/>
      <c r="U61" s="43" t="s">
        <v>98</v>
      </c>
      <c r="V61" s="871">
        <f>ESG!C14</f>
        <v>72</v>
      </c>
      <c r="W61" s="438"/>
      <c r="X61" s="438"/>
      <c r="Y61" s="438"/>
      <c r="Z61" s="438"/>
      <c r="AA61" s="438"/>
      <c r="AB61" s="438"/>
      <c r="AC61" s="438"/>
      <c r="AD61" s="438"/>
      <c r="AE61" s="438"/>
      <c r="AF61" s="438"/>
      <c r="AG61" s="438"/>
      <c r="AH61" s="438"/>
      <c r="AI61" s="438"/>
    </row>
    <row r="62" spans="4:35" ht="14.25" customHeight="1">
      <c r="D62" s="438"/>
      <c r="E62" s="438"/>
      <c r="F62" s="438"/>
      <c r="G62" s="438"/>
      <c r="H62" s="438"/>
      <c r="I62" s="710"/>
      <c r="J62" s="438"/>
      <c r="K62" s="438"/>
      <c r="L62" s="438"/>
      <c r="M62" s="438"/>
      <c r="N62" s="438"/>
      <c r="O62" s="438"/>
      <c r="P62" s="438"/>
      <c r="Q62" s="438"/>
      <c r="R62" s="438"/>
      <c r="S62" s="693"/>
      <c r="T62" s="438"/>
      <c r="U62" s="22" t="s">
        <v>99</v>
      </c>
      <c r="V62" s="713">
        <f>ESG!C15</f>
        <v>79</v>
      </c>
      <c r="W62" s="438"/>
      <c r="X62" s="438"/>
      <c r="Y62" s="438"/>
      <c r="Z62" s="438"/>
      <c r="AA62" s="438"/>
      <c r="AB62" s="438"/>
      <c r="AC62" s="438"/>
      <c r="AD62" s="438"/>
      <c r="AE62" s="438"/>
      <c r="AF62" s="438"/>
      <c r="AG62" s="438"/>
      <c r="AH62" s="438"/>
      <c r="AI62" s="438"/>
    </row>
    <row r="63" spans="4:35">
      <c r="D63" s="438"/>
      <c r="E63" s="438"/>
      <c r="F63" s="438"/>
      <c r="G63" s="438"/>
      <c r="H63" s="438"/>
      <c r="I63" s="438"/>
      <c r="J63" s="438"/>
      <c r="K63" s="438"/>
      <c r="L63" s="438"/>
      <c r="M63" s="438"/>
      <c r="N63" s="438"/>
      <c r="O63" s="438"/>
      <c r="P63" s="438"/>
      <c r="Q63" s="438"/>
      <c r="R63" s="438"/>
      <c r="S63" s="693"/>
      <c r="T63" s="438"/>
      <c r="U63" s="22" t="s">
        <v>100</v>
      </c>
      <c r="V63" s="713">
        <f>ESG!C16</f>
        <v>94</v>
      </c>
      <c r="W63" s="438"/>
      <c r="X63" s="438"/>
      <c r="Y63" s="438"/>
      <c r="Z63" s="438"/>
      <c r="AA63" s="438"/>
      <c r="AB63" s="438"/>
      <c r="AC63" s="438"/>
      <c r="AD63" s="438"/>
      <c r="AE63" s="438"/>
      <c r="AF63" s="438"/>
      <c r="AG63" s="438"/>
      <c r="AH63" s="438"/>
      <c r="AI63" s="438"/>
    </row>
    <row r="64" spans="4:35">
      <c r="D64" s="438"/>
      <c r="E64" s="438"/>
      <c r="F64" s="438"/>
      <c r="G64" s="438"/>
      <c r="H64" s="438"/>
      <c r="I64" s="438"/>
      <c r="J64" s="438"/>
      <c r="K64" s="438"/>
      <c r="L64" s="438"/>
      <c r="M64" s="438"/>
      <c r="N64" s="438"/>
      <c r="O64" s="438"/>
      <c r="P64" s="438"/>
      <c r="Q64" s="438"/>
      <c r="R64" s="438"/>
      <c r="S64" s="693"/>
      <c r="T64" s="438"/>
      <c r="U64" s="22" t="s">
        <v>101</v>
      </c>
      <c r="V64" s="713">
        <f>ESG!C17</f>
        <v>52</v>
      </c>
      <c r="W64" s="438"/>
      <c r="X64" s="438"/>
      <c r="Y64" s="438"/>
      <c r="Z64" s="438"/>
      <c r="AA64" s="438"/>
      <c r="AB64" s="438"/>
      <c r="AC64" s="438"/>
      <c r="AD64" s="438"/>
      <c r="AE64" s="438"/>
      <c r="AF64" s="438"/>
      <c r="AG64" s="438"/>
      <c r="AH64" s="438"/>
      <c r="AI64" s="438"/>
    </row>
    <row r="65" spans="4:22">
      <c r="D65" s="438"/>
      <c r="E65" s="438"/>
      <c r="F65" s="438"/>
      <c r="G65" s="438"/>
      <c r="H65" s="438"/>
      <c r="I65" s="438"/>
      <c r="J65" s="438"/>
      <c r="K65" s="438"/>
      <c r="L65" s="438"/>
      <c r="M65" s="438"/>
      <c r="N65" s="438"/>
      <c r="O65" s="438"/>
      <c r="P65" s="438"/>
      <c r="Q65" s="438"/>
      <c r="R65" s="438"/>
      <c r="S65" s="693"/>
      <c r="T65" s="438"/>
      <c r="U65" s="20" t="s">
        <v>102</v>
      </c>
      <c r="V65" s="857">
        <f>ESG!C18</f>
        <v>60</v>
      </c>
    </row>
    <row r="66" spans="4:22">
      <c r="D66" s="438"/>
      <c r="E66" s="438"/>
      <c r="F66" s="438"/>
      <c r="G66" s="438"/>
      <c r="H66" s="438"/>
      <c r="I66" s="438"/>
      <c r="J66" s="438"/>
      <c r="K66" s="438"/>
      <c r="L66" s="438"/>
      <c r="M66" s="438"/>
      <c r="N66" s="438"/>
      <c r="O66" s="438"/>
      <c r="P66" s="438"/>
      <c r="Q66" s="438"/>
      <c r="R66" s="438"/>
      <c r="S66" s="693"/>
      <c r="T66" s="438"/>
      <c r="U66" s="22" t="s">
        <v>103</v>
      </c>
      <c r="V66" s="40">
        <f>ESG!C19</f>
        <v>76</v>
      </c>
    </row>
    <row r="67" spans="4:22">
      <c r="D67" s="438"/>
      <c r="E67" s="438"/>
      <c r="F67" s="438"/>
      <c r="G67" s="438"/>
      <c r="H67" s="438"/>
      <c r="I67" s="438"/>
      <c r="J67" s="438"/>
      <c r="K67" s="438"/>
      <c r="L67" s="438"/>
      <c r="M67" s="438"/>
      <c r="N67" s="438"/>
      <c r="O67" s="438"/>
      <c r="P67" s="438"/>
      <c r="Q67" s="438"/>
      <c r="R67" s="438"/>
      <c r="S67" s="693"/>
      <c r="T67" s="438"/>
      <c r="U67" s="22" t="s">
        <v>104</v>
      </c>
      <c r="V67" s="40">
        <f>ESG!C20</f>
        <v>49</v>
      </c>
    </row>
    <row r="68" spans="4:22">
      <c r="D68" s="438"/>
      <c r="E68" s="438"/>
      <c r="F68" s="438"/>
      <c r="G68" s="438"/>
      <c r="H68" s="438"/>
      <c r="I68" s="438"/>
      <c r="J68" s="438"/>
      <c r="K68" s="438"/>
      <c r="L68" s="438"/>
      <c r="M68" s="438"/>
      <c r="N68" s="438"/>
      <c r="O68" s="438"/>
      <c r="P68" s="438"/>
      <c r="Q68" s="438"/>
      <c r="R68" s="438"/>
      <c r="S68" s="693"/>
      <c r="T68" s="438"/>
      <c r="U68" s="22" t="s">
        <v>105</v>
      </c>
      <c r="V68" s="40">
        <f>ESG!C21</f>
        <v>60</v>
      </c>
    </row>
    <row r="69" spans="4:22">
      <c r="D69" s="438"/>
      <c r="E69" s="438"/>
      <c r="F69" s="438"/>
      <c r="G69" s="438"/>
      <c r="H69" s="438"/>
      <c r="I69" s="438"/>
      <c r="J69" s="438"/>
      <c r="K69" s="438"/>
      <c r="L69" s="438"/>
      <c r="M69" s="438"/>
      <c r="N69" s="438"/>
      <c r="O69" s="438"/>
      <c r="P69" s="438"/>
      <c r="Q69" s="438"/>
      <c r="R69" s="438"/>
      <c r="S69" s="693"/>
      <c r="T69" s="438"/>
      <c r="U69" s="20" t="s">
        <v>106</v>
      </c>
      <c r="V69" s="873" t="str">
        <f>ESG!C22</f>
        <v>13,3</v>
      </c>
    </row>
    <row r="70" spans="4:22">
      <c r="D70" s="438"/>
      <c r="E70" s="438"/>
      <c r="F70" s="438"/>
      <c r="G70" s="438"/>
      <c r="H70" s="438"/>
      <c r="I70" s="438"/>
      <c r="J70" s="438"/>
      <c r="K70" s="438"/>
      <c r="L70" s="438"/>
      <c r="M70" s="438"/>
      <c r="N70" s="438"/>
      <c r="O70" s="438"/>
      <c r="P70" s="438"/>
      <c r="Q70" s="438"/>
      <c r="R70" s="438"/>
      <c r="S70" s="693"/>
      <c r="T70" s="438"/>
      <c r="U70" s="20" t="s">
        <v>107</v>
      </c>
      <c r="V70" s="874" t="str">
        <f>ESG!C23</f>
        <v>B</v>
      </c>
    </row>
    <row r="71" spans="4:22">
      <c r="D71" s="438"/>
      <c r="E71" s="438"/>
      <c r="F71" s="438"/>
      <c r="G71" s="438"/>
      <c r="H71" s="438"/>
      <c r="I71" s="438"/>
      <c r="J71" s="438"/>
      <c r="K71" s="438"/>
      <c r="L71" s="438"/>
      <c r="M71" s="438"/>
      <c r="N71" s="438"/>
      <c r="O71" s="438"/>
      <c r="P71" s="438"/>
      <c r="Q71" s="438"/>
      <c r="R71" s="438"/>
      <c r="S71" s="693"/>
      <c r="T71" s="438"/>
      <c r="U71" s="22" t="s">
        <v>108</v>
      </c>
      <c r="V71" s="40">
        <f>ESG!C24</f>
        <v>4.2</v>
      </c>
    </row>
    <row r="72" spans="4:22">
      <c r="D72" s="438"/>
      <c r="E72" s="438"/>
      <c r="F72" s="438"/>
      <c r="G72" s="438"/>
      <c r="H72" s="438"/>
      <c r="I72" s="438"/>
      <c r="J72" s="438"/>
      <c r="K72" s="438"/>
      <c r="L72" s="438"/>
      <c r="M72" s="438"/>
      <c r="N72" s="438"/>
      <c r="O72" s="438"/>
      <c r="P72" s="438"/>
      <c r="Q72" s="438"/>
      <c r="R72" s="438"/>
      <c r="S72" s="693"/>
      <c r="T72" s="438"/>
      <c r="U72" s="22" t="s">
        <v>109</v>
      </c>
      <c r="V72" s="39">
        <f>ESG!C25</f>
        <v>7</v>
      </c>
    </row>
    <row r="73" spans="4:22">
      <c r="D73" s="438"/>
      <c r="E73" s="438"/>
      <c r="F73" s="438"/>
      <c r="G73" s="438"/>
      <c r="H73" s="438"/>
      <c r="I73" s="438"/>
      <c r="J73" s="438"/>
      <c r="K73" s="438"/>
      <c r="L73" s="438"/>
      <c r="M73" s="438"/>
      <c r="N73" s="438"/>
      <c r="O73" s="438"/>
      <c r="P73" s="438"/>
      <c r="Q73" s="438"/>
      <c r="R73" s="438"/>
      <c r="S73" s="693"/>
      <c r="T73" s="438"/>
      <c r="U73" s="20" t="s">
        <v>110</v>
      </c>
      <c r="V73" s="858" t="str">
        <f>ESG!C26</f>
        <v>AA</v>
      </c>
    </row>
    <row r="80" spans="4:22" ht="14.25" customHeight="1">
      <c r="D80" s="725" t="s">
        <v>111</v>
      </c>
      <c r="E80" s="62"/>
      <c r="F80" s="61"/>
      <c r="G80" s="61"/>
      <c r="H80" s="61"/>
      <c r="I80" s="61"/>
      <c r="J80" s="61"/>
      <c r="K80" s="61"/>
      <c r="L80" s="61"/>
      <c r="M80" s="61"/>
      <c r="N80" s="61"/>
      <c r="O80" s="61"/>
      <c r="P80" s="61"/>
      <c r="Q80" s="61"/>
      <c r="R80" s="61"/>
      <c r="S80" s="693"/>
      <c r="T80" s="438"/>
      <c r="U80" s="438"/>
      <c r="V80" s="438"/>
    </row>
    <row r="81" spans="4:18" ht="3.95" customHeight="1">
      <c r="D81" s="63"/>
      <c r="E81" s="63"/>
      <c r="F81" s="63"/>
      <c r="G81" s="63"/>
      <c r="H81" s="63"/>
      <c r="I81" s="63"/>
      <c r="J81" s="63"/>
      <c r="K81" s="63"/>
      <c r="L81" s="63"/>
      <c r="M81" s="63"/>
      <c r="N81" s="63"/>
      <c r="O81" s="63"/>
      <c r="P81" s="63"/>
      <c r="Q81" s="63"/>
      <c r="R81" s="63"/>
    </row>
    <row r="82" spans="4:18">
      <c r="D82" s="944"/>
      <c r="E82" s="944"/>
      <c r="F82" s="944"/>
      <c r="G82" s="944"/>
      <c r="H82" s="944"/>
      <c r="I82" s="944"/>
      <c r="J82" s="944"/>
      <c r="K82" s="944"/>
      <c r="L82" s="944"/>
      <c r="M82" s="944"/>
      <c r="N82" s="944"/>
      <c r="O82" s="944"/>
      <c r="P82" s="944"/>
      <c r="Q82" s="944"/>
      <c r="R82" s="944"/>
    </row>
    <row r="83" spans="4:18">
      <c r="D83" s="944"/>
      <c r="E83" s="944"/>
      <c r="F83" s="944"/>
      <c r="G83" s="944"/>
      <c r="H83" s="944"/>
      <c r="I83" s="944"/>
      <c r="J83" s="944"/>
      <c r="K83" s="944"/>
      <c r="L83" s="944"/>
      <c r="M83" s="944"/>
      <c r="N83" s="944"/>
      <c r="O83" s="944"/>
      <c r="P83" s="944"/>
      <c r="Q83" s="944"/>
      <c r="R83" s="944"/>
    </row>
    <row r="84" spans="4:18">
      <c r="D84" s="944"/>
      <c r="E84" s="944"/>
      <c r="F84" s="944"/>
      <c r="G84" s="944"/>
      <c r="H84" s="944"/>
      <c r="I84" s="944"/>
      <c r="J84" s="944"/>
      <c r="K84" s="944"/>
      <c r="L84" s="944"/>
      <c r="M84" s="944"/>
      <c r="N84" s="944"/>
      <c r="O84" s="944"/>
      <c r="P84" s="944"/>
      <c r="Q84" s="944"/>
      <c r="R84" s="944"/>
    </row>
    <row r="85" spans="4:18">
      <c r="D85" s="944"/>
      <c r="E85" s="944"/>
      <c r="F85" s="944"/>
      <c r="G85" s="944"/>
      <c r="H85" s="944"/>
      <c r="I85" s="944"/>
      <c r="J85" s="944"/>
      <c r="K85" s="944"/>
      <c r="L85" s="944"/>
      <c r="M85" s="944"/>
      <c r="N85" s="944"/>
      <c r="O85" s="944"/>
      <c r="P85" s="944"/>
      <c r="Q85" s="944"/>
      <c r="R85" s="944"/>
    </row>
    <row r="86" spans="4:18">
      <c r="D86" s="944"/>
      <c r="E86" s="944"/>
      <c r="F86" s="944"/>
      <c r="G86" s="944"/>
      <c r="H86" s="944"/>
      <c r="I86" s="944"/>
      <c r="J86" s="944"/>
      <c r="K86" s="944"/>
      <c r="L86" s="944"/>
      <c r="M86" s="944"/>
      <c r="N86" s="944"/>
      <c r="O86" s="944"/>
      <c r="P86" s="944"/>
      <c r="Q86" s="944"/>
      <c r="R86" s="944"/>
    </row>
    <row r="87" spans="4:18">
      <c r="D87" s="945"/>
      <c r="E87" s="945"/>
      <c r="F87" s="945"/>
      <c r="G87" s="945"/>
      <c r="H87" s="945"/>
      <c r="I87" s="945"/>
      <c r="J87" s="945"/>
      <c r="K87" s="945"/>
      <c r="L87" s="945"/>
      <c r="M87" s="945"/>
      <c r="N87" s="945"/>
      <c r="O87" s="945"/>
      <c r="P87" s="945"/>
      <c r="Q87" s="945"/>
      <c r="R87" s="945"/>
    </row>
    <row r="88" spans="4:18">
      <c r="D88" s="945"/>
      <c r="E88" s="945"/>
      <c r="F88" s="945"/>
      <c r="G88" s="945"/>
      <c r="H88" s="945"/>
      <c r="I88" s="945"/>
      <c r="J88" s="945"/>
      <c r="K88" s="945"/>
      <c r="L88" s="945"/>
      <c r="M88" s="945"/>
      <c r="N88" s="945"/>
      <c r="O88" s="945"/>
      <c r="P88" s="945"/>
      <c r="Q88" s="945"/>
      <c r="R88" s="945"/>
    </row>
    <row r="1048576" spans="4:18">
      <c r="D1048576" s="735"/>
      <c r="E1048576" s="735"/>
      <c r="F1048576" s="735"/>
      <c r="G1048576" s="735"/>
      <c r="H1048576" s="735"/>
      <c r="I1048576" s="735"/>
      <c r="J1048576" s="735"/>
      <c r="K1048576" s="735"/>
      <c r="L1048576" s="735"/>
      <c r="M1048576" s="735"/>
      <c r="N1048576" s="735"/>
      <c r="O1048576" s="735"/>
      <c r="P1048576" s="735"/>
      <c r="Q1048576" s="735"/>
      <c r="R1048576" s="735"/>
    </row>
  </sheetData>
  <dataConsolidate/>
  <mergeCells count="15">
    <mergeCell ref="D86:R86"/>
    <mergeCell ref="D87:R87"/>
    <mergeCell ref="D88:R88"/>
    <mergeCell ref="D82:R82"/>
    <mergeCell ref="D83:R83"/>
    <mergeCell ref="D84:R84"/>
    <mergeCell ref="D85:R85"/>
    <mergeCell ref="U50:V58"/>
    <mergeCell ref="D41:F43"/>
    <mergeCell ref="G41:I43"/>
    <mergeCell ref="D8:R9"/>
    <mergeCell ref="D11:R15"/>
    <mergeCell ref="D37:F39"/>
    <mergeCell ref="G37:I39"/>
    <mergeCell ref="D18:E18"/>
  </mergeCells>
  <phoneticPr fontId="74" type="noConversion"/>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27" r:id="rId1" xr:uid="{F23E8C5E-6BEF-45FA-B988-0AEDF336CD27}"/>
    <hyperlink ref="U21" r:id="rId2" xr:uid="{B8DC5358-5432-43E8-A376-1D60251DB95D}"/>
    <hyperlink ref="U24" r:id="rId3" xr:uid="{0F0B8BAA-F5B2-4559-BDE3-7BB8450618BB}"/>
    <hyperlink ref="U18" r:id="rId4" xr:uid="{053D5D0B-CA48-4196-8F5E-739FA7354160}"/>
  </hyperlinks>
  <pageMargins left="0.7" right="0.7" top="0.75" bottom="0.75" header="0.3" footer="0.3"/>
  <pageSetup paperSize="9" orientation="portrait"/>
  <drawing r:id="rId5"/>
  <legacyDrawing r:id="rId6"/>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T54"/>
  <sheetViews>
    <sheetView showGridLines="0" topLeftCell="A27" zoomScale="70" zoomScaleNormal="70" workbookViewId="0">
      <selection activeCell="D26" sqref="D26:I26"/>
    </sheetView>
  </sheetViews>
  <sheetFormatPr defaultRowHeight="14.1"/>
  <cols>
    <col min="1" max="1" width="2.375" customWidth="1"/>
    <col min="2" max="2" width="22" customWidth="1"/>
    <col min="4" max="4" width="13.25" customWidth="1"/>
    <col min="5" max="9" width="12.625" customWidth="1"/>
    <col min="10" max="10" width="18.625" style="6" customWidth="1"/>
    <col min="11" max="25" width="12.625" customWidth="1"/>
  </cols>
  <sheetData>
    <row r="2" spans="2:18" s="37" customFormat="1" ht="20.100000000000001" customHeight="1">
      <c r="B2" s="36" t="s">
        <v>112</v>
      </c>
      <c r="J2" s="38"/>
    </row>
    <row r="4" spans="2:18" ht="15.6">
      <c r="B4" s="45" t="s">
        <v>113</v>
      </c>
      <c r="C4" s="49"/>
      <c r="D4" s="45" t="s">
        <v>114</v>
      </c>
      <c r="E4" s="50">
        <v>2020</v>
      </c>
      <c r="F4" s="50">
        <f>+E4+1</f>
        <v>2021</v>
      </c>
      <c r="G4" s="50">
        <f>+F4+1</f>
        <v>2022</v>
      </c>
      <c r="H4" s="50">
        <f t="shared" ref="H4:I4" si="0">+G4+1</f>
        <v>2023</v>
      </c>
      <c r="I4" s="50">
        <f t="shared" si="0"/>
        <v>2024</v>
      </c>
      <c r="J4" s="51" t="str">
        <f>"CAGR "&amp;$G$4&amp;" - "&amp;$I$4</f>
        <v>CAGR 2022 - 2024</v>
      </c>
      <c r="K4" s="50">
        <v>2021</v>
      </c>
      <c r="L4" s="50">
        <f>+K4+1</f>
        <v>2022</v>
      </c>
      <c r="M4" s="50">
        <f>+L4+1</f>
        <v>2023</v>
      </c>
      <c r="N4" s="50">
        <f t="shared" ref="N4" si="1">+M4+1</f>
        <v>2024</v>
      </c>
    </row>
    <row r="5" spans="2:18" ht="3.95" customHeight="1">
      <c r="B5" s="46"/>
      <c r="C5" s="46"/>
      <c r="D5" s="46"/>
      <c r="E5" s="46"/>
      <c r="F5" s="46"/>
      <c r="G5" s="46"/>
      <c r="H5" s="46"/>
      <c r="I5" s="46"/>
      <c r="J5" s="53"/>
      <c r="K5" s="53"/>
      <c r="L5" s="53"/>
      <c r="M5" s="53"/>
      <c r="N5" s="53"/>
    </row>
    <row r="6" spans="2:18">
      <c r="B6" t="s">
        <v>115</v>
      </c>
      <c r="D6" s="57">
        <f>IFERROR(I6/SUM($I$6:$I$12),"")</f>
        <v>0.41463736989922351</v>
      </c>
      <c r="E6" s="84">
        <v>22258</v>
      </c>
      <c r="F6" s="84">
        <v>22893</v>
      </c>
      <c r="G6" s="85">
        <v>25098</v>
      </c>
      <c r="H6" s="85">
        <v>25309</v>
      </c>
      <c r="I6" s="85">
        <v>25098</v>
      </c>
      <c r="J6" s="56">
        <f>IFERROR((I6/G6)^(1/COUNT($G$4:$I$4))-1,"")</f>
        <v>0</v>
      </c>
      <c r="K6" s="57">
        <f t="shared" ref="K6:M7" si="2">IFERROR((F6-E6)/E6,"")</f>
        <v>2.8529068200197683E-2</v>
      </c>
      <c r="L6" s="57">
        <f t="shared" si="2"/>
        <v>9.6317651683920855E-2</v>
      </c>
      <c r="M6" s="86">
        <f t="shared" si="2"/>
        <v>8.4070443860068539E-3</v>
      </c>
      <c r="N6" s="86">
        <f t="shared" ref="N6:N13" si="3">IFERROR((I6-H6)/H6,"")</f>
        <v>-8.3369552333162119E-3</v>
      </c>
    </row>
    <row r="7" spans="2:18">
      <c r="B7" t="s">
        <v>116</v>
      </c>
      <c r="D7" s="57">
        <f>IFERROR(I7/SUM($I$6:$I$12),"")</f>
        <v>0.58536263010077649</v>
      </c>
      <c r="E7" s="84">
        <f>5680+27241</f>
        <v>32921</v>
      </c>
      <c r="F7" s="84">
        <f>5648+28810</f>
        <v>34458</v>
      </c>
      <c r="G7" s="85">
        <v>25432</v>
      </c>
      <c r="H7" s="85">
        <v>36551</v>
      </c>
      <c r="I7" s="85">
        <v>35432</v>
      </c>
      <c r="J7" s="56">
        <f>IFERROR((I7/G7)^(1/COUNT($G$4:$I$4))-1,"")</f>
        <v>0.11687623683466031</v>
      </c>
      <c r="K7" s="57">
        <f t="shared" si="2"/>
        <v>4.6687524680295252E-2</v>
      </c>
      <c r="L7" s="57">
        <f t="shared" si="2"/>
        <v>-0.26194207440942596</v>
      </c>
      <c r="M7" s="86">
        <f t="shared" si="2"/>
        <v>0.43720509594212015</v>
      </c>
      <c r="N7" s="86">
        <f t="shared" si="3"/>
        <v>-3.0614757462176137E-2</v>
      </c>
    </row>
    <row r="8" spans="2:18" hidden="1">
      <c r="B8" s="79"/>
      <c r="D8" s="57">
        <f t="shared" ref="D8:D12" si="4">IFERROR(I8/SUM($I$6:$I$12),"")</f>
        <v>0</v>
      </c>
      <c r="E8" s="87"/>
      <c r="F8" s="87"/>
      <c r="G8" s="87"/>
      <c r="H8" s="87"/>
      <c r="I8" s="87"/>
      <c r="J8" s="56" t="str">
        <f t="shared" ref="J8:J10" si="5">IFERROR((I8/E8)^(1/COUNT($E$4:$I$4))-1,"")</f>
        <v/>
      </c>
      <c r="K8" s="57" t="str">
        <f t="shared" ref="K8:L13" si="6">IFERROR((F8-E8)/E8,"")</f>
        <v/>
      </c>
      <c r="L8" s="57" t="str">
        <f t="shared" si="6"/>
        <v/>
      </c>
      <c r="M8" s="57" t="str">
        <f t="shared" ref="M8:M10" si="7">IFERROR(H8-G8/G8,"")</f>
        <v/>
      </c>
      <c r="N8" s="86" t="str">
        <f t="shared" si="3"/>
        <v/>
      </c>
    </row>
    <row r="9" spans="2:18" hidden="1">
      <c r="B9" s="79"/>
      <c r="D9" s="57">
        <f t="shared" si="4"/>
        <v>0</v>
      </c>
      <c r="E9" s="87"/>
      <c r="F9" s="87"/>
      <c r="G9" s="87"/>
      <c r="H9" s="87"/>
      <c r="I9" s="87"/>
      <c r="J9" s="56" t="str">
        <f t="shared" si="5"/>
        <v/>
      </c>
      <c r="K9" s="57" t="str">
        <f t="shared" si="6"/>
        <v/>
      </c>
      <c r="L9" s="57" t="str">
        <f t="shared" si="6"/>
        <v/>
      </c>
      <c r="M9" s="57" t="str">
        <f t="shared" si="7"/>
        <v/>
      </c>
      <c r="N9" s="86" t="str">
        <f t="shared" si="3"/>
        <v/>
      </c>
    </row>
    <row r="10" spans="2:18" hidden="1">
      <c r="B10" s="79"/>
      <c r="D10" s="57">
        <f t="shared" si="4"/>
        <v>0</v>
      </c>
      <c r="E10" s="87"/>
      <c r="F10" s="87"/>
      <c r="G10" s="87"/>
      <c r="H10" s="87"/>
      <c r="I10" s="87"/>
      <c r="J10" s="56" t="str">
        <f t="shared" si="5"/>
        <v/>
      </c>
      <c r="K10" s="57" t="str">
        <f t="shared" si="6"/>
        <v/>
      </c>
      <c r="L10" s="57" t="str">
        <f t="shared" si="6"/>
        <v/>
      </c>
      <c r="M10" s="57" t="str">
        <f t="shared" si="7"/>
        <v/>
      </c>
      <c r="N10" s="86" t="str">
        <f t="shared" si="3"/>
        <v/>
      </c>
    </row>
    <row r="11" spans="2:18" hidden="1">
      <c r="B11" s="79"/>
      <c r="D11" s="57">
        <f t="shared" si="4"/>
        <v>0</v>
      </c>
      <c r="E11" s="87"/>
      <c r="F11" s="87"/>
      <c r="G11" s="87"/>
      <c r="H11" s="87"/>
      <c r="I11" s="87"/>
      <c r="J11" s="56"/>
      <c r="K11" s="57" t="str">
        <f t="shared" si="6"/>
        <v/>
      </c>
      <c r="L11" s="57" t="str">
        <f t="shared" si="6"/>
        <v/>
      </c>
      <c r="M11" s="57"/>
      <c r="N11" s="86"/>
    </row>
    <row r="12" spans="2:18" ht="0.6" customHeight="1">
      <c r="B12" s="79"/>
      <c r="D12" s="57">
        <f t="shared" si="4"/>
        <v>0</v>
      </c>
      <c r="E12" s="87"/>
      <c r="F12" s="87"/>
      <c r="G12" s="87"/>
      <c r="H12" s="87"/>
      <c r="I12" s="87"/>
      <c r="J12" s="56"/>
      <c r="K12" s="57" t="str">
        <f t="shared" si="6"/>
        <v/>
      </c>
      <c r="L12" s="57" t="str">
        <f t="shared" si="6"/>
        <v/>
      </c>
      <c r="M12" s="57"/>
      <c r="N12" s="86"/>
    </row>
    <row r="13" spans="2:18">
      <c r="B13" s="1" t="s">
        <v>117</v>
      </c>
      <c r="D13" s="88">
        <f>SUM(D6:D12)</f>
        <v>1</v>
      </c>
      <c r="E13" s="89">
        <f>SUM(E6:E10)</f>
        <v>55179</v>
      </c>
      <c r="F13" s="89">
        <f t="shared" ref="F13:I13" si="8">SUM(F6:F10)</f>
        <v>57351</v>
      </c>
      <c r="G13" s="89">
        <f t="shared" si="8"/>
        <v>50530</v>
      </c>
      <c r="H13" s="89">
        <f t="shared" si="8"/>
        <v>61860</v>
      </c>
      <c r="I13" s="89">
        <f t="shared" si="8"/>
        <v>60530</v>
      </c>
      <c r="J13" s="59">
        <f>IFERROR((I13/G13)^(1/COUNT($G$4:$I$4))-1,"")</f>
        <v>6.2038983953245141E-2</v>
      </c>
      <c r="K13" s="57">
        <f t="shared" si="6"/>
        <v>3.9362801065622795E-2</v>
      </c>
      <c r="L13" s="57">
        <f t="shared" si="6"/>
        <v>-0.11893428187825844</v>
      </c>
      <c r="M13" s="86">
        <f>IFERROR((H13-G13)/G13,"")</f>
        <v>0.22422323372254108</v>
      </c>
      <c r="N13" s="86">
        <f t="shared" si="3"/>
        <v>-2.1500161655350791E-2</v>
      </c>
    </row>
    <row r="14" spans="2:18" ht="8.1" customHeight="1">
      <c r="R14" s="90"/>
    </row>
    <row r="15" spans="2:18" ht="15.6">
      <c r="B15" s="45" t="s">
        <v>112</v>
      </c>
      <c r="C15" s="49"/>
      <c r="D15" s="45" t="s">
        <v>114</v>
      </c>
      <c r="E15" s="50">
        <v>2020</v>
      </c>
      <c r="F15" s="50">
        <f>+E15+1</f>
        <v>2021</v>
      </c>
      <c r="G15" s="50">
        <f>+F15+1</f>
        <v>2022</v>
      </c>
      <c r="H15" s="50">
        <f t="shared" ref="H15:I15" si="9">+G15+1</f>
        <v>2023</v>
      </c>
      <c r="I15" s="50">
        <f t="shared" si="9"/>
        <v>2024</v>
      </c>
      <c r="J15" s="51" t="str">
        <f>"CAGR "&amp;$E$4&amp;" - "&amp;$I$4</f>
        <v>CAGR 2020 - 2024</v>
      </c>
      <c r="K15" s="50">
        <v>2021</v>
      </c>
      <c r="L15" s="50">
        <f>+K15+1</f>
        <v>2022</v>
      </c>
      <c r="M15" s="50">
        <f>+L15+1</f>
        <v>2023</v>
      </c>
      <c r="N15" s="50">
        <f t="shared" ref="N15" si="10">+M15+1</f>
        <v>2024</v>
      </c>
    </row>
    <row r="16" spans="2:18" s="86" customFormat="1" ht="3.95" customHeight="1">
      <c r="B16" s="46"/>
      <c r="C16" s="46"/>
      <c r="D16" s="46"/>
      <c r="E16" s="46"/>
      <c r="F16" s="46"/>
      <c r="G16" s="46"/>
      <c r="H16" s="46"/>
      <c r="I16" s="46"/>
      <c r="J16" s="53"/>
      <c r="K16" s="53"/>
      <c r="L16" s="53"/>
      <c r="M16" s="53"/>
      <c r="N16" s="53"/>
      <c r="O16" s="91"/>
    </row>
    <row r="17" spans="2:20">
      <c r="B17" t="s">
        <v>118</v>
      </c>
      <c r="D17" s="57">
        <f>IFERROR(I17/SUM($I$17:$I$21),"")</f>
        <v>0.43329067349224126</v>
      </c>
      <c r="E17" s="87">
        <v>22927</v>
      </c>
      <c r="F17" s="87">
        <v>24141</v>
      </c>
      <c r="G17" s="87">
        <v>23629</v>
      </c>
      <c r="H17" s="87">
        <v>25011</v>
      </c>
      <c r="I17" s="87">
        <v>27085</v>
      </c>
      <c r="J17" s="56">
        <f>IFERROR((I17/E17)^(1/COUNT($E$4:$I$4))-1,"")</f>
        <v>3.3894730373346116E-2</v>
      </c>
      <c r="K17" s="90">
        <f t="shared" ref="K17:N22" si="11">IFERROR((F17-E17)/E17,"")</f>
        <v>5.2950669516290835E-2</v>
      </c>
      <c r="L17" s="90">
        <f t="shared" si="11"/>
        <v>-2.1208732032641564E-2</v>
      </c>
      <c r="M17" s="90">
        <f t="shared" si="11"/>
        <v>5.8487451860002537E-2</v>
      </c>
      <c r="N17" s="90">
        <f t="shared" si="11"/>
        <v>8.292351365399224E-2</v>
      </c>
    </row>
    <row r="18" spans="2:20">
      <c r="B18" t="s">
        <v>119</v>
      </c>
      <c r="D18" s="57">
        <f t="shared" ref="D18:D21" si="12">IFERROR(I18/SUM($I$17:$I$21),"")</f>
        <v>0.33101903695408735</v>
      </c>
      <c r="E18" s="87">
        <v>16257</v>
      </c>
      <c r="F18" s="87">
        <v>17844</v>
      </c>
      <c r="G18" s="87">
        <v>20058</v>
      </c>
      <c r="H18" s="87">
        <v>20884</v>
      </c>
      <c r="I18" s="87">
        <v>20692</v>
      </c>
      <c r="J18" s="56">
        <f t="shared" ref="J18:J22" si="13">IFERROR((I18/E18)^(1/COUNT($E$4:$I$4))-1,"")</f>
        <v>4.9427432836626428E-2</v>
      </c>
      <c r="K18" s="90">
        <f t="shared" si="11"/>
        <v>9.7619486990219592E-2</v>
      </c>
      <c r="L18" s="90">
        <f t="shared" si="11"/>
        <v>0.12407531943510423</v>
      </c>
      <c r="M18" s="90">
        <f t="shared" si="11"/>
        <v>4.1180576328646926E-2</v>
      </c>
      <c r="N18" s="90">
        <f t="shared" si="11"/>
        <v>-9.1936410649300897E-3</v>
      </c>
    </row>
    <row r="19" spans="2:20">
      <c r="B19" t="s">
        <v>120</v>
      </c>
      <c r="D19" s="57">
        <f t="shared" si="12"/>
        <v>0.22428411454167332</v>
      </c>
      <c r="E19" s="87">
        <v>14533</v>
      </c>
      <c r="F19" s="87">
        <v>14188</v>
      </c>
      <c r="G19" s="87">
        <v>15288</v>
      </c>
      <c r="H19" s="87">
        <v>14593</v>
      </c>
      <c r="I19" s="87">
        <v>14020</v>
      </c>
      <c r="J19" s="56">
        <f t="shared" si="13"/>
        <v>-7.1616411560078141E-3</v>
      </c>
      <c r="K19" s="90">
        <f t="shared" si="11"/>
        <v>-2.3739076584325329E-2</v>
      </c>
      <c r="L19" s="90">
        <f t="shared" si="11"/>
        <v>7.7530307301945309E-2</v>
      </c>
      <c r="M19" s="90">
        <f t="shared" si="11"/>
        <v>-4.5460491889063315E-2</v>
      </c>
      <c r="N19" s="90">
        <f t="shared" si="11"/>
        <v>-3.9265401219762901E-2</v>
      </c>
    </row>
    <row r="20" spans="2:20">
      <c r="B20" s="79" t="s">
        <v>121</v>
      </c>
      <c r="D20" s="57">
        <f t="shared" si="12"/>
        <v>1.1406175011998081E-2</v>
      </c>
      <c r="E20" s="87">
        <v>975</v>
      </c>
      <c r="F20" s="87">
        <v>774</v>
      </c>
      <c r="G20" s="87">
        <v>645</v>
      </c>
      <c r="H20" s="87">
        <v>741</v>
      </c>
      <c r="I20" s="87">
        <v>713</v>
      </c>
      <c r="J20" s="56">
        <f t="shared" si="13"/>
        <v>-6.0672617254118655E-2</v>
      </c>
      <c r="K20" s="90">
        <f t="shared" si="11"/>
        <v>-0.20615384615384616</v>
      </c>
      <c r="L20" s="90">
        <f t="shared" si="11"/>
        <v>-0.16666666666666666</v>
      </c>
      <c r="M20" s="90">
        <f t="shared" si="11"/>
        <v>0.14883720930232558</v>
      </c>
      <c r="N20" s="90">
        <f t="shared" si="11"/>
        <v>-3.7786774628879895E-2</v>
      </c>
    </row>
    <row r="21" spans="2:20" hidden="1">
      <c r="B21" s="79"/>
      <c r="D21" s="57">
        <f t="shared" si="12"/>
        <v>0</v>
      </c>
      <c r="E21" s="87"/>
      <c r="F21" s="87"/>
      <c r="G21" s="87"/>
      <c r="H21" s="87"/>
      <c r="I21" s="87"/>
      <c r="J21" s="56" t="str">
        <f t="shared" si="13"/>
        <v/>
      </c>
      <c r="K21" s="90" t="str">
        <f t="shared" si="11"/>
        <v/>
      </c>
      <c r="L21" s="90" t="str">
        <f t="shared" si="11"/>
        <v/>
      </c>
      <c r="M21" s="90" t="str">
        <f t="shared" si="11"/>
        <v/>
      </c>
      <c r="N21" s="90" t="str">
        <f t="shared" si="11"/>
        <v/>
      </c>
    </row>
    <row r="22" spans="2:20">
      <c r="B22" s="1" t="s">
        <v>117</v>
      </c>
      <c r="D22" s="88">
        <f>SUM(D17:D21)</f>
        <v>0.99999999999999989</v>
      </c>
      <c r="E22" s="89">
        <f>SUM(E17:E21)</f>
        <v>54692</v>
      </c>
      <c r="F22" s="89">
        <f>SUM(F17:F21)</f>
        <v>56947</v>
      </c>
      <c r="G22" s="89">
        <f t="shared" ref="G22:I22" si="14">SUM(G17:G21)</f>
        <v>59620</v>
      </c>
      <c r="H22" s="89">
        <f t="shared" si="14"/>
        <v>61229</v>
      </c>
      <c r="I22" s="89">
        <f t="shared" si="14"/>
        <v>62510</v>
      </c>
      <c r="J22" s="59">
        <f t="shared" si="13"/>
        <v>2.7082048821222893E-2</v>
      </c>
      <c r="K22" s="90">
        <f t="shared" si="11"/>
        <v>4.1230893000804507E-2</v>
      </c>
      <c r="L22" s="90">
        <f t="shared" si="11"/>
        <v>4.6938381301912302E-2</v>
      </c>
      <c r="M22" s="90">
        <f t="shared" si="11"/>
        <v>2.6987588057698759E-2</v>
      </c>
      <c r="N22" s="90">
        <f t="shared" si="11"/>
        <v>2.0921458785869439E-2</v>
      </c>
    </row>
    <row r="23" spans="2:20" ht="8.1" customHeight="1">
      <c r="B23" s="1"/>
      <c r="D23" s="1"/>
      <c r="E23" s="89"/>
      <c r="F23" s="89"/>
      <c r="G23" s="89"/>
      <c r="H23" s="89"/>
      <c r="I23" s="89"/>
      <c r="J23" s="59"/>
      <c r="K23" s="1"/>
      <c r="L23" s="1"/>
      <c r="M23" s="1"/>
      <c r="N23" s="1"/>
    </row>
    <row r="24" spans="2:20" ht="15" customHeight="1">
      <c r="B24" s="61" t="s">
        <v>122</v>
      </c>
      <c r="C24" s="62"/>
      <c r="D24" s="61" t="s">
        <v>123</v>
      </c>
      <c r="E24" s="62"/>
      <c r="F24" s="62"/>
      <c r="G24" s="62"/>
      <c r="H24" s="62"/>
      <c r="I24" s="62"/>
      <c r="J24" s="92" t="s">
        <v>124</v>
      </c>
      <c r="K24" s="93"/>
      <c r="L24" s="93"/>
      <c r="M24" s="93"/>
      <c r="N24" s="93"/>
    </row>
    <row r="25" spans="2:20" ht="3.95" customHeight="1">
      <c r="B25" s="63"/>
      <c r="C25" s="63"/>
      <c r="D25" s="63"/>
      <c r="E25" s="63"/>
      <c r="F25" s="63"/>
      <c r="G25" s="63"/>
      <c r="H25" s="63"/>
      <c r="I25" s="63"/>
      <c r="J25" s="94"/>
      <c r="K25" s="94"/>
      <c r="L25" s="94"/>
      <c r="M25" s="94"/>
      <c r="N25" s="94"/>
    </row>
    <row r="26" spans="2:20" ht="39.950000000000003" customHeight="1">
      <c r="B26" s="932" t="s">
        <v>118</v>
      </c>
      <c r="D26" s="948" t="s">
        <v>125</v>
      </c>
      <c r="E26" s="948"/>
      <c r="F26" s="948"/>
      <c r="G26" s="948"/>
      <c r="H26" s="948"/>
      <c r="I26" s="948"/>
      <c r="J26" s="59"/>
      <c r="K26" s="1"/>
      <c r="L26" s="1"/>
      <c r="M26" s="1"/>
      <c r="N26" s="1"/>
    </row>
    <row r="27" spans="2:20" ht="39.950000000000003" customHeight="1">
      <c r="B27" s="932" t="s">
        <v>119</v>
      </c>
      <c r="D27" s="948" t="s">
        <v>126</v>
      </c>
      <c r="E27" s="948"/>
      <c r="F27" s="948"/>
      <c r="G27" s="948"/>
      <c r="H27" s="948"/>
      <c r="I27" s="948"/>
      <c r="J27" s="59"/>
      <c r="K27" s="1"/>
      <c r="L27" s="1"/>
      <c r="M27" s="1"/>
      <c r="N27" s="1"/>
    </row>
    <row r="28" spans="2:20" ht="37.15" customHeight="1">
      <c r="B28" s="932" t="s">
        <v>120</v>
      </c>
      <c r="D28" s="948" t="s">
        <v>127</v>
      </c>
      <c r="E28" s="948"/>
      <c r="F28" s="948"/>
      <c r="G28" s="948"/>
      <c r="H28" s="948"/>
      <c r="I28" s="948"/>
      <c r="J28" s="59"/>
      <c r="K28" s="1"/>
      <c r="L28" s="1"/>
      <c r="M28" s="1"/>
      <c r="N28" s="1"/>
    </row>
    <row r="29" spans="2:20" ht="3.6" customHeight="1">
      <c r="B29" s="949"/>
      <c r="C29" s="949"/>
      <c r="D29" s="948"/>
      <c r="E29" s="948"/>
      <c r="F29" s="948"/>
      <c r="G29" s="948"/>
      <c r="H29" s="948"/>
      <c r="I29" s="948"/>
      <c r="J29" s="59"/>
      <c r="K29" s="1"/>
      <c r="L29" s="1"/>
      <c r="M29" s="1"/>
      <c r="N29" s="1"/>
    </row>
    <row r="30" spans="2:20" ht="15" customHeight="1">
      <c r="B30" s="946" t="str">
        <f>IF(B21=0,"",B21)</f>
        <v/>
      </c>
      <c r="C30" s="946"/>
      <c r="D30" s="948"/>
      <c r="E30" s="948"/>
      <c r="F30" s="948"/>
      <c r="G30" s="948"/>
      <c r="H30" s="948"/>
      <c r="I30" s="948"/>
      <c r="J30" s="59"/>
      <c r="K30" s="1"/>
      <c r="L30" s="1"/>
      <c r="M30" s="1"/>
      <c r="N30" s="1"/>
    </row>
    <row r="31" spans="2:20" ht="8.1" customHeight="1">
      <c r="B31" s="946"/>
      <c r="C31" s="946"/>
      <c r="E31" s="65"/>
      <c r="F31" s="65"/>
      <c r="G31" s="65"/>
      <c r="H31" s="65"/>
      <c r="I31" s="65"/>
      <c r="J31" s="95"/>
    </row>
    <row r="32" spans="2:20" ht="15.6">
      <c r="B32" s="45" t="s">
        <v>128</v>
      </c>
      <c r="C32" s="49"/>
      <c r="D32" s="45" t="s">
        <v>114</v>
      </c>
      <c r="E32" s="50">
        <v>2020</v>
      </c>
      <c r="F32" s="50">
        <f>+E32+1</f>
        <v>2021</v>
      </c>
      <c r="G32" s="50">
        <f>+F32+1</f>
        <v>2022</v>
      </c>
      <c r="H32" s="50">
        <f t="shared" ref="H32:I32" si="15">+G32+1</f>
        <v>2023</v>
      </c>
      <c r="I32" s="96">
        <f t="shared" si="15"/>
        <v>2024</v>
      </c>
      <c r="J32" s="97">
        <f>I32+1</f>
        <v>2025</v>
      </c>
      <c r="K32" s="97">
        <f t="shared" ref="K32:S32" si="16">+J32+1</f>
        <v>2026</v>
      </c>
      <c r="L32" s="97">
        <f t="shared" si="16"/>
        <v>2027</v>
      </c>
      <c r="M32" s="97">
        <f t="shared" si="16"/>
        <v>2028</v>
      </c>
      <c r="N32" s="97">
        <f t="shared" si="16"/>
        <v>2029</v>
      </c>
      <c r="O32" s="97">
        <f t="shared" si="16"/>
        <v>2030</v>
      </c>
      <c r="P32" s="97">
        <f t="shared" si="16"/>
        <v>2031</v>
      </c>
      <c r="Q32" s="97">
        <f t="shared" si="16"/>
        <v>2032</v>
      </c>
      <c r="R32" s="97">
        <f t="shared" si="16"/>
        <v>2033</v>
      </c>
      <c r="S32" s="97">
        <f t="shared" si="16"/>
        <v>2034</v>
      </c>
      <c r="T32" s="97"/>
    </row>
    <row r="33" spans="2:20" ht="3.6" customHeight="1">
      <c r="B33" s="46"/>
      <c r="C33" s="46"/>
      <c r="D33" s="46"/>
      <c r="E33" s="46"/>
      <c r="F33" s="46"/>
      <c r="G33" s="46"/>
      <c r="H33" s="46"/>
      <c r="I33" s="98"/>
      <c r="J33" s="53"/>
      <c r="K33" s="53"/>
      <c r="L33" s="53"/>
      <c r="M33" s="53"/>
      <c r="N33" s="53"/>
      <c r="O33" s="53"/>
      <c r="P33" s="53"/>
      <c r="Q33" s="53"/>
      <c r="R33" s="53"/>
      <c r="S33" s="53"/>
      <c r="T33" s="53"/>
    </row>
    <row r="34" spans="2:20">
      <c r="B34" t="str">
        <f>Sheet1!B60</f>
        <v>Software</v>
      </c>
      <c r="D34" s="57">
        <f>IFERROR(I34/$I$22,"")</f>
        <v>0.43329067349224126</v>
      </c>
      <c r="E34" s="87">
        <f>Sheet1!C62</f>
        <v>22124</v>
      </c>
      <c r="F34" s="87">
        <f>Sheet1!D62</f>
        <v>23426</v>
      </c>
      <c r="G34" s="87">
        <f>Sheet1!F62</f>
        <v>23629</v>
      </c>
      <c r="H34" s="87">
        <f>Sheet1!G62</f>
        <v>25011</v>
      </c>
      <c r="I34" s="99">
        <f>Sheet1!H62</f>
        <v>27085</v>
      </c>
      <c r="J34" s="100">
        <f t="shared" ref="J34:S34" si="17">I34*(1+J35)</f>
        <v>29362.139298593091</v>
      </c>
      <c r="K34" s="100">
        <f t="shared" si="17"/>
        <v>31928.67300162778</v>
      </c>
      <c r="L34" s="100">
        <f t="shared" si="17"/>
        <v>34846.980815198454</v>
      </c>
      <c r="M34" s="100">
        <f t="shared" si="17"/>
        <v>38151.44617544701</v>
      </c>
      <c r="N34" s="100">
        <f t="shared" si="17"/>
        <v>41900.013230217657</v>
      </c>
      <c r="O34" s="100">
        <f t="shared" si="17"/>
        <v>46131.769583122375</v>
      </c>
      <c r="P34" s="100">
        <f t="shared" si="17"/>
        <v>50474.72853846052</v>
      </c>
      <c r="Q34" s="100">
        <f t="shared" si="17"/>
        <v>54880.5873285161</v>
      </c>
      <c r="R34" s="100">
        <f t="shared" si="17"/>
        <v>59294.871414508831</v>
      </c>
      <c r="S34" s="100">
        <f t="shared" si="17"/>
        <v>63657.80464718672</v>
      </c>
      <c r="T34" s="100"/>
    </row>
    <row r="35" spans="2:20" s="924" customFormat="1" ht="12" customHeight="1">
      <c r="B35" s="923" t="s">
        <v>129</v>
      </c>
      <c r="D35" s="925"/>
      <c r="E35" s="926"/>
      <c r="F35" s="926">
        <f>(F34-E34)/E34</f>
        <v>5.8850117519435904E-2</v>
      </c>
      <c r="G35" s="926">
        <f>(G34-F34)/F34</f>
        <v>8.665585247161274E-3</v>
      </c>
      <c r="H35" s="926">
        <f>(H34-G34)/G34</f>
        <v>5.8487451860002537E-2</v>
      </c>
      <c r="I35" s="927">
        <f>(I34-H34)/H34</f>
        <v>8.292351365399224E-2</v>
      </c>
      <c r="J35" s="928">
        <f>Sheet1!I61</f>
        <v>8.4073815713239491E-2</v>
      </c>
      <c r="K35" s="928">
        <f>Sheet1!J61</f>
        <v>8.7409629010161027E-2</v>
      </c>
      <c r="L35" s="928">
        <f>Sheet1!K61</f>
        <v>9.1400848805144236E-2</v>
      </c>
      <c r="M35" s="928">
        <f>Sheet1!L61</f>
        <v>9.4827881295452526E-2</v>
      </c>
      <c r="N35" s="928">
        <f>Sheet1!M61</f>
        <v>9.8254913785760817E-2</v>
      </c>
      <c r="O35" s="928">
        <f>Sheet1!N61</f>
        <v>0.10099653977800745</v>
      </c>
      <c r="P35" s="928">
        <f>Sheet1!O61</f>
        <v>9.4142474797390865E-2</v>
      </c>
      <c r="Q35" s="928">
        <f>Sheet1!P61</f>
        <v>8.7288409816774298E-2</v>
      </c>
      <c r="R35" s="928">
        <f>Sheet1!Q61</f>
        <v>8.0434344836157703E-2</v>
      </c>
      <c r="S35" s="928">
        <f>Sheet1!R61</f>
        <v>7.3580279855541136E-2</v>
      </c>
      <c r="T35" s="928"/>
    </row>
    <row r="36" spans="2:20" ht="14.45">
      <c r="B36" s="81" t="str">
        <f>"   "&amp;Sheet1!B5</f>
        <v xml:space="preserve">   Hybrid Platform &amp; Solutions</v>
      </c>
      <c r="D36" s="57">
        <f>IFERROR(I36/$I$34,"")</f>
        <v>0.69440649806165777</v>
      </c>
      <c r="E36" s="87">
        <f>Sheet1!R5</f>
        <v>15518</v>
      </c>
      <c r="F36" s="87">
        <f>Sheet1!O5</f>
        <v>17036</v>
      </c>
      <c r="G36" s="87">
        <f>Sheet1!I5</f>
        <v>16458</v>
      </c>
      <c r="H36" s="87">
        <f>Sheet1!F5</f>
        <v>17396</v>
      </c>
      <c r="I36" s="99">
        <f>Sheet1!C5</f>
        <v>18808</v>
      </c>
      <c r="J36" s="100">
        <f t="shared" ref="J36:S36" si="18">I36*(1+J37)</f>
        <v>20594.759999999998</v>
      </c>
      <c r="K36" s="100">
        <f t="shared" si="18"/>
        <v>22654.236000000001</v>
      </c>
      <c r="L36" s="100">
        <f t="shared" si="18"/>
        <v>25055.585016000005</v>
      </c>
      <c r="M36" s="100">
        <f t="shared" si="18"/>
        <v>27836.754952776006</v>
      </c>
      <c r="N36" s="100">
        <f t="shared" si="18"/>
        <v>31065.818527298026</v>
      </c>
      <c r="O36" s="100">
        <f t="shared" si="18"/>
        <v>34793.716750573796</v>
      </c>
      <c r="P36" s="100">
        <f t="shared" si="18"/>
        <v>38621.025593136917</v>
      </c>
      <c r="Q36" s="100">
        <f t="shared" si="18"/>
        <v>42483.128152450612</v>
      </c>
      <c r="R36" s="100">
        <f t="shared" si="18"/>
        <v>46306.60968617117</v>
      </c>
      <c r="S36" s="100">
        <f t="shared" si="18"/>
        <v>50011.138461064867</v>
      </c>
      <c r="T36" s="100"/>
    </row>
    <row r="37" spans="2:20" s="924" customFormat="1" ht="12" customHeight="1">
      <c r="B37" s="923" t="s">
        <v>129</v>
      </c>
      <c r="D37" s="925"/>
      <c r="E37" s="925"/>
      <c r="F37" s="925">
        <f>IFERROR((F36-E36)/E36,"")</f>
        <v>9.7821884263436007E-2</v>
      </c>
      <c r="G37" s="925">
        <f>IFERROR((G36-F36)/F36,"")</f>
        <v>-3.3928152148391642E-2</v>
      </c>
      <c r="H37" s="925">
        <f>IFERROR((H36-G36)/G36,"")</f>
        <v>5.6993559363227607E-2</v>
      </c>
      <c r="I37" s="929">
        <f>IFERROR((I36-H36)/H36,"")</f>
        <v>8.1168084617153372E-2</v>
      </c>
      <c r="J37" s="928">
        <f>Sheet1!V4</f>
        <v>9.5000000000000001E-2</v>
      </c>
      <c r="K37" s="928">
        <f>Sheet1!W4</f>
        <v>0.1</v>
      </c>
      <c r="L37" s="928">
        <f>Sheet1!X4</f>
        <v>0.106</v>
      </c>
      <c r="M37" s="928">
        <f>Sheet1!Y4</f>
        <v>0.111</v>
      </c>
      <c r="N37" s="928">
        <f>Sheet1!Z4</f>
        <v>0.11600000000000001</v>
      </c>
      <c r="O37" s="928">
        <f>Sheet1!AA4</f>
        <v>0.12</v>
      </c>
      <c r="P37" s="928">
        <f>Sheet1!AB4</f>
        <v>0.11</v>
      </c>
      <c r="Q37" s="928">
        <f>Sheet1!AC4</f>
        <v>0.1</v>
      </c>
      <c r="R37" s="928">
        <f>Sheet1!AD4</f>
        <v>0.09</v>
      </c>
      <c r="S37" s="928">
        <f>Sheet1!AE4</f>
        <v>0.08</v>
      </c>
      <c r="T37" s="928"/>
    </row>
    <row r="38" spans="2:20" ht="14.45">
      <c r="B38" s="81" t="str">
        <f>"   "&amp;Sheet1!B6</f>
        <v xml:space="preserve">   Transaction Processing</v>
      </c>
      <c r="D38" s="57">
        <f>IFERROR(I38/$I$34,"")</f>
        <v>0.30559350193834228</v>
      </c>
      <c r="E38" s="87">
        <f>Sheet1!R6</f>
        <v>6606</v>
      </c>
      <c r="F38" s="87">
        <f>Sheet1!O6</f>
        <v>6390</v>
      </c>
      <c r="G38" s="87">
        <f>Sheet1!I6</f>
        <v>7171</v>
      </c>
      <c r="H38" s="87">
        <f>Sheet1!F6</f>
        <v>7615</v>
      </c>
      <c r="I38" s="103">
        <f>Sheet1!C6</f>
        <v>8277</v>
      </c>
      <c r="J38" s="100">
        <f t="shared" ref="J38:S38" si="19">I38*(1+J39)</f>
        <v>8770.2562454459712</v>
      </c>
      <c r="K38" s="100">
        <f t="shared" si="19"/>
        <v>9292.9074073678948</v>
      </c>
      <c r="L38" s="100">
        <f t="shared" si="19"/>
        <v>9846.7052347250701</v>
      </c>
      <c r="M38" s="100">
        <f t="shared" si="19"/>
        <v>10433.50586950744</v>
      </c>
      <c r="N38" s="100">
        <f t="shared" si="19"/>
        <v>11055.276067892331</v>
      </c>
      <c r="O38" s="100">
        <f t="shared" si="19"/>
        <v>11714.099792142333</v>
      </c>
      <c r="P38" s="100">
        <f t="shared" si="19"/>
        <v>12412.185195338123</v>
      </c>
      <c r="Q38" s="100">
        <f t="shared" si="19"/>
        <v>13151.872022356674</v>
      </c>
      <c r="R38" s="100">
        <f t="shared" si="19"/>
        <v>13935.639451900417</v>
      </c>
      <c r="S38" s="100">
        <f t="shared" si="19"/>
        <v>14766.114405861168</v>
      </c>
      <c r="T38" s="100"/>
    </row>
    <row r="39" spans="2:20" s="924" customFormat="1" ht="12" customHeight="1">
      <c r="B39" s="923" t="s">
        <v>129</v>
      </c>
      <c r="D39" s="925"/>
      <c r="E39" s="926"/>
      <c r="F39" s="926">
        <f>IFERROR((F38-E38)/E38,"")</f>
        <v>-3.2697547683923703E-2</v>
      </c>
      <c r="G39" s="926">
        <f>IFERROR((G38-F38)/F38,"")</f>
        <v>0.12222222222222222</v>
      </c>
      <c r="H39" s="926">
        <f>IFERROR((H38-G38)/G38,"")</f>
        <v>6.191605076000558E-2</v>
      </c>
      <c r="I39" s="926">
        <f>IFERROR((I38-H38)/H38,"")</f>
        <v>8.693368351936967E-2</v>
      </c>
      <c r="J39" s="928">
        <f>Sheet1!$V$6</f>
        <v>5.959360220441845E-2</v>
      </c>
      <c r="K39" s="928">
        <f>Sheet1!$V$6</f>
        <v>5.959360220441845E-2</v>
      </c>
      <c r="L39" s="928">
        <f>Sheet1!$V$6</f>
        <v>5.959360220441845E-2</v>
      </c>
      <c r="M39" s="928">
        <f>Sheet1!$V$6</f>
        <v>5.959360220441845E-2</v>
      </c>
      <c r="N39" s="928">
        <f>Sheet1!$V$6</f>
        <v>5.959360220441845E-2</v>
      </c>
      <c r="O39" s="928">
        <f>Sheet1!$V$6</f>
        <v>5.959360220441845E-2</v>
      </c>
      <c r="P39" s="928">
        <f>Sheet1!$V$6</f>
        <v>5.959360220441845E-2</v>
      </c>
      <c r="Q39" s="928">
        <f>Sheet1!$V$6</f>
        <v>5.959360220441845E-2</v>
      </c>
      <c r="R39" s="928">
        <f>Sheet1!$V$6</f>
        <v>5.959360220441845E-2</v>
      </c>
      <c r="S39" s="928">
        <f>Sheet1!$V$6</f>
        <v>5.959360220441845E-2</v>
      </c>
      <c r="T39" s="928"/>
    </row>
    <row r="40" spans="2:20">
      <c r="B40" t="str">
        <f>Sheet1!B54</f>
        <v>Consulting</v>
      </c>
      <c r="D40" s="57">
        <f>IFERROR(I40/$I$22,"")</f>
        <v>0.33101903695408735</v>
      </c>
      <c r="E40" s="87">
        <f>Sheet1!C56</f>
        <v>16257</v>
      </c>
      <c r="F40" s="87">
        <f>Sheet1!D56</f>
        <v>17844</v>
      </c>
      <c r="G40" s="87">
        <f>Sheet1!F56</f>
        <v>20058</v>
      </c>
      <c r="H40" s="87">
        <f>Sheet1!G56</f>
        <v>20884</v>
      </c>
      <c r="I40" s="103">
        <f>Sheet1!H56</f>
        <v>20692</v>
      </c>
      <c r="J40" s="100">
        <f>I40*(1+J41)</f>
        <v>21105.84</v>
      </c>
      <c r="K40" s="100">
        <f t="shared" ref="K40:S40" si="20">J40*(1+K41)</f>
        <v>21739.015200000002</v>
      </c>
      <c r="L40" s="100">
        <f t="shared" si="20"/>
        <v>22608.575808000001</v>
      </c>
      <c r="M40" s="100">
        <f t="shared" si="20"/>
        <v>23739.004598400003</v>
      </c>
      <c r="N40" s="100">
        <f t="shared" si="20"/>
        <v>24925.954828320002</v>
      </c>
      <c r="O40" s="100">
        <f t="shared" si="20"/>
        <v>26172.252569736003</v>
      </c>
      <c r="P40" s="100">
        <f t="shared" si="20"/>
        <v>27480.865198222804</v>
      </c>
      <c r="Q40" s="100">
        <f t="shared" si="20"/>
        <v>28854.908458133945</v>
      </c>
      <c r="R40" s="100">
        <f t="shared" si="20"/>
        <v>30297.653881040642</v>
      </c>
      <c r="S40" s="100">
        <f t="shared" si="20"/>
        <v>31812.536575092676</v>
      </c>
      <c r="T40" s="100"/>
    </row>
    <row r="41" spans="2:20" s="924" customFormat="1" ht="12" customHeight="1">
      <c r="B41" s="923" t="s">
        <v>129</v>
      </c>
      <c r="D41" s="925"/>
      <c r="E41" s="930"/>
      <c r="F41" s="926">
        <f>IFERROR((F40-E40)/E40,"")</f>
        <v>9.7619486990219592E-2</v>
      </c>
      <c r="G41" s="926">
        <f>IFERROR((G40-F40)/F40,"")</f>
        <v>0.12407531943510423</v>
      </c>
      <c r="H41" s="926">
        <f>IFERROR((H40-G40)/G40,"")</f>
        <v>4.1180576328646926E-2</v>
      </c>
      <c r="I41" s="927">
        <f>IFERROR((I40-H40)/H40,"")</f>
        <v>-9.1936410649300897E-3</v>
      </c>
      <c r="J41" s="928">
        <f>Sheet1!I55</f>
        <v>0.02</v>
      </c>
      <c r="K41" s="928">
        <f>Sheet1!J55</f>
        <v>0.03</v>
      </c>
      <c r="L41" s="928">
        <f>Sheet1!K55</f>
        <v>0.04</v>
      </c>
      <c r="M41" s="928">
        <f>Sheet1!L55</f>
        <v>0.05</v>
      </c>
      <c r="N41" s="928">
        <f>Sheet1!M55</f>
        <v>0.05</v>
      </c>
      <c r="O41" s="928">
        <f>Sheet1!N55</f>
        <v>0.05</v>
      </c>
      <c r="P41" s="928">
        <f>Sheet1!O55</f>
        <v>0.05</v>
      </c>
      <c r="Q41" s="928">
        <f>Sheet1!P55</f>
        <v>0.05</v>
      </c>
      <c r="R41" s="928">
        <f>Sheet1!Q55</f>
        <v>0.05</v>
      </c>
      <c r="S41" s="928">
        <f>Sheet1!R55</f>
        <v>0.05</v>
      </c>
      <c r="T41" s="928"/>
    </row>
    <row r="42" spans="2:20">
      <c r="B42" t="str">
        <f>Sheet1!B57</f>
        <v>Infrastructure</v>
      </c>
      <c r="D42" s="57">
        <f>IFERROR(I42/$I$22,"")</f>
        <v>0.22428411454167332</v>
      </c>
      <c r="E42" s="87">
        <f>Sheet1!C59</f>
        <v>14533</v>
      </c>
      <c r="F42" s="87">
        <f>Sheet1!D59</f>
        <v>14188</v>
      </c>
      <c r="G42" s="87">
        <f>Sheet1!E59</f>
        <v>15288</v>
      </c>
      <c r="H42" s="87">
        <f>Sheet1!G59</f>
        <v>14593</v>
      </c>
      <c r="I42" s="103">
        <f>Sheet1!H59</f>
        <v>14020</v>
      </c>
      <c r="J42" s="100">
        <f t="shared" ref="J42:S42" si="21">I42*(1+J43)</f>
        <v>14648.096</v>
      </c>
      <c r="K42" s="100">
        <f t="shared" si="21"/>
        <v>14500</v>
      </c>
      <c r="L42" s="100">
        <f t="shared" si="21"/>
        <v>14000</v>
      </c>
      <c r="M42" s="100">
        <f t="shared" si="21"/>
        <v>14629.999999999998</v>
      </c>
      <c r="N42" s="100">
        <f t="shared" si="21"/>
        <v>14500</v>
      </c>
      <c r="O42" s="100">
        <f t="shared" si="21"/>
        <v>14000</v>
      </c>
      <c r="P42" s="100">
        <f t="shared" si="21"/>
        <v>14629.999999999998</v>
      </c>
      <c r="Q42" s="100">
        <f t="shared" si="21"/>
        <v>14500</v>
      </c>
      <c r="R42" s="100">
        <f t="shared" si="21"/>
        <v>14000</v>
      </c>
      <c r="S42" s="100">
        <f t="shared" si="21"/>
        <v>14629.999999999998</v>
      </c>
      <c r="T42" s="100"/>
    </row>
    <row r="43" spans="2:20" s="924" customFormat="1" ht="12" customHeight="1">
      <c r="B43" s="923" t="s">
        <v>129</v>
      </c>
      <c r="D43" s="925"/>
      <c r="E43" s="925"/>
      <c r="F43" s="926">
        <f>IFERROR((F42-E42)/E42,"")</f>
        <v>-2.3739076584325329E-2</v>
      </c>
      <c r="G43" s="926">
        <f>IFERROR((G42-F42)/F42,"")</f>
        <v>7.7530307301945309E-2</v>
      </c>
      <c r="H43" s="926">
        <f>IFERROR((H42-G42)/G42,"")</f>
        <v>-4.5460491889063315E-2</v>
      </c>
      <c r="I43" s="926">
        <f>IFERROR((I42-H42)/H42,"")</f>
        <v>-3.9265401219762901E-2</v>
      </c>
      <c r="J43" s="928">
        <f>Sheet1!I58</f>
        <v>4.48E-2</v>
      </c>
      <c r="K43" s="928">
        <f>Sheet1!J58</f>
        <v>-1.0110255967738029E-2</v>
      </c>
      <c r="L43" s="928">
        <f>Sheet1!K58</f>
        <v>-3.4482758620689655E-2</v>
      </c>
      <c r="M43" s="928">
        <f>Sheet1!L58</f>
        <v>4.4999999999999998E-2</v>
      </c>
      <c r="N43" s="928">
        <f>Sheet1!M58</f>
        <v>-8.8858509911140266E-3</v>
      </c>
      <c r="O43" s="928">
        <f>Sheet1!N58</f>
        <v>-3.4482758620689655E-2</v>
      </c>
      <c r="P43" s="928">
        <f>Sheet1!O58</f>
        <v>4.4999999999999998E-2</v>
      </c>
      <c r="Q43" s="928">
        <f>Sheet1!P58</f>
        <v>-8.8858509911140266E-3</v>
      </c>
      <c r="R43" s="928">
        <f>Sheet1!Q58</f>
        <v>-3.4482758620689655E-2</v>
      </c>
      <c r="S43" s="928">
        <f>Sheet1!R58</f>
        <v>4.4999999999999998E-2</v>
      </c>
      <c r="T43" s="928"/>
    </row>
    <row r="44" spans="2:20" ht="18" customHeight="1">
      <c r="B44" t="str">
        <f>Sheet1!B63</f>
        <v>Financing</v>
      </c>
      <c r="D44" s="57">
        <f>IFERROR(I44/$I$22,"")</f>
        <v>1.1406175011998081E-2</v>
      </c>
      <c r="E44" s="103">
        <f>Sheet1!C63</f>
        <v>975</v>
      </c>
      <c r="F44" s="103">
        <f>Sheet1!D63</f>
        <v>774</v>
      </c>
      <c r="G44" s="103">
        <f>Sheet1!E63</f>
        <v>645</v>
      </c>
      <c r="H44" s="103">
        <f>Sheet1!G63</f>
        <v>741</v>
      </c>
      <c r="I44" s="103">
        <f>Sheet1!H63</f>
        <v>713</v>
      </c>
      <c r="J44" s="100">
        <f t="shared" ref="J44:S44" si="22">I44*(1+J45)</f>
        <v>666.33948357028521</v>
      </c>
      <c r="K44" s="100">
        <f t="shared" si="22"/>
        <v>646.17292707624631</v>
      </c>
      <c r="L44" s="100">
        <f t="shared" si="22"/>
        <v>648.65152159265403</v>
      </c>
      <c r="M44" s="100">
        <f t="shared" si="22"/>
        <v>627.62577842944177</v>
      </c>
      <c r="N44" s="100">
        <f t="shared" si="22"/>
        <v>608.12451277671528</v>
      </c>
      <c r="O44" s="100">
        <f t="shared" si="22"/>
        <v>594.45464741876538</v>
      </c>
      <c r="P44" s="100">
        <f t="shared" si="22"/>
        <v>582.24916328955544</v>
      </c>
      <c r="Q44" s="100">
        <f t="shared" si="22"/>
        <v>566.74721667800964</v>
      </c>
      <c r="R44" s="100">
        <f t="shared" si="22"/>
        <v>552.47840613959147</v>
      </c>
      <c r="S44" s="100">
        <f t="shared" si="22"/>
        <v>539.38302575503951</v>
      </c>
      <c r="T44" s="102"/>
    </row>
    <row r="45" spans="2:20" s="924" customFormat="1" ht="12" customHeight="1">
      <c r="B45" s="923" t="s">
        <v>129</v>
      </c>
      <c r="D45" s="925"/>
      <c r="E45" s="925"/>
      <c r="F45" s="925"/>
      <c r="G45" s="925"/>
      <c r="H45" s="925"/>
      <c r="I45" s="926"/>
      <c r="J45" s="928">
        <f>Sheet1!I64</f>
        <v>-6.5442519536766788E-2</v>
      </c>
      <c r="K45" s="928">
        <f>Sheet1!J64</f>
        <v>-3.0264687882496942E-2</v>
      </c>
      <c r="L45" s="928">
        <f>Sheet1!K64</f>
        <v>3.8358068135454903E-3</v>
      </c>
      <c r="M45" s="928">
        <f>Sheet1!L64</f>
        <v>-3.241454380864954E-2</v>
      </c>
      <c r="N45" s="928">
        <f>Sheet1!M64</f>
        <v>-3.1071486103591943E-2</v>
      </c>
      <c r="O45" s="928">
        <f>Sheet1!N64</f>
        <v>-2.2478727745298233E-2</v>
      </c>
      <c r="P45" s="928">
        <f>Sheet1!O64</f>
        <v>-2.0532237710998557E-2</v>
      </c>
      <c r="Q45" s="928">
        <f>Sheet1!P64</f>
        <v>-2.6624248842134567E-2</v>
      </c>
      <c r="R45" s="928">
        <f>Sheet1!Q64</f>
        <v>-2.5176675100505828E-2</v>
      </c>
      <c r="S45" s="928">
        <f>Sheet1!R64</f>
        <v>-2.37029723497343E-2</v>
      </c>
      <c r="T45" s="928"/>
    </row>
    <row r="46" spans="2:20">
      <c r="B46" s="1" t="s">
        <v>117</v>
      </c>
      <c r="D46" s="88">
        <f>SUM(D34+D40+D42+D44)</f>
        <v>0.99999999999999989</v>
      </c>
      <c r="E46" s="104">
        <f>E34+E40+E42+E44</f>
        <v>53889</v>
      </c>
      <c r="F46" s="104">
        <f>F34+F40+F42+F44</f>
        <v>56232</v>
      </c>
      <c r="G46" s="104">
        <f>G34+G40+G42+G44</f>
        <v>59620</v>
      </c>
      <c r="H46" s="104">
        <f>H34+H40+H42+H44</f>
        <v>61229</v>
      </c>
      <c r="I46" s="104">
        <f>I34+I40+I42+I44</f>
        <v>62510</v>
      </c>
      <c r="J46" s="89">
        <f t="shared" ref="J46:S46" si="23">I46*(1+J47)</f>
        <v>65677.103055360421</v>
      </c>
      <c r="K46" s="89">
        <f t="shared" si="23"/>
        <v>68597.197889428222</v>
      </c>
      <c r="L46" s="89">
        <f t="shared" si="23"/>
        <v>71824.997229310029</v>
      </c>
      <c r="M46" s="89">
        <f t="shared" si="23"/>
        <v>76849.334139926403</v>
      </c>
      <c r="N46" s="89">
        <f t="shared" si="23"/>
        <v>81616.817150301373</v>
      </c>
      <c r="O46" s="89">
        <f t="shared" si="23"/>
        <v>86561.977670953172</v>
      </c>
      <c r="P46" s="89">
        <f t="shared" si="23"/>
        <v>92807.06674863839</v>
      </c>
      <c r="Q46" s="89">
        <f t="shared" si="23"/>
        <v>98419.648624576323</v>
      </c>
      <c r="R46" s="89">
        <f t="shared" si="23"/>
        <v>103741.72041802917</v>
      </c>
      <c r="S46" s="89">
        <f t="shared" si="23"/>
        <v>110211.29129674491</v>
      </c>
      <c r="T46" s="89"/>
    </row>
    <row r="47" spans="2:20" s="924" customFormat="1" ht="12" customHeight="1">
      <c r="J47" s="931">
        <f>Sheet1!I67</f>
        <v>5.0665542398982785E-2</v>
      </c>
      <c r="K47" s="931">
        <f>Sheet1!J67</f>
        <v>4.4461383012073454E-2</v>
      </c>
      <c r="L47" s="931">
        <f>Sheet1!K67</f>
        <v>4.7054390546457874E-2</v>
      </c>
      <c r="M47" s="931">
        <f>Sheet1!L67</f>
        <v>6.9952483180410974E-2</v>
      </c>
      <c r="N47" s="931">
        <f>Sheet1!M67</f>
        <v>6.2036751049714935E-2</v>
      </c>
      <c r="O47" s="931">
        <f>Sheet1!N67</f>
        <v>6.0589970220782371E-2</v>
      </c>
      <c r="P47" s="931">
        <f>Sheet1!O67</f>
        <v>7.2145868725695991E-2</v>
      </c>
      <c r="Q47" s="931">
        <f>Sheet1!P67</f>
        <v>6.0475802894829241E-2</v>
      </c>
      <c r="R47" s="931">
        <f>Sheet1!Q67</f>
        <v>5.4075297644619783E-2</v>
      </c>
      <c r="S47" s="931">
        <f>Sheet1!R67</f>
        <v>6.2362286384363759E-2</v>
      </c>
    </row>
    <row r="48" spans="2:20" ht="15.6">
      <c r="B48" s="61" t="s">
        <v>130</v>
      </c>
      <c r="C48" s="62"/>
      <c r="D48" s="61"/>
      <c r="E48" s="62"/>
      <c r="F48" s="62"/>
      <c r="G48" s="62"/>
      <c r="H48" s="62"/>
      <c r="I48" s="62"/>
      <c r="J48" s="92"/>
      <c r="K48" s="93"/>
      <c r="L48" s="93"/>
      <c r="M48" s="93"/>
      <c r="N48" s="93"/>
      <c r="O48" s="93"/>
    </row>
    <row r="49" spans="2:15" ht="3.95" customHeight="1">
      <c r="B49" s="63"/>
      <c r="C49" s="63"/>
      <c r="D49" s="63"/>
      <c r="E49" s="63"/>
      <c r="F49" s="63"/>
      <c r="G49" s="63"/>
      <c r="H49" s="63"/>
      <c r="I49" s="63"/>
      <c r="J49" s="94"/>
      <c r="K49" s="94"/>
      <c r="L49" s="94"/>
      <c r="M49" s="94"/>
      <c r="N49" s="94"/>
      <c r="O49" s="94"/>
    </row>
    <row r="50" spans="2:15" ht="39.950000000000003" customHeight="1">
      <c r="B50" s="946" t="s">
        <v>131</v>
      </c>
      <c r="C50" s="946"/>
      <c r="D50" s="950" t="s">
        <v>132</v>
      </c>
      <c r="E50" s="950"/>
      <c r="F50" s="950"/>
      <c r="G50" s="950"/>
      <c r="H50" s="950"/>
      <c r="I50" s="950"/>
      <c r="J50" s="950"/>
      <c r="K50" s="950"/>
      <c r="L50" s="950"/>
      <c r="M50" s="950"/>
      <c r="N50" s="950"/>
      <c r="O50" s="950"/>
    </row>
    <row r="51" spans="2:15" ht="39.950000000000003" customHeight="1">
      <c r="B51" s="946" t="s">
        <v>133</v>
      </c>
      <c r="C51" s="946"/>
      <c r="D51" s="947" t="s">
        <v>134</v>
      </c>
      <c r="E51" s="947"/>
      <c r="F51" s="947"/>
      <c r="G51" s="947"/>
      <c r="H51" s="947"/>
      <c r="I51" s="947"/>
      <c r="J51" s="947"/>
      <c r="K51" s="947"/>
      <c r="L51" s="947"/>
      <c r="M51" s="947"/>
      <c r="N51" s="947"/>
    </row>
    <row r="52" spans="2:15" ht="39.950000000000003" customHeight="1">
      <c r="B52" s="946" t="s">
        <v>135</v>
      </c>
      <c r="C52" s="946"/>
      <c r="D52" s="947" t="s">
        <v>136</v>
      </c>
      <c r="E52" s="947"/>
      <c r="F52" s="947"/>
      <c r="G52" s="947"/>
      <c r="H52" s="947"/>
      <c r="I52" s="947"/>
      <c r="J52" s="947"/>
      <c r="K52" s="947"/>
      <c r="L52" s="947"/>
      <c r="M52" s="947"/>
      <c r="N52" s="947"/>
    </row>
    <row r="53" spans="2:15" ht="39.950000000000003" customHeight="1">
      <c r="B53" s="946"/>
      <c r="C53" s="946"/>
      <c r="D53" s="947"/>
      <c r="E53" s="947"/>
      <c r="F53" s="947"/>
      <c r="G53" s="947"/>
      <c r="H53" s="947"/>
      <c r="I53" s="947"/>
      <c r="J53" s="947"/>
      <c r="K53" s="947"/>
      <c r="L53" s="947"/>
      <c r="M53" s="947"/>
      <c r="N53" s="947"/>
    </row>
    <row r="54" spans="2:15" ht="39.950000000000003" customHeight="1">
      <c r="B54" s="946"/>
      <c r="C54" s="946"/>
      <c r="D54" s="649"/>
    </row>
  </sheetData>
  <mergeCells count="17">
    <mergeCell ref="B52:C52"/>
    <mergeCell ref="D52:N52"/>
    <mergeCell ref="B53:C53"/>
    <mergeCell ref="D53:N53"/>
    <mergeCell ref="B54:C54"/>
    <mergeCell ref="B51:C51"/>
    <mergeCell ref="D51:N51"/>
    <mergeCell ref="D26:I26"/>
    <mergeCell ref="D27:I27"/>
    <mergeCell ref="B31:C31"/>
    <mergeCell ref="D28:I28"/>
    <mergeCell ref="B29:C29"/>
    <mergeCell ref="D29:I29"/>
    <mergeCell ref="B30:C30"/>
    <mergeCell ref="D30:I30"/>
    <mergeCell ref="D50:O50"/>
    <mergeCell ref="B50:C50"/>
  </mergeCells>
  <phoneticPr fontId="74" type="noConversion"/>
  <conditionalFormatting sqref="D6:D12">
    <cfRule type="dataBar" priority="4">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3">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5">
    <cfRule type="dataBar" priority="2">
      <dataBar>
        <cfvo type="min"/>
        <cfvo type="max"/>
        <color rgb="FF63C384"/>
      </dataBar>
      <extLst>
        <ext xmlns:x14="http://schemas.microsoft.com/office/spreadsheetml/2009/9/main" uri="{B025F937-C7B1-47D3-B67F-A62EFF666E3E}">
          <x14:id>{8289347D-B214-462A-80A7-26906AF72159}</x14:id>
        </ext>
      </extLst>
    </cfRule>
  </conditionalFormatting>
  <conditionalFormatting sqref="K17:K22">
    <cfRule type="dataBar" priority="8">
      <dataBar>
        <cfvo type="min"/>
        <cfvo type="max"/>
        <color rgb="FF63C384"/>
      </dataBar>
      <extLst>
        <ext xmlns:x14="http://schemas.microsoft.com/office/spreadsheetml/2009/9/main" uri="{B025F937-C7B1-47D3-B67F-A62EFF666E3E}">
          <x14:id>{EBD56D69-4BB4-43B8-8D45-285F41F83244}</x14:id>
        </ext>
      </extLst>
    </cfRule>
  </conditionalFormatting>
  <conditionalFormatting sqref="K6:L13">
    <cfRule type="dataBar" priority="11">
      <dataBar>
        <cfvo type="min"/>
        <cfvo type="max"/>
        <color rgb="FF63C384"/>
      </dataBar>
      <extLst>
        <ext xmlns:x14="http://schemas.microsoft.com/office/spreadsheetml/2009/9/main" uri="{B025F937-C7B1-47D3-B67F-A62EFF666E3E}">
          <x14:id>{CE64AA8B-8C2B-4BA4-B159-A0DEB993C03C}</x14:id>
        </ext>
      </extLst>
    </cfRule>
  </conditionalFormatting>
  <conditionalFormatting sqref="L17:L22">
    <cfRule type="dataBar" priority="7">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cfRule type="dataBar" priority="9">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6">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1">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5">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D34:D45</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K6:L13</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70"/>
  <sheetViews>
    <sheetView showGridLines="0" tabSelected="1" topLeftCell="A38" zoomScale="85" zoomScaleNormal="85" workbookViewId="0">
      <selection activeCell="K47" sqref="K47"/>
    </sheetView>
  </sheetViews>
  <sheetFormatPr defaultRowHeight="14.1"/>
  <cols>
    <col min="1" max="1" width="2.5" customWidth="1"/>
    <col min="2" max="2" width="22" customWidth="1"/>
    <col min="4" max="4" width="11" customWidth="1"/>
    <col min="5" max="5" width="13.25" customWidth="1"/>
    <col min="6" max="16" width="12.625" customWidth="1"/>
    <col min="17" max="17" width="21.75" style="6" customWidth="1"/>
    <col min="18" max="32" width="12.625" customWidth="1"/>
  </cols>
  <sheetData>
    <row r="2" spans="2:18" s="37" customFormat="1" ht="20.100000000000001" customHeight="1">
      <c r="B2" s="36" t="s">
        <v>137</v>
      </c>
      <c r="Q2" s="38"/>
    </row>
    <row r="4" spans="2:18" ht="15.6">
      <c r="B4" s="45" t="s">
        <v>138</v>
      </c>
      <c r="C4" s="49"/>
      <c r="D4" s="49"/>
      <c r="E4" s="45" t="s">
        <v>114</v>
      </c>
      <c r="F4" s="50">
        <v>2025</v>
      </c>
      <c r="G4" s="50">
        <f>+F4+1</f>
        <v>2026</v>
      </c>
      <c r="H4" s="50">
        <f>+G4+1</f>
        <v>2027</v>
      </c>
      <c r="I4" s="50">
        <f t="shared" ref="I4:P4" si="0">+H4+1</f>
        <v>2028</v>
      </c>
      <c r="J4" s="50">
        <f t="shared" si="0"/>
        <v>2029</v>
      </c>
      <c r="K4" s="50">
        <f t="shared" si="0"/>
        <v>2030</v>
      </c>
      <c r="L4" s="50">
        <f t="shared" si="0"/>
        <v>2031</v>
      </c>
      <c r="M4" s="50">
        <f t="shared" si="0"/>
        <v>2032</v>
      </c>
      <c r="N4" s="50">
        <f t="shared" si="0"/>
        <v>2033</v>
      </c>
      <c r="O4" s="50">
        <f t="shared" si="0"/>
        <v>2034</v>
      </c>
      <c r="P4" s="50">
        <f t="shared" si="0"/>
        <v>2035</v>
      </c>
      <c r="Q4" s="51" t="str">
        <f>"CAGR "&amp;$F$4&amp;" - "&amp;$P$4</f>
        <v>CAGR 2025 - 2035</v>
      </c>
      <c r="R4" s="52" t="s">
        <v>139</v>
      </c>
    </row>
    <row r="5" spans="2:18" ht="3.95" customHeight="1">
      <c r="B5" s="46"/>
      <c r="C5" s="46"/>
      <c r="D5" s="46"/>
      <c r="E5" s="46"/>
      <c r="F5" s="46"/>
      <c r="G5" s="46"/>
      <c r="H5" s="46"/>
      <c r="I5" s="46"/>
      <c r="J5" s="46"/>
      <c r="K5" s="46"/>
      <c r="L5" s="46"/>
      <c r="M5" s="46"/>
      <c r="N5" s="46"/>
      <c r="O5" s="46"/>
      <c r="P5" s="46"/>
      <c r="Q5" s="53"/>
      <c r="R5" s="53"/>
    </row>
    <row r="6" spans="2:18">
      <c r="B6" t="s">
        <v>140</v>
      </c>
      <c r="D6" s="54"/>
      <c r="E6" s="55"/>
      <c r="F6" s="648"/>
      <c r="G6" s="648"/>
      <c r="H6" s="648"/>
      <c r="I6" s="648"/>
      <c r="J6" s="648"/>
      <c r="K6" s="648"/>
      <c r="L6" s="648"/>
      <c r="M6" s="648"/>
      <c r="N6" s="648"/>
      <c r="O6" s="648"/>
      <c r="P6" s="648"/>
      <c r="Q6" s="56">
        <v>0.26600000000000001</v>
      </c>
      <c r="R6" s="57" t="s">
        <v>141</v>
      </c>
    </row>
    <row r="7" spans="2:18">
      <c r="B7" t="s">
        <v>142</v>
      </c>
      <c r="D7" s="54"/>
      <c r="E7" s="55"/>
      <c r="F7" s="648"/>
      <c r="G7" s="648"/>
      <c r="H7" s="648"/>
      <c r="I7" s="648"/>
      <c r="J7" s="648"/>
      <c r="K7" s="648"/>
      <c r="L7" s="648"/>
      <c r="M7" s="648"/>
      <c r="N7" s="648"/>
      <c r="O7" s="648"/>
      <c r="P7" s="648"/>
      <c r="Q7" s="56">
        <v>0.17399999999999999</v>
      </c>
      <c r="R7" s="57" t="s">
        <v>143</v>
      </c>
    </row>
    <row r="8" spans="2:18">
      <c r="B8" s="1" t="s">
        <v>144</v>
      </c>
      <c r="E8" s="58">
        <f>SUM(E6:E7)</f>
        <v>0</v>
      </c>
      <c r="F8" s="58">
        <f t="shared" ref="F8:P8" si="1">SUMPRODUCT(F6:F7,$E$6:$E$7)</f>
        <v>0</v>
      </c>
      <c r="G8" s="58">
        <f t="shared" si="1"/>
        <v>0</v>
      </c>
      <c r="H8" s="58">
        <f t="shared" si="1"/>
        <v>0</v>
      </c>
      <c r="I8" s="58">
        <f t="shared" si="1"/>
        <v>0</v>
      </c>
      <c r="J8" s="58">
        <f t="shared" si="1"/>
        <v>0</v>
      </c>
      <c r="K8" s="58">
        <f t="shared" si="1"/>
        <v>0</v>
      </c>
      <c r="L8" s="58">
        <f t="shared" si="1"/>
        <v>0</v>
      </c>
      <c r="M8" s="58">
        <f t="shared" si="1"/>
        <v>0</v>
      </c>
      <c r="N8" s="58">
        <f t="shared" si="1"/>
        <v>0</v>
      </c>
      <c r="O8" s="58">
        <f t="shared" si="1"/>
        <v>0</v>
      </c>
      <c r="P8" s="58">
        <f t="shared" si="1"/>
        <v>0</v>
      </c>
      <c r="Q8" s="59">
        <f t="shared" ref="Q8" si="2">IFERROR(((1+F8)*(1+G8)*(1+H8)*(1+I8)*(1+J8)*(1+K8)*(1+L8)*(1+M8)*(1+N8)*(1+O8)*(1+P8))^(1/COUNT($F$4:$P$4))-1,"")</f>
        <v>0</v>
      </c>
      <c r="R8" s="60"/>
    </row>
    <row r="9" spans="2:18" ht="8.1" customHeight="1"/>
    <row r="10" spans="2:18" ht="15" customHeight="1">
      <c r="B10" s="61" t="s">
        <v>145</v>
      </c>
      <c r="C10" s="62"/>
      <c r="D10" s="62"/>
      <c r="E10" s="61" t="s">
        <v>123</v>
      </c>
      <c r="F10" s="62"/>
      <c r="G10" s="62"/>
      <c r="H10" s="62"/>
      <c r="I10" s="62"/>
      <c r="J10" s="62"/>
      <c r="K10" s="62"/>
      <c r="L10" s="62"/>
      <c r="M10" s="62"/>
      <c r="N10" s="62"/>
      <c r="O10" s="62"/>
      <c r="P10" s="62"/>
      <c r="Q10"/>
      <c r="R10" s="59"/>
    </row>
    <row r="11" spans="2:18" ht="3.95" customHeight="1">
      <c r="B11" s="63"/>
      <c r="C11" s="63"/>
      <c r="D11" s="63"/>
      <c r="E11" s="63"/>
      <c r="F11" s="63"/>
      <c r="G11" s="63"/>
      <c r="H11" s="63"/>
      <c r="I11" s="63"/>
      <c r="J11" s="63"/>
      <c r="K11" s="63"/>
      <c r="L11" s="63"/>
      <c r="M11" s="63"/>
      <c r="N11" s="63"/>
      <c r="O11" s="63"/>
      <c r="P11" s="63"/>
      <c r="Q11" s="59"/>
      <c r="R11" s="59"/>
    </row>
    <row r="12" spans="2:18" ht="39.950000000000003" customHeight="1">
      <c r="B12" s="946" t="s">
        <v>146</v>
      </c>
      <c r="C12" s="946"/>
      <c r="D12" s="64"/>
      <c r="E12" s="948" t="s">
        <v>147</v>
      </c>
      <c r="F12" s="948"/>
      <c r="G12" s="948"/>
      <c r="H12" s="948"/>
      <c r="I12" s="948"/>
      <c r="J12" s="948"/>
      <c r="K12" s="948"/>
      <c r="L12" s="948"/>
      <c r="M12" s="948"/>
      <c r="N12" s="948"/>
      <c r="O12" s="948"/>
      <c r="P12" s="948"/>
      <c r="Q12" s="59"/>
      <c r="R12" s="1"/>
    </row>
    <row r="13" spans="2:18" ht="39.950000000000003" customHeight="1">
      <c r="B13" s="950" t="s">
        <v>148</v>
      </c>
      <c r="C13" s="950"/>
      <c r="D13" s="64"/>
      <c r="E13" s="948" t="s">
        <v>149</v>
      </c>
      <c r="F13" s="948"/>
      <c r="G13" s="948"/>
      <c r="H13" s="948"/>
      <c r="I13" s="948"/>
      <c r="J13" s="948"/>
      <c r="K13" s="948"/>
      <c r="L13" s="948"/>
      <c r="M13" s="948"/>
      <c r="N13" s="948"/>
      <c r="O13" s="948"/>
      <c r="P13" s="948"/>
    </row>
    <row r="14" spans="2:18" ht="39" customHeight="1">
      <c r="B14" s="950" t="s">
        <v>150</v>
      </c>
      <c r="C14" s="950"/>
      <c r="D14" s="64"/>
      <c r="E14" s="948" t="s">
        <v>151</v>
      </c>
      <c r="F14" s="948"/>
      <c r="G14" s="948"/>
      <c r="H14" s="948"/>
      <c r="I14" s="948"/>
      <c r="J14" s="948"/>
      <c r="K14" s="948"/>
      <c r="L14" s="948"/>
      <c r="M14" s="948"/>
      <c r="N14" s="948"/>
      <c r="O14" s="948"/>
      <c r="P14" s="948"/>
    </row>
    <row r="15" spans="2:18" ht="39.6" hidden="1" customHeight="1">
      <c r="B15" s="946"/>
      <c r="C15" s="946"/>
      <c r="D15" s="64"/>
      <c r="E15" s="948"/>
      <c r="F15" s="948"/>
      <c r="G15" s="948"/>
      <c r="H15" s="948"/>
      <c r="I15" s="948"/>
      <c r="J15" s="948"/>
      <c r="K15" s="948"/>
      <c r="L15" s="948"/>
      <c r="M15" s="948"/>
      <c r="N15" s="948"/>
      <c r="O15" s="948"/>
      <c r="P15" s="948"/>
    </row>
    <row r="16" spans="2:18" ht="8.1" customHeight="1">
      <c r="F16" s="65"/>
      <c r="G16" s="65"/>
      <c r="H16" s="65"/>
      <c r="I16" s="65"/>
      <c r="J16" s="65"/>
      <c r="K16" s="65"/>
      <c r="L16" s="65"/>
      <c r="M16" s="65"/>
      <c r="N16" s="65"/>
      <c r="O16" s="65"/>
      <c r="P16" s="65"/>
    </row>
    <row r="17" spans="2:16" ht="15.6">
      <c r="B17" s="61" t="s">
        <v>152</v>
      </c>
      <c r="C17" s="62"/>
      <c r="D17" s="62"/>
      <c r="E17" s="61" t="s">
        <v>123</v>
      </c>
      <c r="F17" s="62"/>
      <c r="G17" s="62"/>
      <c r="H17" s="62"/>
      <c r="I17" s="62"/>
      <c r="J17" s="62"/>
      <c r="K17" s="62"/>
      <c r="L17" s="62"/>
      <c r="M17" s="62"/>
      <c r="N17" s="62"/>
      <c r="O17" s="62"/>
      <c r="P17" s="62"/>
    </row>
    <row r="18" spans="2:16" ht="4.9000000000000004" customHeight="1">
      <c r="B18" s="63"/>
      <c r="C18" s="63"/>
      <c r="D18" s="63"/>
      <c r="E18" s="63"/>
      <c r="F18" s="63"/>
      <c r="G18" s="63"/>
      <c r="H18" s="63"/>
      <c r="I18" s="63"/>
      <c r="J18" s="63"/>
      <c r="K18" s="63"/>
      <c r="L18" s="63"/>
      <c r="M18" s="63"/>
      <c r="N18" s="63"/>
      <c r="O18" s="63"/>
      <c r="P18" s="63"/>
    </row>
    <row r="19" spans="2:16" ht="39.950000000000003" customHeight="1">
      <c r="B19" s="946" t="s">
        <v>153</v>
      </c>
      <c r="C19" s="946"/>
      <c r="D19" s="64"/>
      <c r="E19" s="948" t="s">
        <v>154</v>
      </c>
      <c r="F19" s="948"/>
      <c r="G19" s="948"/>
      <c r="H19" s="948"/>
      <c r="I19" s="948"/>
      <c r="J19" s="948"/>
      <c r="K19" s="948"/>
      <c r="L19" s="948"/>
      <c r="M19" s="948"/>
      <c r="N19" s="948"/>
      <c r="O19" s="948"/>
      <c r="P19" s="948"/>
    </row>
    <row r="20" spans="2:16" ht="39.950000000000003" customHeight="1">
      <c r="B20" s="950" t="s">
        <v>155</v>
      </c>
      <c r="C20" s="950"/>
      <c r="D20" s="64"/>
      <c r="E20" s="948" t="s">
        <v>156</v>
      </c>
      <c r="F20" s="948"/>
      <c r="G20" s="948"/>
      <c r="H20" s="948"/>
      <c r="I20" s="948"/>
      <c r="J20" s="948"/>
      <c r="K20" s="948"/>
      <c r="L20" s="948"/>
      <c r="M20" s="948"/>
      <c r="N20" s="948"/>
      <c r="O20" s="948"/>
      <c r="P20" s="948"/>
    </row>
    <row r="21" spans="2:16" ht="10.15" hidden="1" customHeight="1">
      <c r="B21" s="946"/>
      <c r="C21" s="946"/>
      <c r="D21" s="64"/>
      <c r="E21" s="948"/>
      <c r="F21" s="948"/>
      <c r="G21" s="948"/>
      <c r="H21" s="948"/>
      <c r="I21" s="948"/>
      <c r="J21" s="948"/>
      <c r="K21" s="948"/>
      <c r="L21" s="948"/>
      <c r="M21" s="948"/>
      <c r="N21" s="948"/>
      <c r="O21" s="948"/>
      <c r="P21" s="948"/>
    </row>
    <row r="22" spans="2:16" ht="8.1" customHeight="1">
      <c r="B22" s="946"/>
      <c r="C22" s="946"/>
      <c r="D22" s="64"/>
      <c r="E22" s="948"/>
      <c r="F22" s="948"/>
      <c r="G22" s="948"/>
      <c r="H22" s="948"/>
      <c r="I22" s="948"/>
      <c r="J22" s="948"/>
      <c r="K22" s="948"/>
      <c r="L22" s="948"/>
      <c r="M22" s="948"/>
      <c r="N22" s="948"/>
      <c r="O22" s="948"/>
      <c r="P22" s="948"/>
    </row>
    <row r="23" spans="2:16" ht="15.6">
      <c r="B23" s="45" t="s">
        <v>157</v>
      </c>
      <c r="C23" s="49"/>
      <c r="D23" s="49"/>
      <c r="E23" s="45" t="s">
        <v>158</v>
      </c>
      <c r="F23" s="45"/>
      <c r="G23" s="66" t="s">
        <v>159</v>
      </c>
      <c r="H23" s="67" t="s">
        <v>160</v>
      </c>
      <c r="I23" s="50" t="s">
        <v>157</v>
      </c>
      <c r="J23" s="50"/>
      <c r="K23" s="50"/>
      <c r="L23" s="50"/>
      <c r="M23" s="50"/>
      <c r="N23" s="50"/>
      <c r="O23" s="50"/>
      <c r="P23" s="50"/>
    </row>
    <row r="24" spans="2:16" ht="3.95" customHeight="1">
      <c r="B24" s="46"/>
      <c r="C24" s="46"/>
      <c r="D24" s="46"/>
      <c r="E24" s="46"/>
      <c r="F24" s="46"/>
      <c r="G24" s="46"/>
      <c r="H24" s="46"/>
      <c r="I24" s="46"/>
      <c r="J24" s="46"/>
      <c r="K24" s="46"/>
      <c r="L24" s="46"/>
      <c r="M24" s="46"/>
      <c r="N24" s="46"/>
      <c r="O24" s="46"/>
      <c r="P24" s="46"/>
    </row>
    <row r="25" spans="2:16">
      <c r="B25" s="68" t="str" cm="1">
        <f t="array" aca="1" ref="B25" ca="1">+_FV(DCF!R4,"Name")</f>
        <v>INTERNATIONAL BUSINESS MACHINES CORPORATION</v>
      </c>
      <c r="C25" s="68"/>
      <c r="D25" s="68"/>
      <c r="E25" s="69" t="e" vm="2">
        <v>#VALUE!</v>
      </c>
      <c r="F25" s="69"/>
      <c r="G25" s="70" cm="1">
        <f t="array" ref="G25:G35">TRANSPOSE(Peers!D97:N97)</f>
        <v>62753</v>
      </c>
      <c r="H25" s="68"/>
      <c r="I25" s="71">
        <f t="shared" ref="I25:I32" si="3">IFERROR(G25/$G$37,"")</f>
        <v>4.1835333333333335E-2</v>
      </c>
    </row>
    <row r="26" spans="2:16">
      <c r="B26" t="e" vm="3">
        <f>Peers!E$91</f>
        <v>#VALUE!</v>
      </c>
      <c r="E26" s="72" t="e" vm="4">
        <v>#VALUE!</v>
      </c>
      <c r="F26" s="72"/>
      <c r="G26" s="73">
        <v>64896.5</v>
      </c>
      <c r="I26" s="74">
        <f t="shared" si="3"/>
        <v>4.3264333333333335E-2</v>
      </c>
    </row>
    <row r="27" spans="2:16">
      <c r="B27" t="e" vm="5">
        <f>Peers!F91</f>
        <v>#VALUE!</v>
      </c>
      <c r="E27" s="72" t="e" vm="6">
        <v>#VALUE!</v>
      </c>
      <c r="F27" s="72"/>
      <c r="G27" s="73">
        <v>22096</v>
      </c>
      <c r="I27" s="74">
        <f t="shared" si="3"/>
        <v>1.4730666666666666E-2</v>
      </c>
    </row>
    <row r="28" spans="2:16">
      <c r="B28" t="e" vm="7">
        <f>Peers!G91</f>
        <v>#VALUE!</v>
      </c>
      <c r="E28" s="72" t="e" vm="2">
        <v>#VALUE!</v>
      </c>
      <c r="F28" s="72"/>
      <c r="G28" s="73">
        <v>245122</v>
      </c>
      <c r="I28" s="74">
        <f t="shared" si="3"/>
        <v>0.16341466666666668</v>
      </c>
    </row>
    <row r="29" spans="2:16">
      <c r="B29" t="e" vm="8">
        <f>Peers!H91</f>
        <v>#VALUE!</v>
      </c>
      <c r="E29" s="72" t="e" vm="2">
        <v>#VALUE!</v>
      </c>
      <c r="F29" s="72"/>
      <c r="G29" s="73">
        <v>52961</v>
      </c>
      <c r="I29" s="74">
        <f t="shared" si="3"/>
        <v>3.5307333333333336E-2</v>
      </c>
    </row>
    <row r="30" spans="2:16">
      <c r="B30" t="e" vm="9">
        <f>Peers!I91</f>
        <v>#VALUE!</v>
      </c>
      <c r="E30" s="72" t="e" vm="2">
        <v>#VALUE!</v>
      </c>
      <c r="F30" s="72"/>
      <c r="G30" s="73">
        <v>30127</v>
      </c>
      <c r="I30" s="74">
        <f t="shared" si="3"/>
        <v>2.0084666666666667E-2</v>
      </c>
    </row>
    <row r="31" spans="2:16">
      <c r="B31" t="e" vm="10">
        <f>Peers!J91</f>
        <v>#VALUE!</v>
      </c>
      <c r="E31" s="72" t="e" vm="2">
        <v>#VALUE!</v>
      </c>
      <c r="F31" s="72"/>
      <c r="G31" s="73">
        <v>43073</v>
      </c>
      <c r="I31" s="74">
        <f t="shared" si="3"/>
        <v>2.8715333333333332E-2</v>
      </c>
    </row>
    <row r="32" spans="2:16">
      <c r="B32" t="e" vm="11">
        <f>Peers!K91</f>
        <v>#VALUE!</v>
      </c>
      <c r="E32" s="72" t="e" vm="2">
        <v>#VALUE!</v>
      </c>
      <c r="F32" s="72"/>
      <c r="G32" s="73">
        <v>10790</v>
      </c>
      <c r="I32" s="74">
        <f t="shared" si="3"/>
        <v>7.1933333333333337E-3</v>
      </c>
    </row>
    <row r="33" spans="2:16" hidden="1">
      <c r="B33" t="e" cm="1" vm="12">
        <f t="array" ref="B33">+_FV(Peers!A15,"Name")</f>
        <v>#VALUE!</v>
      </c>
      <c r="E33" s="72"/>
      <c r="F33" s="72"/>
      <c r="G33" s="73">
        <v>0</v>
      </c>
      <c r="I33" s="74">
        <f>IFERROR(G33/$G$37,"")</f>
        <v>0</v>
      </c>
    </row>
    <row r="34" spans="2:16" hidden="1">
      <c r="B34" t="e" cm="1" vm="12">
        <f t="array" ref="B34">+_FV(Peers!A16,"Name")</f>
        <v>#VALUE!</v>
      </c>
      <c r="E34" s="72"/>
      <c r="F34" s="72"/>
      <c r="G34" s="73">
        <v>0</v>
      </c>
      <c r="I34" s="75">
        <f>IFERROR(G34/$G$37,"")</f>
        <v>0</v>
      </c>
    </row>
    <row r="35" spans="2:16" hidden="1">
      <c r="B35" t="e" cm="1" vm="12">
        <f t="array" ref="B35">+_FV(Peers!A17,"Name")</f>
        <v>#VALUE!</v>
      </c>
      <c r="E35" s="72"/>
      <c r="F35" s="72"/>
      <c r="G35" s="73">
        <v>0</v>
      </c>
      <c r="I35" s="75">
        <f>IFERROR(G35/$G$37,"")</f>
        <v>0</v>
      </c>
    </row>
    <row r="36" spans="2:16">
      <c r="B36" s="35" t="s">
        <v>161</v>
      </c>
      <c r="C36" s="35"/>
      <c r="D36" s="35"/>
      <c r="E36" s="76" t="s">
        <v>162</v>
      </c>
      <c r="F36" s="35"/>
      <c r="G36" s="77">
        <f>G37-SUM(G25:G35)</f>
        <v>968181.5</v>
      </c>
      <c r="H36" s="35"/>
      <c r="I36" s="78">
        <f t="shared" ref="I36" si="4">IFERROR(G36/$G$37,"")</f>
        <v>0.64545433333333335</v>
      </c>
    </row>
    <row r="37" spans="2:16">
      <c r="B37" s="1" t="s">
        <v>163</v>
      </c>
      <c r="E37" s="79" t="s">
        <v>162</v>
      </c>
      <c r="G37" s="73">
        <v>1500000</v>
      </c>
      <c r="H37" s="24"/>
      <c r="I37" s="80">
        <v>1</v>
      </c>
    </row>
    <row r="38" spans="2:16" ht="8.1" customHeight="1"/>
    <row r="39" spans="2:16" ht="15.6">
      <c r="B39" s="45" t="s">
        <v>164</v>
      </c>
      <c r="C39" s="49"/>
      <c r="D39" s="45"/>
      <c r="E39" s="45" t="s">
        <v>165</v>
      </c>
      <c r="F39" s="50"/>
      <c r="G39" s="50"/>
      <c r="H39" s="951" t="s">
        <v>166</v>
      </c>
      <c r="I39" s="951"/>
      <c r="J39" s="50"/>
      <c r="K39" s="50"/>
      <c r="P39" s="81"/>
    </row>
    <row r="40" spans="2:16" ht="3.95" customHeight="1">
      <c r="B40" s="46"/>
      <c r="C40" s="46"/>
      <c r="D40" s="46"/>
      <c r="E40" s="46"/>
      <c r="F40" s="46"/>
      <c r="G40" s="46"/>
      <c r="H40" s="46"/>
      <c r="I40" s="46"/>
      <c r="J40" s="46"/>
      <c r="K40" s="46"/>
    </row>
    <row r="41" spans="2:16">
      <c r="B41" s="1" t="s">
        <v>167</v>
      </c>
      <c r="E41" s="390">
        <f>IFERROR(AVERAGE(E42:E47),"")</f>
        <v>2.8333333333333335</v>
      </c>
    </row>
    <row r="42" spans="2:16">
      <c r="B42" s="22" t="s">
        <v>168</v>
      </c>
      <c r="E42" s="83">
        <v>4</v>
      </c>
    </row>
    <row r="43" spans="2:16">
      <c r="B43" s="22" t="s">
        <v>169</v>
      </c>
      <c r="E43" s="83">
        <v>3</v>
      </c>
    </row>
    <row r="44" spans="2:16">
      <c r="B44" s="22" t="s">
        <v>170</v>
      </c>
      <c r="E44" s="83">
        <v>3</v>
      </c>
    </row>
    <row r="45" spans="2:16">
      <c r="B45" s="22" t="s">
        <v>171</v>
      </c>
      <c r="E45" s="83">
        <v>2</v>
      </c>
    </row>
    <row r="46" spans="2:16">
      <c r="B46" s="22" t="s">
        <v>172</v>
      </c>
      <c r="E46" s="83">
        <v>2</v>
      </c>
    </row>
    <row r="47" spans="2:16">
      <c r="B47" s="22" t="s">
        <v>173</v>
      </c>
      <c r="E47" s="83">
        <v>3</v>
      </c>
    </row>
    <row r="48" spans="2:16">
      <c r="B48" s="1" t="s">
        <v>174</v>
      </c>
      <c r="E48" s="82">
        <f>IFERROR(AVERAGE(E49:E53),"")</f>
        <v>4.4000000000000004</v>
      </c>
    </row>
    <row r="49" spans="2:5">
      <c r="B49" s="22" t="s">
        <v>175</v>
      </c>
      <c r="E49" s="83">
        <v>5</v>
      </c>
    </row>
    <row r="50" spans="2:5">
      <c r="B50" s="22" t="s">
        <v>176</v>
      </c>
      <c r="E50" s="83">
        <v>4</v>
      </c>
    </row>
    <row r="51" spans="2:5">
      <c r="B51" s="22" t="s">
        <v>177</v>
      </c>
      <c r="E51" s="83">
        <v>4</v>
      </c>
    </row>
    <row r="52" spans="2:5">
      <c r="B52" s="22" t="s">
        <v>178</v>
      </c>
      <c r="E52" s="83">
        <v>4</v>
      </c>
    </row>
    <row r="53" spans="2:5">
      <c r="B53" s="22" t="s">
        <v>179</v>
      </c>
      <c r="E53" s="83">
        <v>5</v>
      </c>
    </row>
    <row r="54" spans="2:5">
      <c r="B54" s="1" t="s">
        <v>180</v>
      </c>
      <c r="E54" s="82">
        <f>IFERROR(AVERAGE(E55:E59),"")</f>
        <v>4</v>
      </c>
    </row>
    <row r="55" spans="2:5">
      <c r="B55" s="22" t="s">
        <v>181</v>
      </c>
      <c r="E55" s="83">
        <v>5</v>
      </c>
    </row>
    <row r="56" spans="2:5">
      <c r="B56" s="22" t="s">
        <v>182</v>
      </c>
      <c r="E56" s="83">
        <v>4</v>
      </c>
    </row>
    <row r="57" spans="2:5">
      <c r="B57" s="22" t="s">
        <v>173</v>
      </c>
      <c r="E57" s="83">
        <v>4</v>
      </c>
    </row>
    <row r="58" spans="2:5">
      <c r="B58" s="22" t="s">
        <v>183</v>
      </c>
      <c r="E58" s="83">
        <v>3</v>
      </c>
    </row>
    <row r="59" spans="2:5">
      <c r="B59" s="22" t="s">
        <v>184</v>
      </c>
      <c r="E59" s="83">
        <v>4</v>
      </c>
    </row>
    <row r="60" spans="2:5">
      <c r="B60" s="1" t="s">
        <v>185</v>
      </c>
      <c r="E60" s="82">
        <f>IFERROR(AVERAGE(E61:E65),"")</f>
        <v>4.2</v>
      </c>
    </row>
    <row r="61" spans="2:5">
      <c r="B61" s="22" t="s">
        <v>186</v>
      </c>
      <c r="E61" s="83">
        <v>4</v>
      </c>
    </row>
    <row r="62" spans="2:5">
      <c r="B62" s="22" t="s">
        <v>187</v>
      </c>
      <c r="E62" s="83">
        <v>5</v>
      </c>
    </row>
    <row r="63" spans="2:5">
      <c r="B63" s="22" t="s">
        <v>188</v>
      </c>
      <c r="E63" s="83">
        <v>4</v>
      </c>
    </row>
    <row r="64" spans="2:5">
      <c r="B64" s="22" t="s">
        <v>189</v>
      </c>
      <c r="E64" s="83">
        <v>3</v>
      </c>
    </row>
    <row r="65" spans="2:5">
      <c r="B65" s="22" t="s">
        <v>190</v>
      </c>
      <c r="E65" s="83">
        <v>5</v>
      </c>
    </row>
    <row r="66" spans="2:5">
      <c r="B66" s="1" t="s">
        <v>191</v>
      </c>
      <c r="E66" s="390">
        <f>IFERROR(AVERAGE(E67:E71),"")</f>
        <v>3.5</v>
      </c>
    </row>
    <row r="67" spans="2:5">
      <c r="B67" s="22" t="s">
        <v>192</v>
      </c>
      <c r="E67" s="83">
        <v>4</v>
      </c>
    </row>
    <row r="68" spans="2:5">
      <c r="B68" s="22" t="s">
        <v>193</v>
      </c>
      <c r="E68" s="83">
        <v>3</v>
      </c>
    </row>
    <row r="69" spans="2:5">
      <c r="B69" s="22" t="s">
        <v>194</v>
      </c>
      <c r="E69" s="83">
        <v>3</v>
      </c>
    </row>
    <row r="70" spans="2:5">
      <c r="B70" s="22" t="s">
        <v>195</v>
      </c>
      <c r="E70" s="83">
        <v>4</v>
      </c>
    </row>
  </sheetData>
  <mergeCells count="17">
    <mergeCell ref="B15:C15"/>
    <mergeCell ref="E15:P15"/>
    <mergeCell ref="B12:C12"/>
    <mergeCell ref="E12:P12"/>
    <mergeCell ref="B13:C13"/>
    <mergeCell ref="E13:P13"/>
    <mergeCell ref="B14:C14"/>
    <mergeCell ref="E14:P14"/>
    <mergeCell ref="B20:C20"/>
    <mergeCell ref="E19:P19"/>
    <mergeCell ref="E20:P20"/>
    <mergeCell ref="H39:I39"/>
    <mergeCell ref="B21:C21"/>
    <mergeCell ref="E21:P21"/>
    <mergeCell ref="B22:C22"/>
    <mergeCell ref="E22:P22"/>
    <mergeCell ref="B19:C19"/>
  </mergeCells>
  <phoneticPr fontId="74" type="noConversion"/>
  <conditionalFormatting sqref="I25:I36">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7">
    <cfRule type="colorScale" priority="92">
      <colorScale>
        <cfvo type="min"/>
        <cfvo type="percentile" val="50"/>
        <cfvo type="max"/>
        <color rgb="FFF8696B"/>
        <color rgb="FFFFEB84"/>
        <color rgb="FF63BE7B"/>
      </colorScale>
    </cfRule>
    <cfRule type="colorScale" priority="93">
      <colorScale>
        <cfvo type="min"/>
        <cfvo type="percentile" val="50"/>
        <cfvo type="max"/>
        <color rgb="FFF8696B"/>
        <color rgb="FFFFEB84"/>
        <color rgb="FF63BE7B"/>
      </colorScale>
    </cfRule>
  </conditionalFormatting>
  <conditionalFormatting sqref="R6:R7">
    <cfRule type="dataBar" priority="94">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7">
    <cfRule type="dataBar" priority="95">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7">
    <cfRule type="dataBar" priority="96">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7">
    <cfRule type="dataBar" priority="97">
      <dataBar>
        <cfvo type="min"/>
        <cfvo type="max"/>
        <color rgb="FF63C384"/>
      </dataBar>
      <extLst>
        <ext xmlns:x14="http://schemas.microsoft.com/office/spreadsheetml/2009/9/main" uri="{B025F937-C7B1-47D3-B67F-A62EFF666E3E}">
          <x14:id>{CCBBEFF5-0753-47A4-B215-F44790A6C2E6}</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R6:R7</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S6:S7</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T6:T7</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U6:U7</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Industry!F16:P16</xm:f>
              <xm:sqref>E16</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43"/>
  <sheetViews>
    <sheetView showGridLines="0" zoomScale="59" zoomScaleNormal="68" workbookViewId="0">
      <selection activeCell="D48" sqref="D48"/>
    </sheetView>
  </sheetViews>
  <sheetFormatPr defaultColWidth="9" defaultRowHeight="14.25" customHeight="1"/>
  <cols>
    <col min="1" max="1" width="24.375" style="367" customWidth="1"/>
    <col min="2" max="2" width="47.25" style="367" customWidth="1"/>
    <col min="3" max="3" width="8.125" style="367" bestFit="1" customWidth="1"/>
    <col min="4" max="15" width="19.625" style="367" customWidth="1"/>
    <col min="16" max="16384" width="9" style="367"/>
  </cols>
  <sheetData>
    <row r="1" spans="1:52" s="366" customFormat="1" ht="12" customHeight="1">
      <c r="A1" s="391"/>
      <c r="B1" s="391"/>
      <c r="C1" s="392"/>
      <c r="D1" s="391"/>
      <c r="E1" s="391"/>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c r="AH1" s="391"/>
      <c r="AI1" s="391"/>
      <c r="AJ1" s="391"/>
      <c r="AK1" s="391"/>
      <c r="AL1" s="391"/>
      <c r="AM1" s="391"/>
      <c r="AN1" s="391"/>
      <c r="AO1" s="391"/>
      <c r="AP1" s="391"/>
      <c r="AQ1" s="391"/>
      <c r="AR1" s="391"/>
      <c r="AS1" s="391"/>
      <c r="AT1" s="391"/>
      <c r="AU1" s="391"/>
      <c r="AV1" s="391"/>
      <c r="AW1" s="391"/>
      <c r="AX1" s="391"/>
      <c r="AY1" s="391"/>
      <c r="AZ1" s="391"/>
    </row>
    <row r="2" spans="1:52" s="366" customFormat="1" ht="14.1">
      <c r="A2" s="391"/>
      <c r="B2" s="393"/>
      <c r="C2" s="393"/>
      <c r="D2" s="953"/>
      <c r="E2" s="954"/>
      <c r="F2" s="499"/>
      <c r="G2" s="488"/>
      <c r="H2" s="499"/>
      <c r="I2" s="488"/>
      <c r="J2" s="499"/>
      <c r="K2" s="514"/>
      <c r="L2" s="520"/>
      <c r="M2" s="514"/>
      <c r="N2" s="393"/>
      <c r="O2" s="393"/>
      <c r="P2" s="395"/>
      <c r="Q2" s="395"/>
      <c r="R2" s="395"/>
      <c r="S2" s="391"/>
      <c r="T2" s="395"/>
      <c r="U2" s="395"/>
      <c r="V2" s="391"/>
      <c r="W2" s="396"/>
      <c r="X2" s="396"/>
      <c r="Y2" s="396"/>
      <c r="Z2" s="396"/>
      <c r="AA2" s="396"/>
      <c r="AB2" s="396"/>
      <c r="AC2" s="391"/>
      <c r="AD2" s="396"/>
      <c r="AE2" s="396"/>
      <c r="AF2" s="396"/>
      <c r="AG2" s="396"/>
      <c r="AH2" s="396"/>
      <c r="AI2" s="391"/>
      <c r="AJ2" s="396"/>
      <c r="AK2" s="397"/>
      <c r="AL2" s="397"/>
      <c r="AM2" s="397"/>
      <c r="AN2" s="397"/>
      <c r="AO2" s="391"/>
      <c r="AP2" s="396"/>
      <c r="AQ2" s="391"/>
      <c r="AR2" s="391"/>
      <c r="AS2" s="391"/>
      <c r="AT2" s="391"/>
      <c r="AU2" s="391"/>
      <c r="AV2" s="391"/>
      <c r="AW2" s="391"/>
      <c r="AX2" s="391"/>
      <c r="AY2" s="391"/>
      <c r="AZ2" s="391"/>
    </row>
    <row r="3" spans="1:52" s="366" customFormat="1" ht="14.1">
      <c r="A3" s="391"/>
      <c r="B3" s="393"/>
      <c r="C3" s="393"/>
      <c r="D3" s="957" t="s">
        <v>196</v>
      </c>
      <c r="E3" s="956"/>
      <c r="F3" s="955" t="s">
        <v>41</v>
      </c>
      <c r="G3" s="956"/>
      <c r="H3" s="955" t="s">
        <v>197</v>
      </c>
      <c r="I3" s="956"/>
      <c r="J3" s="955" t="s">
        <v>198</v>
      </c>
      <c r="K3" s="956"/>
      <c r="L3" s="955" t="s">
        <v>18</v>
      </c>
      <c r="M3" s="956"/>
      <c r="N3" s="957" t="s">
        <v>23</v>
      </c>
      <c r="O3" s="957"/>
      <c r="P3" s="395"/>
      <c r="Q3" s="603"/>
      <c r="R3" s="395"/>
      <c r="S3" s="395"/>
      <c r="T3" s="395"/>
      <c r="U3" s="395"/>
      <c r="V3" s="395"/>
      <c r="W3" s="395"/>
      <c r="X3" s="395"/>
      <c r="Y3" s="395"/>
      <c r="Z3" s="395"/>
      <c r="AA3" s="395"/>
      <c r="AB3" s="395"/>
      <c r="AC3" s="395"/>
      <c r="AD3" s="395"/>
      <c r="AE3" s="395"/>
      <c r="AF3" s="395"/>
      <c r="AG3" s="395"/>
      <c r="AH3" s="395"/>
      <c r="AI3" s="395"/>
      <c r="AJ3" s="395"/>
      <c r="AK3" s="395"/>
      <c r="AL3" s="395"/>
      <c r="AM3" s="395"/>
      <c r="AN3" s="395"/>
      <c r="AO3" s="391"/>
      <c r="AP3" s="395"/>
      <c r="AQ3" s="391"/>
      <c r="AR3" s="391"/>
      <c r="AS3" s="391"/>
      <c r="AT3" s="391"/>
      <c r="AU3" s="391"/>
      <c r="AV3" s="391"/>
      <c r="AW3" s="391"/>
      <c r="AX3" s="391"/>
      <c r="AY3" s="391"/>
      <c r="AZ3" s="391"/>
    </row>
    <row r="4" spans="1:52" s="366" customFormat="1" ht="14.1">
      <c r="A4" s="391"/>
      <c r="B4" s="393" t="s">
        <v>199</v>
      </c>
      <c r="C4" s="393" t="s">
        <v>200</v>
      </c>
      <c r="D4" s="394" t="str">
        <f>+Inputs!O4&amp;"-"&amp;Inputs!P4</f>
        <v>2022-2023</v>
      </c>
      <c r="E4" s="488" t="str">
        <f>+Inputs!P4&amp;"-"&amp;Inputs!Q4</f>
        <v>2023-2024</v>
      </c>
      <c r="F4" s="499">
        <v>2023</v>
      </c>
      <c r="G4" s="488">
        <v>2024</v>
      </c>
      <c r="H4" s="499" t="str">
        <f>+Inputs!O4&amp;"-"&amp;Inputs!P4</f>
        <v>2022-2023</v>
      </c>
      <c r="I4" s="488" t="str">
        <f>+Inputs!P4&amp;"-"&amp;Inputs!Q4</f>
        <v>2023-2024</v>
      </c>
      <c r="J4" s="499">
        <v>2023</v>
      </c>
      <c r="K4" s="488">
        <v>2024</v>
      </c>
      <c r="L4" s="499">
        <v>2023</v>
      </c>
      <c r="M4" s="488">
        <v>2024</v>
      </c>
      <c r="N4" s="394">
        <v>2023</v>
      </c>
      <c r="O4" s="394">
        <v>2024</v>
      </c>
      <c r="P4" s="395"/>
      <c r="Q4" s="603"/>
      <c r="R4" s="395"/>
      <c r="S4" s="395"/>
      <c r="T4" s="395"/>
      <c r="U4" s="395"/>
      <c r="V4" s="395"/>
      <c r="W4" s="395"/>
      <c r="X4" s="395"/>
      <c r="Y4" s="395"/>
      <c r="Z4" s="395"/>
      <c r="AA4" s="395"/>
      <c r="AB4" s="395"/>
      <c r="AC4" s="395"/>
      <c r="AD4" s="395"/>
      <c r="AE4" s="395"/>
      <c r="AF4" s="395"/>
      <c r="AG4" s="395"/>
      <c r="AH4" s="395"/>
      <c r="AI4" s="395"/>
      <c r="AJ4" s="395"/>
      <c r="AK4" s="395"/>
      <c r="AL4" s="395"/>
      <c r="AM4" s="395"/>
      <c r="AN4" s="395"/>
      <c r="AO4" s="391"/>
      <c r="AP4" s="395"/>
      <c r="AQ4" s="391"/>
      <c r="AR4" s="391"/>
      <c r="AS4" s="391"/>
      <c r="AT4" s="391"/>
      <c r="AU4" s="391"/>
      <c r="AV4" s="391"/>
      <c r="AW4" s="391"/>
      <c r="AX4" s="391"/>
      <c r="AY4" s="391"/>
      <c r="AZ4" s="391"/>
    </row>
    <row r="5" spans="1:52" s="366" customFormat="1" ht="3.75" customHeight="1">
      <c r="A5" s="391"/>
      <c r="B5" s="398"/>
      <c r="C5" s="398"/>
      <c r="D5" s="398"/>
      <c r="E5" s="489"/>
      <c r="F5" s="500"/>
      <c r="G5" s="489"/>
      <c r="H5" s="500"/>
      <c r="I5" s="489"/>
      <c r="J5" s="500"/>
      <c r="K5" s="489"/>
      <c r="L5" s="500"/>
      <c r="M5" s="489"/>
      <c r="N5" s="398"/>
      <c r="O5" s="398"/>
      <c r="P5" s="399"/>
      <c r="Q5" s="603"/>
      <c r="R5" s="399"/>
      <c r="S5" s="399"/>
      <c r="T5" s="399"/>
      <c r="U5" s="399"/>
      <c r="V5" s="399"/>
      <c r="W5" s="399"/>
      <c r="X5" s="399"/>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row>
    <row r="6" spans="1:52" s="375" customFormat="1" ht="17.25" customHeight="1">
      <c r="A6" s="400" t="e" vm="13">
        <f>+D91</f>
        <v>#VALUE!</v>
      </c>
      <c r="B6" s="401" t="str" cm="1">
        <f t="array" aca="1" ref="B6" ca="1">IFERROR(_FV(A6,"Name"),"")</f>
        <v>INTERNATIONAL BUSINESS MACHINES CORPORATION</v>
      </c>
      <c r="C6" s="402" t="str" cm="1">
        <f t="array" aca="1" ref="C6" ca="1">IFERROR(_FV(A6,"Ticker symbol",TRUE),"")</f>
        <v>IBM</v>
      </c>
      <c r="D6" s="490">
        <f>IFERROR(D94/D93-1,"")</f>
        <v>2.197257558235588E-2</v>
      </c>
      <c r="E6" s="491">
        <f>IFERROR(D97/D94-1,"")</f>
        <v>1.4435822825735523E-2</v>
      </c>
      <c r="F6" s="501">
        <f>IFERROR(D95/D94,"")</f>
        <v>0.22272874232137083</v>
      </c>
      <c r="G6" s="502">
        <f>IFERROR(D100/D97,"")</f>
        <v>0.2238618074036301</v>
      </c>
      <c r="H6" s="508">
        <f>IFERROR(D96/D94,"")</f>
        <v>0.12145166505011316</v>
      </c>
      <c r="I6" s="491">
        <f>IFERROR(D105/D97,"")</f>
        <v>9.5867926632989653E-2</v>
      </c>
      <c r="J6" s="538" cm="1">
        <f t="array" aca="1" ref="J6" ca="1">IFERROR((_FV(A6,"Market cap",TRUE)/1000000+D$121-D$111)/D$94,"")</f>
        <v>5.5391002515272421</v>
      </c>
      <c r="K6" s="539" cm="1">
        <f t="array" aca="1" ref="K6" ca="1">IFERROR((_FV(A6,"Market cap",TRUE)/1000000+D$121-D$111)/D$97,"")</f>
        <v>5.4602766650116363</v>
      </c>
      <c r="L6" s="540" cm="1">
        <f t="array" aca="1" ref="L6" ca="1">+IFERROR((_FV(A6,"Market cap",TRUE)/1000000+D$121-D$111)/D$95,"")</f>
        <v>24.869265608903699</v>
      </c>
      <c r="M6" s="541" cm="1">
        <f t="array" aca="1" ref="M6" ca="1">IFERROR((_FV(A6,"Market cap",TRUE)/1000000+D$121-D$111)/D$100,"")</f>
        <v>24.391282855885194</v>
      </c>
      <c r="N6" s="542" cm="1">
        <f t="array" aca="1" ref="N6" ca="1">IFERROR((_FV(A6,"Market cap",TRUE)/1000000)/D$96,"")</f>
        <v>35.754319180087847</v>
      </c>
      <c r="O6" s="543" cm="1">
        <f t="array" aca="1" ref="O6" ca="1">IFERROR((_FV(A6,"Market cap",TRUE)/1000000)/D$105,"")</f>
        <v>44.65129654255319</v>
      </c>
      <c r="P6" s="404"/>
      <c r="Q6" s="603"/>
      <c r="R6" s="407"/>
      <c r="S6" s="408"/>
      <c r="T6" s="407"/>
      <c r="U6" s="407"/>
      <c r="V6" s="408"/>
      <c r="W6" s="407"/>
      <c r="X6" s="407"/>
      <c r="Y6" s="407"/>
      <c r="Z6" s="407"/>
      <c r="AA6" s="407"/>
      <c r="AB6" s="408"/>
      <c r="AC6" s="408"/>
      <c r="AD6" s="403"/>
      <c r="AE6" s="403"/>
      <c r="AF6" s="403"/>
      <c r="AG6" s="403"/>
      <c r="AH6" s="403"/>
      <c r="AI6" s="408"/>
      <c r="AJ6" s="408"/>
      <c r="AK6" s="408"/>
      <c r="AL6" s="409"/>
      <c r="AM6" s="410"/>
      <c r="AN6" s="411"/>
      <c r="AO6" s="408"/>
      <c r="AP6" s="408"/>
    </row>
    <row r="7" spans="1:52" ht="3.75" customHeight="1">
      <c r="A7" s="400"/>
      <c r="B7" s="412"/>
      <c r="C7" s="413"/>
      <c r="E7" s="492"/>
      <c r="F7" s="503"/>
      <c r="G7" s="504"/>
      <c r="H7" s="509"/>
      <c r="I7" s="510"/>
      <c r="J7" s="509"/>
      <c r="K7" s="510"/>
      <c r="L7" s="523"/>
      <c r="M7" s="524"/>
      <c r="N7" s="417"/>
      <c r="O7" s="418"/>
      <c r="P7" s="415"/>
      <c r="Q7" s="415"/>
      <c r="R7" s="419"/>
      <c r="S7" s="418"/>
      <c r="T7" s="419"/>
      <c r="U7" s="419"/>
      <c r="V7" s="418"/>
      <c r="W7" s="419"/>
      <c r="X7" s="419"/>
      <c r="Y7" s="419"/>
      <c r="Z7" s="419"/>
      <c r="AA7" s="419"/>
      <c r="AB7" s="418"/>
      <c r="AC7" s="418"/>
      <c r="AD7" s="414"/>
      <c r="AE7" s="414"/>
      <c r="AF7" s="414"/>
      <c r="AG7" s="414"/>
      <c r="AH7" s="414"/>
      <c r="AI7" s="418"/>
      <c r="AJ7" s="418"/>
      <c r="AK7" s="418"/>
      <c r="AL7" s="420"/>
      <c r="AM7" s="421"/>
      <c r="AN7" s="422"/>
      <c r="AO7" s="418"/>
      <c r="AP7" s="418"/>
    </row>
    <row r="8" spans="1:52" s="369" customFormat="1" ht="17.25" customHeight="1">
      <c r="A8" s="400" t="e" vm="3">
        <f>+E91</f>
        <v>#VALUE!</v>
      </c>
      <c r="B8" s="401" t="str" cm="1">
        <f t="array" aca="1" ref="B8" ca="1">IFERROR(_FV(A8,"Nome"),"")</f>
        <v>ACCENTURE PUBLIC LIMITED COMPANY</v>
      </c>
      <c r="C8" s="402" t="str" cm="1">
        <f t="array" aca="1" ref="C8" ca="1">+IFERROR(_FV(A8,"Símbolo do ticker",TRUE),"")</f>
        <v>ACN</v>
      </c>
      <c r="D8" s="493">
        <f>+IFERROR(E94/E93-1,"")</f>
        <v>4.0870664980363403E-2</v>
      </c>
      <c r="E8" s="494">
        <f>IFERROR(E97/E94-1,"")</f>
        <v>1.2241135393383784E-2</v>
      </c>
      <c r="F8" s="505">
        <f>IFERROR(E95/E94,"")</f>
        <v>0.20285064972540115</v>
      </c>
      <c r="G8" s="494">
        <f>+IFERROR(E100/E97,"")</f>
        <v>0.19882582265607546</v>
      </c>
      <c r="H8" s="505">
        <f>IFERROR(E96/E94,"")</f>
        <v>0.10718168446632986</v>
      </c>
      <c r="I8" s="494">
        <f>+IFERROR(D105/D99,"")</f>
        <v>0.1692169216921692</v>
      </c>
      <c r="J8" s="515" cm="1">
        <f t="array" aca="1" ref="J8" ca="1">+IFERROR((_FV(A8,"Capitalização de mercado",TRUE)/1000000+E$121-E$111)/E$94,"")</f>
        <v>2.3695238154658202</v>
      </c>
      <c r="K8" s="516" cm="1">
        <f t="array" aca="1" ref="K8" ca="1">IFERROR(+(_FV(A8,"Capitalização de mercado",TRUE)/1000000+E$121-E$111)/E$97,"")</f>
        <v>2.3408689220528074</v>
      </c>
      <c r="L8" s="521" cm="1">
        <f t="array" aca="1" ref="L8" ca="1">IFERROR(+(_FV(A8,"Capitalização de mercado",TRUE)/1000000+E$121-E$111)/E$95,"")</f>
        <v>11.681125097077301</v>
      </c>
      <c r="M8" s="522" cm="1">
        <f t="array" aca="1" ref="M8" ca="1">IFERROR(+(_FV(A8,"Capitalização de mercado",TRUE)/1000000+E$121-E$111)/E$100,"")</f>
        <v>11.773465291286591</v>
      </c>
      <c r="N8" s="406" cm="1">
        <f t="array" aca="1" ref="N8" ca="1">IFERROR(+(_FV(A8,"Capitalização de mercado",TRUE)/1000000)/E$96,"")</f>
        <v>22.236189533733047</v>
      </c>
      <c r="O8" s="405" cm="1">
        <f t="array" aca="1" ref="O8" ca="1">IFERROR(+(_FV(A8,"Capitalização de mercado",TRUE)/1000000)/E$105,"")</f>
        <v>21.032678119149875</v>
      </c>
      <c r="P8" s="404"/>
      <c r="Q8" s="404"/>
      <c r="R8" s="407"/>
      <c r="S8" s="408"/>
      <c r="T8" s="407"/>
      <c r="U8" s="407"/>
      <c r="V8" s="408"/>
      <c r="W8" s="407"/>
      <c r="X8" s="407"/>
      <c r="Y8" s="407"/>
      <c r="Z8" s="407"/>
      <c r="AA8" s="407"/>
      <c r="AB8" s="408"/>
      <c r="AC8" s="408"/>
      <c r="AD8" s="403"/>
      <c r="AE8" s="403"/>
      <c r="AF8" s="403"/>
      <c r="AG8" s="403"/>
      <c r="AH8" s="403"/>
      <c r="AI8" s="408"/>
      <c r="AJ8" s="408"/>
      <c r="AK8" s="408"/>
      <c r="AL8" s="409"/>
      <c r="AM8" s="410"/>
      <c r="AN8" s="411"/>
      <c r="AO8" s="408"/>
      <c r="AP8" s="408"/>
      <c r="AQ8" s="400"/>
      <c r="AR8" s="400"/>
      <c r="AS8" s="400"/>
      <c r="AT8" s="400"/>
      <c r="AU8" s="400"/>
      <c r="AV8" s="400"/>
      <c r="AW8" s="400"/>
      <c r="AX8" s="400"/>
      <c r="AY8" s="400"/>
      <c r="AZ8" s="400"/>
    </row>
    <row r="9" spans="1:52" s="369" customFormat="1" ht="17.25" customHeight="1">
      <c r="A9" s="423" t="e" vm="5">
        <f>+F91</f>
        <v>#VALUE!</v>
      </c>
      <c r="B9" s="401" t="str" cm="1">
        <f t="array" aca="1" ref="B9" ca="1">IFERROR(_FV(A9,"Nome"),"")</f>
        <v>Capgemini</v>
      </c>
      <c r="C9" s="402" t="str" cm="1">
        <f t="array" aca="1" ref="C9" ca="1">+IFERROR(_FV(A9,"Símbolo do ticker",TRUE),"")</f>
        <v>CAPMF</v>
      </c>
      <c r="D9" s="493">
        <f>IFERROR(F94/F93-1,"")</f>
        <v>2.3959990907024276E-2</v>
      </c>
      <c r="E9" s="494">
        <f>IFERROR(+F97/F94-1,"")</f>
        <v>-1.8914838824260705E-2</v>
      </c>
      <c r="F9" s="505">
        <f>IFERROR(F95/F94,"")</f>
        <v>0.14692300861379984</v>
      </c>
      <c r="G9" s="494">
        <f>IFERROR(F100/F97,"")</f>
        <v>0.14613504706734251</v>
      </c>
      <c r="H9" s="505">
        <f>IFERROR(F96/F94,"")</f>
        <v>7.3838913062783063E-2</v>
      </c>
      <c r="I9" s="494">
        <f>+IFERROR(F105/F97,"")</f>
        <v>7.5624547429398989E-2</v>
      </c>
      <c r="J9" s="515" cm="1">
        <f t="array" aca="1" ref="J9" ca="1">+IFERROR((_FV(A9,"Capitalização de mercado",TRUE)/1000000+E$121-E$111)/E$94,"")</f>
        <v>0.31989059719208818</v>
      </c>
      <c r="K9" s="516" cm="1">
        <f t="array" aca="1" ref="K9" ca="1">IFERROR(+(_FV(A9,"Capitalização de mercado",TRUE)/1000000+E$121-E$111)/E$97,"")</f>
        <v>0.3160221275415469</v>
      </c>
      <c r="L9" s="521" cm="1">
        <f t="array" aca="1" ref="L9" ca="1">IFERROR(+(_FV(A9,"Capitalização de mercado",TRUE)/1000000+E$121-E$111)/E$95,"")</f>
        <v>1.5769759555866545</v>
      </c>
      <c r="M9" s="522" cm="1">
        <f t="array" aca="1" ref="M9" ca="1">IFERROR(+(_FV(A9,"Capitalização de mercado",TRUE)/1000000+E$121-E$111)/E$100,"")</f>
        <v>1.5894420720602025</v>
      </c>
      <c r="N9" s="406" cm="1">
        <f t="array" aca="1" ref="N9" ca="1">IFERROR(+(_FV(A9,"Capitalização de mercado",TRUE)/1000000)/E$96,"")</f>
        <v>3.1132094417602887</v>
      </c>
      <c r="O9" s="405" cm="1">
        <f t="array" aca="1" ref="O9" ca="1">IFERROR(+(_FV(A9,"Capitalização de mercado",TRUE)/1000000)/E$105,"")</f>
        <v>2.9447101090188306</v>
      </c>
      <c r="P9" s="404"/>
      <c r="Q9" s="404"/>
      <c r="R9" s="407"/>
      <c r="S9" s="408"/>
      <c r="T9" s="407"/>
      <c r="U9" s="407"/>
      <c r="V9" s="408"/>
      <c r="W9" s="407"/>
      <c r="X9" s="407"/>
      <c r="Y9" s="407"/>
      <c r="Z9" s="407"/>
      <c r="AA9" s="407"/>
      <c r="AB9" s="408"/>
      <c r="AC9" s="408"/>
      <c r="AD9" s="403"/>
      <c r="AE9" s="403"/>
      <c r="AF9" s="403"/>
      <c r="AG9" s="403"/>
      <c r="AH9" s="403"/>
      <c r="AI9" s="408"/>
      <c r="AJ9" s="408"/>
      <c r="AK9" s="408"/>
      <c r="AL9" s="409"/>
      <c r="AM9" s="410"/>
      <c r="AN9" s="411"/>
      <c r="AO9" s="408"/>
      <c r="AP9" s="408"/>
      <c r="AQ9" s="400"/>
      <c r="AR9" s="400"/>
      <c r="AS9" s="400"/>
      <c r="AT9" s="400"/>
      <c r="AU9" s="400"/>
      <c r="AV9" s="400"/>
      <c r="AW9" s="400"/>
      <c r="AX9" s="400"/>
      <c r="AY9" s="400"/>
      <c r="AZ9" s="400"/>
    </row>
    <row r="10" spans="1:52" s="369" customFormat="1" ht="17.25" customHeight="1">
      <c r="A10" s="423" t="e" vm="7">
        <f>+G91</f>
        <v>#VALUE!</v>
      </c>
      <c r="B10" s="401" t="str" cm="1">
        <f t="array" aca="1" ref="B10" ca="1">IFERROR(_FV(A10,"Nome"),"")</f>
        <v>MICROSOFT CORPORATION</v>
      </c>
      <c r="C10" s="402" t="str" cm="1">
        <f t="array" aca="1" ref="C10" ca="1">+IFERROR(_FV(A10,"Símbolo do ticker",TRUE),"")</f>
        <v>MSFT</v>
      </c>
      <c r="D10" s="493">
        <f>+IFERROR(G94/G93-1,"")</f>
        <v>6.8820295556564215E-2</v>
      </c>
      <c r="E10" s="494">
        <f>IFERROR(G97/G94-1,"")</f>
        <v>0.1566996201307127</v>
      </c>
      <c r="F10" s="505">
        <f>IFERROR(G95/G94,"")</f>
        <v>0.50222966755538778</v>
      </c>
      <c r="G10" s="494">
        <f>IFERROR(G100/G97,"")</f>
        <v>0.55186804937949263</v>
      </c>
      <c r="H10" s="505">
        <f>IFERROR(G96/G94,"")</f>
        <v>0.34146237878394642</v>
      </c>
      <c r="I10" s="494">
        <f>+IFERROR(G105/G97,"")</f>
        <v>0.35955972944084985</v>
      </c>
      <c r="J10" s="515" cm="1">
        <f t="array" aca="1" ref="J10" ca="1">+IFERROR((_FV(A10,"Capitalização de mercado",TRUE)/1000000+E$121-E$111)/E$94,"")</f>
        <v>59.968227328241184</v>
      </c>
      <c r="K10" s="516" cm="1">
        <f t="array" aca="1" ref="K10" ca="1">IFERROR(+(_FV(A10,"Capitalização de mercado",TRUE)/1000000+E$121-E$111)/E$97,"")</f>
        <v>59.243025432804544</v>
      </c>
      <c r="L10" s="521" cm="1">
        <f t="array" aca="1" ref="L10" ca="1">IFERROR(+(_FV(A10,"Capitalização de mercado",TRUE)/1000000+E$121-E$111)/E$95,"")</f>
        <v>295.6274846021945</v>
      </c>
      <c r="M10" s="522" cm="1">
        <f t="array" aca="1" ref="M10" ca="1">IFERROR(+(_FV(A10,"Capitalização de mercado",TRUE)/1000000+E$121-E$111)/E$100,"")</f>
        <v>297.96444265331587</v>
      </c>
      <c r="N10" s="406" cm="1">
        <f t="array" aca="1" ref="N10" ca="1">IFERROR(+(_FV(A10,"Capitalização de mercado",TRUE)/1000000)/E$96,"")</f>
        <v>559.62934396647063</v>
      </c>
      <c r="O10" s="405" cm="1">
        <f t="array" aca="1" ref="O10" ca="1">IFERROR(+(_FV(A10,"Capitalização de mercado",TRUE)/1000000)/E$105,"")</f>
        <v>529.3399680651911</v>
      </c>
      <c r="P10" s="404"/>
      <c r="Q10" s="404"/>
      <c r="R10" s="404"/>
      <c r="S10" s="408"/>
      <c r="T10" s="407"/>
      <c r="U10" s="407"/>
      <c r="V10" s="408"/>
      <c r="W10" s="407"/>
      <c r="X10" s="407"/>
      <c r="Y10" s="407"/>
      <c r="Z10" s="407"/>
      <c r="AA10" s="407"/>
      <c r="AB10" s="408"/>
      <c r="AC10" s="408"/>
      <c r="AD10" s="403"/>
      <c r="AE10" s="403"/>
      <c r="AF10" s="403"/>
      <c r="AG10" s="403"/>
      <c r="AH10" s="403"/>
      <c r="AI10" s="408"/>
      <c r="AJ10" s="408"/>
      <c r="AK10" s="408"/>
      <c r="AL10" s="409"/>
      <c r="AM10" s="410"/>
      <c r="AN10" s="411"/>
      <c r="AO10" s="408"/>
      <c r="AP10" s="408"/>
      <c r="AQ10" s="400"/>
      <c r="AR10" s="400"/>
      <c r="AS10" s="400"/>
      <c r="AT10" s="400"/>
      <c r="AU10" s="400"/>
      <c r="AV10" s="400"/>
      <c r="AW10" s="400"/>
      <c r="AX10" s="400"/>
      <c r="AY10" s="400"/>
      <c r="AZ10" s="400"/>
    </row>
    <row r="11" spans="1:52" s="369" customFormat="1" ht="17.25" customHeight="1">
      <c r="A11" s="423" t="e" vm="8">
        <f>+H91</f>
        <v>#VALUE!</v>
      </c>
      <c r="B11" s="401" t="str" cm="1">
        <f t="array" aca="1" ref="B11" ca="1">IFERROR(_FV(A11,"Nome"),"")</f>
        <v>ORACLE CORPORATION</v>
      </c>
      <c r="C11" s="402" t="str" cm="1">
        <f t="array" aca="1" ref="C11" ca="1">+IFERROR(_FV(A11,"Símbolo do ticker",TRUE),"")</f>
        <v>ORCL</v>
      </c>
      <c r="D11" s="493">
        <f>IFERROR(H94/H93-1,"")</f>
        <v>0.17704995287464653</v>
      </c>
      <c r="E11" s="494">
        <f>IFERROR(H97/H94-1,"")</f>
        <v>6.0195379749369504E-2</v>
      </c>
      <c r="F11" s="505">
        <f>IFERROR(H95/H94,"")</f>
        <v>0.41524202266084798</v>
      </c>
      <c r="G11" s="494">
        <f>IFERROR(H100/H97,"")</f>
        <v>0.44185343932327564</v>
      </c>
      <c r="H11" s="505">
        <f>IFERROR(H96/H94,"")</f>
        <v>0.17021659927132962</v>
      </c>
      <c r="I11" s="494">
        <f>+IFERROR(H105/H102,"")</f>
        <v>3.417238001958864</v>
      </c>
      <c r="J11" s="515" cm="1">
        <f t="array" aca="1" ref="J11" ca="1">+IFERROR((_FV(A11,"Capitalização de mercado",TRUE)/1000000+E$121-E$111)/E$94,"")</f>
        <v>12.709720690607176</v>
      </c>
      <c r="K11" s="516" cm="1">
        <f t="array" aca="1" ref="K11" ca="1">IFERROR(+(_FV(A11,"Capitalização de mercado",TRUE)/1000000+E$121-E$111)/E$97,"")</f>
        <v>12.556020740717914</v>
      </c>
      <c r="L11" s="521" cm="1">
        <f t="array" aca="1" ref="L11" ca="1">IFERROR(+(_FV(A11,"Capitalização de mercado",TRUE)/1000000+E$121-E$111)/E$95,"")</f>
        <v>62.655558204089168</v>
      </c>
      <c r="M11" s="522" cm="1">
        <f t="array" aca="1" ref="M11" ca="1">IFERROR(+(_FV(A11,"Capitalização de mercado",TRUE)/1000000+E$121-E$111)/E$100,"")</f>
        <v>63.150855220838402</v>
      </c>
      <c r="N11" s="406" cm="1">
        <f t="array" aca="1" ref="N11" ca="1">IFERROR(+(_FV(A11,"Capitalização de mercado",TRUE)/1000000)/E$96,"")</f>
        <v>118.70973281331858</v>
      </c>
      <c r="O11" s="405" cm="1">
        <f t="array" aca="1" ref="O11" ca="1">IFERROR(+(_FV(A11,"Capitalização de mercado",TRUE)/1000000)/E$105,"")</f>
        <v>112.28468780971259</v>
      </c>
      <c r="P11" s="404"/>
      <c r="Q11" s="404"/>
      <c r="R11" s="404"/>
      <c r="S11" s="408"/>
      <c r="T11" s="407"/>
      <c r="U11" s="407"/>
      <c r="V11" s="408"/>
      <c r="W11" s="407"/>
      <c r="X11" s="407"/>
      <c r="Y11" s="407"/>
      <c r="Z11" s="407"/>
      <c r="AA11" s="407"/>
      <c r="AB11" s="408"/>
      <c r="AC11" s="408"/>
      <c r="AD11" s="403"/>
      <c r="AE11" s="403"/>
      <c r="AF11" s="403"/>
      <c r="AG11" s="403"/>
      <c r="AH11" s="403"/>
      <c r="AI11" s="408"/>
      <c r="AJ11" s="408"/>
      <c r="AK11" s="408"/>
      <c r="AL11" s="409"/>
      <c r="AM11" s="410"/>
      <c r="AN11" s="411"/>
      <c r="AO11" s="408"/>
      <c r="AP11" s="408"/>
      <c r="AQ11" s="400"/>
      <c r="AR11" s="400"/>
      <c r="AS11" s="400"/>
      <c r="AT11" s="400"/>
      <c r="AU11" s="400"/>
      <c r="AV11" s="400"/>
      <c r="AW11" s="400"/>
      <c r="AX11" s="400"/>
      <c r="AY11" s="400"/>
      <c r="AZ11" s="400"/>
    </row>
    <row r="12" spans="1:52" s="369" customFormat="1" ht="17.25" customHeight="1">
      <c r="A12" s="423" t="e" vm="9">
        <f>+I91</f>
        <v>#VALUE!</v>
      </c>
      <c r="B12" s="401" t="str" cm="1">
        <f t="array" aca="1" ref="B12" ca="1">IFERROR(_FV(A12,"Nome"),"")</f>
        <v>HEWLETT PACKARD ENTERPRISE COMPANY</v>
      </c>
      <c r="C12" s="402" t="str" cm="1">
        <f t="array" aca="1" ref="C12" ca="1">+IFERROR(_FV(A12,"Símbolo do ticker",TRUE),"")</f>
        <v>HPE</v>
      </c>
      <c r="D12" s="493">
        <f>+IFERROR(I94/I93-1,"")</f>
        <v>2.24241998877035E-2</v>
      </c>
      <c r="E12" s="494">
        <f>IFERROR(I97/I94-1,"")</f>
        <v>3.4048395400720688E-2</v>
      </c>
      <c r="F12" s="505">
        <f>IFERROR(I95/I94,"")</f>
        <v>0.18060751673245237</v>
      </c>
      <c r="G12" s="494">
        <f>IFERROR(I100/I97,"")</f>
        <v>0.17552361668934843</v>
      </c>
      <c r="H12" s="505">
        <f>IFERROR(I96/I94,"")</f>
        <v>6.9504032950060066E-2</v>
      </c>
      <c r="I12" s="494">
        <f>+IFERROR(I105/I97,"")</f>
        <v>8.5604275234839183E-2</v>
      </c>
      <c r="J12" s="515" cm="1">
        <f t="array" aca="1" ref="J12" ca="1">+IFERROR((_FV(A12,"Capitalização de mercado",TRUE)/1000000+E$121-E$111)/E$94,"")</f>
        <v>0.48899280474546775</v>
      </c>
      <c r="K12" s="516" cm="1">
        <f t="array" aca="1" ref="K12" ca="1">IFERROR(+(_FV(A12,"Capitalização de mercado",TRUE)/1000000+E$121-E$111)/E$97,"")</f>
        <v>0.48307936483477543</v>
      </c>
      <c r="L12" s="521" cm="1">
        <f t="array" aca="1" ref="L12" ca="1">IFERROR(+(_FV(A12,"Capitalização de mercado",TRUE)/1000000+E$121-E$111)/E$95,"")</f>
        <v>2.4106050703185677</v>
      </c>
      <c r="M12" s="522" cm="1">
        <f t="array" aca="1" ref="M12" ca="1">IFERROR(+(_FV(A12,"Capitalização de mercado",TRUE)/1000000+E$121-E$111)/E$100,"")</f>
        <v>2.4296610891956201</v>
      </c>
      <c r="N12" s="406" cm="1">
        <f t="array" aca="1" ref="N12" ca="1">IFERROR(+(_FV(A12,"Capitalização de mercado",TRUE)/1000000)/E$96,"")</f>
        <v>4.6909249665289012</v>
      </c>
      <c r="O12" s="405" cm="1">
        <f t="array" aca="1" ref="O12" ca="1">IFERROR(+(_FV(A12,"Capitalização de mercado",TRUE)/1000000)/E$105,"")</f>
        <v>4.4370333663693424</v>
      </c>
      <c r="P12" s="404"/>
      <c r="Q12" s="404"/>
      <c r="R12" s="404"/>
      <c r="S12" s="408"/>
      <c r="T12" s="407"/>
      <c r="U12" s="407"/>
      <c r="V12" s="408"/>
      <c r="W12" s="407"/>
      <c r="X12" s="407"/>
      <c r="Y12" s="407"/>
      <c r="Z12" s="407"/>
      <c r="AA12" s="407"/>
      <c r="AB12" s="408"/>
      <c r="AC12" s="408"/>
      <c r="AD12" s="403"/>
      <c r="AE12" s="403"/>
      <c r="AF12" s="403"/>
      <c r="AG12" s="403"/>
      <c r="AH12" s="403"/>
      <c r="AI12" s="408"/>
      <c r="AJ12" s="408"/>
      <c r="AK12" s="408"/>
      <c r="AL12" s="409"/>
      <c r="AM12" s="410"/>
      <c r="AN12" s="411"/>
      <c r="AO12" s="408"/>
      <c r="AP12" s="408"/>
      <c r="AQ12" s="400"/>
      <c r="AR12" s="400"/>
      <c r="AS12" s="400"/>
      <c r="AT12" s="400"/>
      <c r="AU12" s="400"/>
      <c r="AV12" s="400"/>
      <c r="AW12" s="400"/>
      <c r="AX12" s="400"/>
      <c r="AY12" s="400"/>
      <c r="AZ12" s="400"/>
    </row>
    <row r="13" spans="1:52" s="369" customFormat="1" ht="17.25" customHeight="1">
      <c r="A13" s="423" t="e" vm="10">
        <f>+J91</f>
        <v>#VALUE!</v>
      </c>
      <c r="B13" s="401" t="str" cm="1">
        <f t="array" aca="1" ref="B13" ca="1">IFERROR(_FV(A13,"Nome"),"")</f>
        <v>IONQ</v>
      </c>
      <c r="C13" s="402" t="str" cm="1">
        <f t="array" aca="1" ref="C13" ca="1">+IFERROR(_FV(A13,"Símbolo do ticker",TRUE),"")</f>
        <v>IONQ</v>
      </c>
      <c r="D13" s="493">
        <f>IFERROR(J94/J93-1,"")</f>
        <v>0.98023537867217669</v>
      </c>
      <c r="E13" s="494">
        <f>IFERROR(J97/J94-1,"")</f>
        <v>0.9541330187823247</v>
      </c>
      <c r="F13" s="505">
        <f>IFERROR(J95/J94,"")</f>
        <v>-6.686280736775247</v>
      </c>
      <c r="G13" s="494">
        <f>IFERROR(J100/J97,"")</f>
        <v>-4.9636895502983309</v>
      </c>
      <c r="H13" s="511">
        <f>IFERROR(J96/J94,"")</f>
        <v>-7.1555688231557939</v>
      </c>
      <c r="I13" s="494">
        <f>+IFERROR(J105/J97,"")</f>
        <v>-7.698281034522787</v>
      </c>
      <c r="J13" s="515" cm="1">
        <f t="array" aca="1" ref="J13" ca="1">+IFERROR((_FV(A13,"Capitalização de mercado",TRUE)/1000000+E$121-E$111)/E$94,"")</f>
        <v>0.35546460318475409</v>
      </c>
      <c r="K13" s="516" cm="1">
        <f t="array" aca="1" ref="K13" ca="1">IFERROR(+(_FV(A13,"Capitalização de mercado",TRUE)/1000000+E$121-E$111)/E$97,"")</f>
        <v>0.35116593344787467</v>
      </c>
      <c r="L13" s="521" cm="1">
        <f t="array" aca="1" ref="L13" ca="1">IFERROR(+(_FV(A13,"Capitalização de mercado",TRUE)/1000000+E$121-E$111)/E$95,"")</f>
        <v>1.7523463871865652</v>
      </c>
      <c r="M13" s="522" cm="1">
        <f t="array" aca="1" ref="M13" ca="1">IFERROR(+(_FV(A13,"Capitalização de mercado",TRUE)/1000000+E$121-E$111)/E$100,"")</f>
        <v>1.7661988204384991</v>
      </c>
      <c r="N13" s="406" cm="1">
        <f t="array" aca="1" ref="N13" ca="1">IFERROR(+(_FV(A13,"Capitalização de mercado",TRUE)/1000000)/E$96,"")</f>
        <v>3.4451132196286158</v>
      </c>
      <c r="O13" s="405" cm="1">
        <f t="array" aca="1" ref="O13" ca="1">IFERROR(+(_FV(A13,"Capitalização de mercado",TRUE)/1000000)/E$105,"")</f>
        <v>3.2586499284219799</v>
      </c>
      <c r="P13" s="404"/>
      <c r="Q13" s="404"/>
      <c r="R13" s="404"/>
      <c r="S13" s="408"/>
      <c r="T13" s="407"/>
      <c r="U13" s="407"/>
      <c r="V13" s="408"/>
      <c r="W13" s="407"/>
      <c r="X13" s="407"/>
      <c r="Y13" s="407"/>
      <c r="Z13" s="407"/>
      <c r="AA13" s="407"/>
      <c r="AB13" s="408"/>
      <c r="AC13" s="408"/>
      <c r="AD13" s="403"/>
      <c r="AE13" s="403"/>
      <c r="AF13" s="403"/>
      <c r="AG13" s="403"/>
      <c r="AH13" s="403"/>
      <c r="AI13" s="408"/>
      <c r="AJ13" s="408"/>
      <c r="AK13" s="408"/>
      <c r="AL13" s="409"/>
      <c r="AM13" s="410"/>
      <c r="AN13" s="411"/>
      <c r="AO13" s="408"/>
      <c r="AP13" s="408"/>
      <c r="AQ13" s="400"/>
      <c r="AR13" s="400"/>
      <c r="AS13" s="400"/>
      <c r="AT13" s="400"/>
      <c r="AU13" s="400"/>
      <c r="AV13" s="400"/>
      <c r="AW13" s="400"/>
      <c r="AX13" s="400"/>
      <c r="AY13" s="400"/>
      <c r="AZ13" s="400"/>
    </row>
    <row r="14" spans="1:52" s="369" customFormat="1" ht="17.25" customHeight="1">
      <c r="A14" s="423" t="e" vm="11">
        <f>+K91</f>
        <v>#VALUE!</v>
      </c>
      <c r="B14" s="401" t="str" cm="1">
        <f t="array" aca="1" ref="B14" ca="1">IFERROR(_FV(A14,"Nome"),"")</f>
        <v>Rigetti</v>
      </c>
      <c r="C14" s="402" t="str" cm="1">
        <f t="array" aca="1" ref="C14" ca="1">+IFERROR(_FV(A14,"Símbolo do ticker",TRUE),"")</f>
        <v>RGTI</v>
      </c>
      <c r="D14" s="493">
        <f>IFERROR(K94/K93-1,"")</f>
        <v>-8.3498702488169707E-2</v>
      </c>
      <c r="E14" s="494">
        <f>IFERROR(K97/K94-1,"")</f>
        <v>-0.10143237841439046</v>
      </c>
      <c r="F14" s="505">
        <f>+IFERROR(K95/K94,"")</f>
        <v>-5.1550632911392409</v>
      </c>
      <c r="G14" s="494">
        <f>IFERROR(K100/K97,"")</f>
        <v>-6.3493975903614457</v>
      </c>
      <c r="H14" s="511">
        <f>IFERROR(K96/K94,"")</f>
        <v>-6.2547468354430382</v>
      </c>
      <c r="I14" s="494">
        <f>+IFERROR(K105/K97,"")</f>
        <v>-7.1616311399443928</v>
      </c>
      <c r="J14" s="515" cm="1">
        <f t="array" aca="1" ref="J14" ca="1">+IFERROR((_FV(A14,"Capitalização de mercado",TRUE)/1000000+E$121-E$111)/E$94,"")</f>
        <v>0.18876523317896732</v>
      </c>
      <c r="K14" s="516" cm="1">
        <f t="array" aca="1" ref="K14" ca="1">IFERROR(+(_FV(A14,"Capitalização de mercado",TRUE)/1000000+E$121-E$111)/E$97,"")</f>
        <v>0.1864824759424622</v>
      </c>
      <c r="L14" s="521" cm="1">
        <f t="array" aca="1" ref="L14" ca="1">IFERROR(+(_FV(A14,"Capitalização de mercado",TRUE)/1000000+E$121-E$111)/E$95,"")</f>
        <v>0.93056262543156121</v>
      </c>
      <c r="M14" s="522" cm="1">
        <f t="array" aca="1" ref="M14" ca="1">IFERROR(+(_FV(A14,"Capitalização de mercado",TRUE)/1000000+E$121-E$111)/E$100,"")</f>
        <v>0.93791879470824824</v>
      </c>
      <c r="N14" s="406" cm="1">
        <f t="array" aca="1" ref="N14" ca="1">IFERROR(+(_FV(A14,"Capitalização de mercado",TRUE)/1000000)/E$96,"")</f>
        <v>1.889816054485127</v>
      </c>
      <c r="O14" s="405" cm="1">
        <f t="array" aca="1" ref="O14" ca="1">IFERROR(+(_FV(A14,"Capitalização de mercado",TRUE)/1000000)/E$105,"")</f>
        <v>1.7875316595088646</v>
      </c>
      <c r="P14" s="404"/>
      <c r="Q14" s="404"/>
      <c r="R14" s="404"/>
      <c r="S14" s="408"/>
      <c r="T14" s="407"/>
      <c r="U14" s="407"/>
      <c r="V14" s="408"/>
      <c r="W14" s="407"/>
      <c r="X14" s="407"/>
      <c r="Y14" s="407"/>
      <c r="Z14" s="407"/>
      <c r="AA14" s="407"/>
      <c r="AB14" s="408"/>
      <c r="AC14" s="408"/>
      <c r="AD14" s="403"/>
      <c r="AE14" s="403"/>
      <c r="AF14" s="403"/>
      <c r="AG14" s="403"/>
      <c r="AH14" s="403"/>
      <c r="AI14" s="408"/>
      <c r="AJ14" s="408"/>
      <c r="AK14" s="408"/>
      <c r="AL14" s="409"/>
      <c r="AM14" s="410"/>
      <c r="AN14" s="411"/>
      <c r="AO14" s="408"/>
      <c r="AP14" s="408"/>
      <c r="AQ14" s="400"/>
      <c r="AR14" s="400"/>
      <c r="AS14" s="400"/>
      <c r="AT14" s="400"/>
      <c r="AU14" s="400"/>
      <c r="AV14" s="400"/>
      <c r="AW14" s="400"/>
      <c r="AX14" s="400"/>
      <c r="AY14" s="400"/>
      <c r="AZ14" s="400"/>
    </row>
    <row r="15" spans="1:52" s="369" customFormat="1" ht="17.25" customHeight="1">
      <c r="A15" s="423" t="str">
        <f>+L91</f>
        <v>PEER 8</v>
      </c>
      <c r="B15" s="401" t="str" cm="1">
        <f t="array" ref="B15">IFERROR(_FV(A15,"Name"),"")</f>
        <v/>
      </c>
      <c r="C15" s="402" t="str" cm="1">
        <f t="array" ref="C15">IFERROR(_FV(A15,"Ticker symbol",TRUE),"")</f>
        <v/>
      </c>
      <c r="D15" s="493" t="str">
        <f>+IFERROR(L94/L93,"")</f>
        <v/>
      </c>
      <c r="E15" s="494" t="str">
        <f>IFERROR(L97/L94,"")</f>
        <v/>
      </c>
      <c r="F15" s="505" t="str">
        <f>IFERROR(L95/L94,"")</f>
        <v/>
      </c>
      <c r="G15" s="494" t="str">
        <f>IFERROR(L100/L97,"")</f>
        <v/>
      </c>
      <c r="H15" s="511" t="str">
        <f>IFERROR(L96/L94,"")</f>
        <v/>
      </c>
      <c r="I15" s="494" t="str">
        <f>+IFERROR(L105/L97,"")</f>
        <v/>
      </c>
      <c r="J15" s="515" t="str" cm="1">
        <f t="array" ref="J15">IFERROR(+(_FV(A15,"Market cap",TRUE)/1000000+L$121-L$111)/L$94,"")</f>
        <v/>
      </c>
      <c r="K15" s="516" t="str" cm="1">
        <f t="array" ref="K15">IFERROR(+(_FV(A15,"Market cap",TRUE)/1000000+L$121-L$111)/L$97,"")</f>
        <v/>
      </c>
      <c r="L15" s="521" t="str" cm="1">
        <f t="array" ref="L15">IFERROR(+(_FV(A15,"Market cap",TRUE)/1000000+L$121-L$111)/L$95,"")</f>
        <v/>
      </c>
      <c r="M15" s="522" t="str" cm="1">
        <f t="array" ref="M15">IFERROR(+(_FV(A15,"Market cap",TRUE)/1000000+L$121-L$111)/L$100,"")</f>
        <v/>
      </c>
      <c r="N15" s="406" t="str" cm="1">
        <f t="array" ref="N15">IFERROR(+(_FV(A15,"Market cap",TRUE)/1000000)/L$96,"")</f>
        <v/>
      </c>
      <c r="O15" s="405" t="str" cm="1">
        <f t="array" ref="O15">IFERROR(+(_FV(A15,"Market cap",TRUE)/1000000)/L$105,"")</f>
        <v/>
      </c>
      <c r="P15" s="404"/>
      <c r="Q15" s="404"/>
      <c r="R15" s="404"/>
      <c r="S15" s="408"/>
      <c r="T15" s="407"/>
      <c r="U15" s="407"/>
      <c r="V15" s="408"/>
      <c r="W15" s="407"/>
      <c r="X15" s="407"/>
      <c r="Y15" s="407"/>
      <c r="Z15" s="407"/>
      <c r="AA15" s="407"/>
      <c r="AB15" s="408"/>
      <c r="AC15" s="408"/>
      <c r="AD15" s="403"/>
      <c r="AE15" s="403"/>
      <c r="AF15" s="403"/>
      <c r="AG15" s="403"/>
      <c r="AH15" s="403"/>
      <c r="AI15" s="408"/>
      <c r="AJ15" s="408"/>
      <c r="AK15" s="408"/>
      <c r="AL15" s="409"/>
      <c r="AM15" s="410"/>
      <c r="AN15" s="411"/>
      <c r="AO15" s="408"/>
      <c r="AP15" s="408"/>
      <c r="AQ15" s="400"/>
      <c r="AR15" s="400"/>
      <c r="AS15" s="400"/>
      <c r="AT15" s="400"/>
      <c r="AU15" s="400"/>
      <c r="AV15" s="400"/>
      <c r="AW15" s="400"/>
      <c r="AX15" s="400"/>
      <c r="AY15" s="400"/>
      <c r="AZ15" s="400"/>
    </row>
    <row r="16" spans="1:52" s="369" customFormat="1" ht="17.25" customHeight="1">
      <c r="A16" s="423" t="str">
        <f>+M91</f>
        <v>PEER 9</v>
      </c>
      <c r="B16" s="401" t="str" cm="1">
        <f t="array" ref="B16">IFERROR(_FV(A16,"Name"),"")</f>
        <v/>
      </c>
      <c r="C16" s="402" t="str" cm="1">
        <f t="array" ref="C16">IFERROR(_FV(A16,"Ticker symbol",TRUE),"")</f>
        <v/>
      </c>
      <c r="D16" s="493" t="str">
        <f>IFERROR(M94/M93-1,"")</f>
        <v/>
      </c>
      <c r="E16" s="494" t="str">
        <f>IFERROR(M97/M94-1,"")</f>
        <v/>
      </c>
      <c r="F16" s="505" t="str">
        <f>IFERROR(M95/M94,"")</f>
        <v/>
      </c>
      <c r="G16" s="494" t="str">
        <f>IFERROR(M100/M97,"")</f>
        <v/>
      </c>
      <c r="H16" s="511" t="str">
        <f>IFERROR(M96/M94,"")</f>
        <v/>
      </c>
      <c r="I16" s="494" t="str">
        <f>+IFERROR(M105/M97,"")</f>
        <v/>
      </c>
      <c r="J16" s="515" t="str" cm="1">
        <f t="array" ref="J16">IFERROR(+(_FV(A16,"Market cap",TRUE)/1000000+M$121-M$111)/M$94,"")</f>
        <v/>
      </c>
      <c r="K16" s="516" t="str" cm="1">
        <f t="array" ref="K16">IFERROR(+(_FV(A16,"Market cap",TRUE)/1000000+M$121-M$111)/M$97,"")</f>
        <v/>
      </c>
      <c r="L16" s="521" t="str" cm="1">
        <f t="array" ref="L16">IFERROR(+(_FV(A16,"Market cap",TRUE)/1000000+M$121-M$111)/M$95,"")</f>
        <v/>
      </c>
      <c r="M16" s="522" t="str" cm="1">
        <f t="array" ref="M16">IFERROR(+(_FV(A16,"Market cap",TRUE)/1000000+M$121-M$111)/M$100,"")</f>
        <v/>
      </c>
      <c r="N16" s="406" t="str" cm="1">
        <f t="array" ref="N16">IFERROR(+(_FV(A16,"Market cap",TRUE)/1000000)/M$96,"")</f>
        <v/>
      </c>
      <c r="O16" s="405" t="str" cm="1">
        <f t="array" ref="O16">IFERROR(+(_FV(A16,"Market cap",TRUE)/1000000)/M$105,"")</f>
        <v/>
      </c>
      <c r="P16" s="404"/>
      <c r="Q16" s="404"/>
      <c r="R16" s="404"/>
      <c r="S16" s="408"/>
      <c r="T16" s="407"/>
      <c r="U16" s="407"/>
      <c r="V16" s="408"/>
      <c r="W16" s="407"/>
      <c r="X16" s="407"/>
      <c r="Y16" s="407"/>
      <c r="Z16" s="407"/>
      <c r="AA16" s="407"/>
      <c r="AB16" s="408"/>
      <c r="AC16" s="408"/>
      <c r="AD16" s="403"/>
      <c r="AE16" s="403"/>
      <c r="AF16" s="403"/>
      <c r="AG16" s="403"/>
      <c r="AH16" s="403"/>
      <c r="AI16" s="408"/>
      <c r="AJ16" s="408"/>
      <c r="AK16" s="408"/>
      <c r="AL16" s="409"/>
      <c r="AM16" s="410"/>
      <c r="AN16" s="411"/>
      <c r="AO16" s="408"/>
      <c r="AP16" s="408"/>
      <c r="AQ16" s="400"/>
      <c r="AR16" s="400"/>
      <c r="AS16" s="400"/>
      <c r="AT16" s="400"/>
      <c r="AU16" s="400"/>
      <c r="AV16" s="400"/>
      <c r="AW16" s="400"/>
      <c r="AX16" s="400"/>
      <c r="AY16" s="400"/>
      <c r="AZ16" s="400"/>
    </row>
    <row r="17" spans="1:42" s="369" customFormat="1" ht="17.25" customHeight="1">
      <c r="A17" s="423" t="str">
        <f>+N91</f>
        <v>PEER 10</v>
      </c>
      <c r="B17" s="545" t="str" cm="1">
        <f t="array" ref="B17">IFERROR(_FV(A17,"Name"),"")</f>
        <v/>
      </c>
      <c r="C17" s="546" t="str" cm="1">
        <f t="array" ref="C17">+IFERROR(_FV(A17,"Ticker symbol",TRUE),"")</f>
        <v/>
      </c>
      <c r="D17" s="547" t="str">
        <f>IFERROR(N94/N93-1,"")</f>
        <v/>
      </c>
      <c r="E17" s="548" t="str">
        <f>IFERROR(N97/N94-1,"")</f>
        <v/>
      </c>
      <c r="F17" s="549" t="str">
        <f>IFERROR(N95/N94,"")</f>
        <v/>
      </c>
      <c r="G17" s="548" t="str">
        <f>IFERROR(N100/N97,"")</f>
        <v/>
      </c>
      <c r="H17" s="550" t="str">
        <f>IFERROR(N96/N94,"")</f>
        <v/>
      </c>
      <c r="I17" s="548" t="str">
        <f>+IFERROR(N105/N97,"")</f>
        <v/>
      </c>
      <c r="J17" s="551" t="str" cm="1">
        <f t="array" ref="J17">IFERROR(+(_FV(A17,"Market cap",TRUE)/1000000+N$121-N$111)/N$94,"")</f>
        <v/>
      </c>
      <c r="K17" s="552" t="str" cm="1">
        <f t="array" ref="K17">IFERROR(+(_FV(A17,"Market cap",TRUE)/1000000+N$121-N$111)/N$97,"")</f>
        <v/>
      </c>
      <c r="L17" s="553" t="str" cm="1">
        <f t="array" ref="L17">IFERROR(+(_FV(A17,"Market cap",TRUE)/1000000+N$121-N$111)/N$95,"")</f>
        <v/>
      </c>
      <c r="M17" s="554" t="str" cm="1">
        <f t="array" ref="M17">IFERROR(+(_FV(A17,"Market cap",TRUE)/1000000+N$121-N$111)/N$100,"")</f>
        <v/>
      </c>
      <c r="N17" s="555" t="str" cm="1">
        <f t="array" ref="N17">IFERROR(+(_FV(A17,"Market cap",TRUE)/1000000)/N$96,"")</f>
        <v/>
      </c>
      <c r="O17" s="556" t="str" cm="1">
        <f t="array" ref="O17">IFERROR(+(_FV(A17,"Market cap",TRUE)/1000000)/N$105,"")</f>
        <v/>
      </c>
      <c r="P17" s="404"/>
      <c r="Q17" s="404"/>
      <c r="R17" s="404"/>
      <c r="S17" s="408"/>
      <c r="T17" s="407"/>
      <c r="U17" s="407"/>
      <c r="V17" s="408"/>
      <c r="W17" s="407"/>
      <c r="X17" s="407"/>
      <c r="Y17" s="407"/>
      <c r="Z17" s="407"/>
      <c r="AA17" s="407"/>
      <c r="AB17" s="408"/>
      <c r="AC17" s="408"/>
      <c r="AD17" s="403"/>
      <c r="AE17" s="403"/>
      <c r="AF17" s="403"/>
      <c r="AG17" s="403"/>
      <c r="AH17" s="403"/>
      <c r="AI17" s="408"/>
      <c r="AJ17" s="408"/>
      <c r="AK17" s="408"/>
      <c r="AL17" s="409"/>
      <c r="AM17" s="410"/>
      <c r="AN17" s="411"/>
      <c r="AO17" s="408"/>
      <c r="AP17" s="408"/>
    </row>
    <row r="18" spans="1:42" s="366" customFormat="1" ht="15.75" customHeight="1">
      <c r="A18" s="423"/>
      <c r="B18" s="368" t="s">
        <v>201</v>
      </c>
      <c r="C18" s="368"/>
      <c r="D18" s="495">
        <f t="shared" ref="D18:O18" si="0">IFERROR(AVERAGE(D6:D17),"")</f>
        <v>0.1564792944965831</v>
      </c>
      <c r="E18" s="496">
        <f t="shared" si="0"/>
        <v>0.13892576938044948</v>
      </c>
      <c r="F18" s="506">
        <f t="shared" si="0"/>
        <v>-1.2713453025381534</v>
      </c>
      <c r="G18" s="496">
        <f t="shared" si="0"/>
        <v>-1.1968774197675764</v>
      </c>
      <c r="H18" s="512">
        <f t="shared" si="0"/>
        <v>-1.5658325481267839</v>
      </c>
      <c r="I18" s="513">
        <f t="shared" si="0"/>
        <v>-1.3321000965097585</v>
      </c>
      <c r="J18" s="517">
        <f t="shared" ca="1" si="0"/>
        <v>10.242460665517838</v>
      </c>
      <c r="K18" s="518">
        <f t="shared" ca="1" si="0"/>
        <v>10.117117707794197</v>
      </c>
      <c r="L18" s="517">
        <f t="shared" ca="1" si="0"/>
        <v>50.187990443848499</v>
      </c>
      <c r="M18" s="518">
        <f t="shared" ca="1" si="0"/>
        <v>50.500408349716082</v>
      </c>
      <c r="N18" s="385">
        <f t="shared" ca="1" si="0"/>
        <v>93.683581147001632</v>
      </c>
      <c r="O18" s="385">
        <f t="shared" ca="1" si="0"/>
        <v>89.967069449990717</v>
      </c>
      <c r="P18" s="535"/>
      <c r="Q18" s="424"/>
      <c r="R18" s="424"/>
      <c r="S18" s="418"/>
      <c r="T18" s="424"/>
      <c r="U18" s="424"/>
      <c r="V18" s="418"/>
      <c r="W18" s="424"/>
      <c r="X18" s="424"/>
      <c r="Y18" s="424"/>
      <c r="Z18" s="424"/>
      <c r="AA18" s="424"/>
      <c r="AB18" s="424"/>
      <c r="AC18" s="418"/>
      <c r="AD18" s="424"/>
      <c r="AE18" s="424"/>
      <c r="AF18" s="424"/>
      <c r="AG18" s="424"/>
      <c r="AH18" s="424"/>
      <c r="AI18" s="418"/>
      <c r="AJ18" s="425"/>
      <c r="AK18" s="418"/>
      <c r="AL18" s="425"/>
      <c r="AM18" s="421"/>
      <c r="AN18" s="425"/>
      <c r="AO18" s="418"/>
      <c r="AP18" s="425"/>
    </row>
    <row r="19" spans="1:42" s="366" customFormat="1" ht="15.75" customHeight="1">
      <c r="A19" s="423"/>
      <c r="B19" s="426" t="s">
        <v>202</v>
      </c>
      <c r="C19" s="368"/>
      <c r="D19" s="497">
        <f>IFERROR(+D18-D6,"")</f>
        <v>0.13450671891422722</v>
      </c>
      <c r="E19" s="498">
        <f>IFERROR(E18-E6,"")</f>
        <v>0.12448994655471396</v>
      </c>
      <c r="F19" s="507">
        <f>+IFERROR(F18-F6,"")</f>
        <v>-1.4940740448595242</v>
      </c>
      <c r="G19" s="498">
        <f>IFERROR(G18-G6,"")</f>
        <v>-1.4207392271712065</v>
      </c>
      <c r="H19" s="507">
        <f>IFERROR(+H6-H18,"")</f>
        <v>1.687284213176897</v>
      </c>
      <c r="I19" s="498">
        <f>+IFERROR(I6-I18,"")</f>
        <v>1.4279680231427481</v>
      </c>
      <c r="J19" s="544">
        <f ca="1">+IFERROR(J6-J18,"")</f>
        <v>-4.7033604139905956</v>
      </c>
      <c r="K19" s="519">
        <f ca="1">+IFERROR(K6-K18,"")</f>
        <v>-4.6568410427825606</v>
      </c>
      <c r="L19" s="544">
        <f ca="1">IFERROR(+L6-L18,"")</f>
        <v>-25.318724834944799</v>
      </c>
      <c r="M19" s="519">
        <f ca="1">IFERROR(M6-M18,"")</f>
        <v>-26.109125493830888</v>
      </c>
      <c r="N19" s="544">
        <f ca="1">IFERROR(+N6-N18,"")</f>
        <v>-57.929261966913785</v>
      </c>
      <c r="O19" s="544">
        <f ca="1">IFERROR(+O6-O18,"")</f>
        <v>-45.315772907437527</v>
      </c>
      <c r="P19" s="536"/>
      <c r="Q19" s="419"/>
      <c r="R19" s="419"/>
      <c r="S19" s="418"/>
      <c r="T19" s="419"/>
      <c r="U19" s="419"/>
      <c r="V19" s="418"/>
      <c r="W19" s="419"/>
      <c r="X19" s="419"/>
      <c r="Y19" s="419"/>
      <c r="Z19" s="419"/>
      <c r="AA19" s="419"/>
      <c r="AB19" s="419"/>
      <c r="AC19" s="418"/>
      <c r="AD19" s="419"/>
      <c r="AE19" s="419"/>
      <c r="AF19" s="419"/>
      <c r="AG19" s="419"/>
      <c r="AH19" s="419"/>
      <c r="AI19" s="418"/>
      <c r="AJ19" s="427"/>
      <c r="AK19" s="418"/>
      <c r="AL19" s="427"/>
      <c r="AM19" s="418"/>
      <c r="AN19" s="427"/>
      <c r="AO19" s="418"/>
      <c r="AP19" s="427"/>
    </row>
    <row r="20" spans="1:42" s="366" customFormat="1" ht="14.25" customHeight="1">
      <c r="A20" s="391"/>
      <c r="B20" s="391"/>
      <c r="C20" s="391"/>
      <c r="D20" s="391"/>
      <c r="E20" s="391"/>
      <c r="F20" s="391"/>
      <c r="G20" s="391"/>
      <c r="H20" s="391"/>
      <c r="I20" s="391"/>
      <c r="J20" s="391"/>
      <c r="K20" s="391"/>
      <c r="L20" s="391"/>
      <c r="M20" s="391"/>
      <c r="N20" s="391"/>
      <c r="O20" s="391"/>
      <c r="P20" s="429"/>
      <c r="Q20" s="391"/>
      <c r="R20" s="391"/>
      <c r="S20" s="391"/>
      <c r="T20" s="391"/>
      <c r="U20" s="391"/>
      <c r="V20" s="391"/>
      <c r="W20" s="391"/>
      <c r="X20" s="391"/>
      <c r="Y20" s="391"/>
      <c r="Z20" s="391"/>
      <c r="AA20" s="391"/>
      <c r="AB20" s="391"/>
      <c r="AC20" s="391"/>
      <c r="AD20" s="391"/>
      <c r="AE20" s="391"/>
      <c r="AF20" s="391"/>
      <c r="AG20" s="391"/>
      <c r="AH20" s="391"/>
      <c r="AI20" s="391"/>
      <c r="AJ20" s="391"/>
      <c r="AK20" s="391"/>
      <c r="AL20" s="391"/>
      <c r="AM20" s="391"/>
      <c r="AN20" s="391"/>
      <c r="AO20" s="391"/>
      <c r="AP20" s="391"/>
    </row>
    <row r="21" spans="1:42" s="366" customFormat="1" ht="14.1">
      <c r="A21" s="391"/>
      <c r="B21" s="428"/>
      <c r="C21" s="428"/>
      <c r="D21" s="952" t="s">
        <v>203</v>
      </c>
      <c r="E21" s="952"/>
      <c r="F21" s="952"/>
      <c r="G21" s="608" t="s">
        <v>204</v>
      </c>
      <c r="H21" s="608" t="s">
        <v>205</v>
      </c>
      <c r="I21" s="608" t="s">
        <v>206</v>
      </c>
      <c r="J21" s="952" t="s">
        <v>207</v>
      </c>
      <c r="K21" s="952"/>
      <c r="L21" s="952"/>
      <c r="M21" s="952" t="s">
        <v>208</v>
      </c>
      <c r="N21" s="952"/>
      <c r="O21" s="952"/>
      <c r="P21" s="533"/>
      <c r="Q21" s="429"/>
      <c r="R21" s="429"/>
      <c r="S21" s="429"/>
      <c r="T21" s="429"/>
      <c r="U21" s="429"/>
      <c r="V21" s="429"/>
      <c r="W21" s="429"/>
      <c r="X21" s="429"/>
      <c r="Y21" s="391"/>
      <c r="Z21" s="391"/>
      <c r="AA21" s="391"/>
      <c r="AB21" s="391"/>
      <c r="AC21" s="391"/>
      <c r="AD21" s="391"/>
      <c r="AE21" s="391"/>
      <c r="AF21" s="391"/>
      <c r="AG21" s="391"/>
      <c r="AH21" s="391"/>
      <c r="AI21" s="391"/>
      <c r="AJ21" s="391"/>
      <c r="AK21" s="391"/>
      <c r="AL21" s="391"/>
      <c r="AM21" s="391"/>
      <c r="AN21" s="391"/>
      <c r="AO21" s="391"/>
      <c r="AP21" s="391"/>
    </row>
    <row r="22" spans="1:42" s="366" customFormat="1" ht="14.25" customHeight="1">
      <c r="A22" s="391"/>
      <c r="B22" s="430" t="s">
        <v>209</v>
      </c>
      <c r="C22" s="428"/>
      <c r="D22" s="394" t="s">
        <v>210</v>
      </c>
      <c r="E22" s="394" t="s">
        <v>211</v>
      </c>
      <c r="F22" s="394" t="s">
        <v>212</v>
      </c>
      <c r="G22" s="394" t="s">
        <v>213</v>
      </c>
      <c r="H22" s="394" t="s">
        <v>214</v>
      </c>
      <c r="I22" s="394" t="s">
        <v>215</v>
      </c>
      <c r="J22" s="394" t="s">
        <v>210</v>
      </c>
      <c r="K22" s="394" t="s">
        <v>211</v>
      </c>
      <c r="L22" s="394" t="s">
        <v>212</v>
      </c>
      <c r="M22" s="394" t="s">
        <v>210</v>
      </c>
      <c r="N22" s="394" t="s">
        <v>211</v>
      </c>
      <c r="O22" s="394" t="s">
        <v>212</v>
      </c>
      <c r="P22" s="533" t="s">
        <v>216</v>
      </c>
      <c r="Q22" s="429"/>
      <c r="R22" s="429"/>
      <c r="S22" s="429"/>
      <c r="T22" s="429"/>
      <c r="U22" s="429"/>
      <c r="V22" s="429"/>
      <c r="W22" s="429"/>
      <c r="X22" s="429"/>
      <c r="Y22" s="391"/>
      <c r="Z22" s="391"/>
      <c r="AA22" s="391"/>
      <c r="AB22" s="391"/>
      <c r="AC22" s="391"/>
      <c r="AD22" s="391"/>
      <c r="AE22" s="391"/>
      <c r="AF22" s="391"/>
      <c r="AG22" s="391"/>
      <c r="AH22" s="391"/>
      <c r="AI22" s="391"/>
      <c r="AJ22" s="391"/>
      <c r="AK22" s="391"/>
      <c r="AL22" s="391"/>
      <c r="AM22" s="391"/>
      <c r="AN22" s="391"/>
      <c r="AO22" s="391"/>
      <c r="AP22" s="391"/>
    </row>
    <row r="23" spans="1:42" s="366" customFormat="1" ht="3.75" customHeight="1">
      <c r="A23" s="391"/>
      <c r="B23" s="431"/>
      <c r="C23" s="432"/>
      <c r="D23" s="528"/>
      <c r="E23" s="530"/>
      <c r="F23" s="525"/>
      <c r="G23" s="528"/>
      <c r="H23" s="530"/>
      <c r="I23" s="525"/>
      <c r="J23" s="432"/>
      <c r="K23" s="432"/>
      <c r="L23" s="525"/>
      <c r="M23" s="432"/>
      <c r="N23" s="432"/>
      <c r="O23" s="432"/>
      <c r="P23" s="534"/>
      <c r="Q23" s="429"/>
      <c r="R23" s="429"/>
      <c r="S23" s="429"/>
      <c r="T23" s="429"/>
      <c r="U23" s="429"/>
      <c r="V23" s="429"/>
      <c r="W23" s="429"/>
      <c r="X23" s="429"/>
      <c r="Y23" s="391"/>
      <c r="Z23" s="391"/>
      <c r="AA23" s="391"/>
      <c r="AB23" s="391"/>
      <c r="AC23" s="391"/>
      <c r="AD23" s="391"/>
      <c r="AE23" s="391"/>
      <c r="AF23" s="391"/>
      <c r="AG23" s="391"/>
      <c r="AH23" s="391"/>
      <c r="AI23" s="391"/>
      <c r="AJ23" s="391"/>
      <c r="AK23" s="391"/>
      <c r="AL23" s="391"/>
      <c r="AM23" s="391"/>
      <c r="AN23" s="391"/>
      <c r="AO23" s="391"/>
      <c r="AP23" s="391"/>
    </row>
    <row r="24" spans="1:42" s="366" customFormat="1" ht="14.1">
      <c r="A24" s="391"/>
      <c r="B24" s="391" t="s">
        <v>217</v>
      </c>
      <c r="C24" s="391"/>
      <c r="D24" s="529">
        <f ca="1">IFERROR(SMALL(K6:K17,2),"")</f>
        <v>0.3160221275415469</v>
      </c>
      <c r="E24" s="531">
        <f ca="1">IFERROR(SMALL(M6:M17,2),"")</f>
        <v>1.5894420720602025</v>
      </c>
      <c r="F24" s="526">
        <f ca="1">IFERROR(SMALL(O6:O17,2),"")</f>
        <v>2.9447101090188306</v>
      </c>
      <c r="G24" s="529">
        <f>-Inputs!$Q$100+Inputs!$Q$101</f>
        <v>43805</v>
      </c>
      <c r="H24" s="531">
        <f>+Inputs!$Q$102</f>
        <v>0</v>
      </c>
      <c r="I24" s="526">
        <f>+Inputs!$Q$103</f>
        <v>86</v>
      </c>
      <c r="J24" s="433">
        <f ca="1">IFERROR(+D24*$D$97+G24+H24+I24,"")</f>
        <v>63722.336569614694</v>
      </c>
      <c r="K24" s="433">
        <f ca="1">IFERROR(E24*$D$100+G24+H24+I24,"")</f>
        <v>66219.482228301727</v>
      </c>
      <c r="L24" s="527">
        <f ca="1">IFERROR(F24*$D$105,"")</f>
        <v>17715.376015857284</v>
      </c>
      <c r="M24" s="532" cm="1">
        <f t="array" aca="1" ref="M24" ca="1">IFERROR(+(J24/_FV($A$6,"Shares outstanding",TRUE)*1000000)/$P$24-1,"")</f>
        <v>-0.76278081805009035</v>
      </c>
      <c r="N24" s="532" cm="1">
        <f t="array" aca="1" ref="N24" ca="1">IFERROR((+K24/_FV($A$6,"Shares outstanding",TRUE)*1000000)/$P$24-1,"")</f>
        <v>-0.75348469235456816</v>
      </c>
      <c r="O24" s="532" cm="1">
        <f t="array" aca="1" ref="O24" ca="1">IFERROR(+(L24/_FV($A$6,"Shares outstanding",TRUE)*1000000)/$P$24-1,"")</f>
        <v>-0.93405095869600308</v>
      </c>
      <c r="P24" s="537" cm="1">
        <f t="array" aca="1" ref="P24" ca="1">+_FV(A6,"Price")</f>
        <v>288.37</v>
      </c>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391"/>
      <c r="AP24" s="391"/>
    </row>
    <row r="25" spans="1:42" ht="14.1">
      <c r="B25" s="391" t="s">
        <v>201</v>
      </c>
      <c r="C25" s="391"/>
      <c r="D25" s="529">
        <f ca="1">+IFERROR(AVERAGE(K6:K17),"")</f>
        <v>10.117117707794197</v>
      </c>
      <c r="E25" s="531">
        <f ca="1">IFERROR(+AVERAGE(M6:M17),"")</f>
        <v>50.500408349716082</v>
      </c>
      <c r="F25" s="526">
        <f ca="1">IFERROR(+AVERAGE(O6:O17),"")</f>
        <v>89.967069449990717</v>
      </c>
      <c r="G25" s="529">
        <f>-Inputs!$Q$100+Inputs!$Q$101</f>
        <v>43805</v>
      </c>
      <c r="H25" s="531">
        <f>+Inputs!$Q$102</f>
        <v>0</v>
      </c>
      <c r="I25" s="526">
        <f>+Inputs!$Q$103</f>
        <v>86</v>
      </c>
      <c r="J25" s="433">
        <f ca="1">IFERROR(+D25*$D$97+G25+H25+I25,"")</f>
        <v>678770.48751720926</v>
      </c>
      <c r="K25" s="433">
        <f ca="1">IFERROR(E25*$D$100+G25+H25+I25,"")</f>
        <v>753320.7364968115</v>
      </c>
      <c r="L25" s="527">
        <f ca="1">IFERROR(+F25*$D$105,"")</f>
        <v>541241.88981114421</v>
      </c>
      <c r="M25" s="532" cm="1">
        <f t="array" aca="1" ref="M25" ca="1">IFERROR(+(J25/_FV($A$6,"Shares outstanding",TRUE)*1000000)/$P$24-1,"")</f>
        <v>1.5268593157231014</v>
      </c>
      <c r="N25" s="532" cm="1">
        <f t="array" aca="1" ref="N25" ca="1">IFERROR((+K25/_FV($A$6,"Shares outstanding",TRUE)*1000000)/$P$24-1,"")</f>
        <v>1.8043875739310109</v>
      </c>
      <c r="O25" s="532" cm="1">
        <f t="array" aca="1" ref="O25" ca="1">IFERROR(+(L25/_FV($A$6,"Shares outstanding",TRUE)*1000000)/$P$24-1,"")</f>
        <v>1.0148815195713579</v>
      </c>
      <c r="P25" s="533"/>
    </row>
    <row r="26" spans="1:42" s="366" customFormat="1" ht="14.1">
      <c r="A26" s="391"/>
      <c r="B26" s="391" t="s">
        <v>218</v>
      </c>
      <c r="C26" s="391"/>
      <c r="D26" s="529">
        <f ca="1">IFERROR(MEDIAN(K6:K17),"")</f>
        <v>1.4119741434437914</v>
      </c>
      <c r="E26" s="531">
        <f ca="1">IFERROR(MEDIAN(M6:M17),"")</f>
        <v>7.101563190241106</v>
      </c>
      <c r="F26" s="526">
        <f ca="1">IFERROR(MEDIAN(O6:O17),"")</f>
        <v>12.73485574275961</v>
      </c>
      <c r="G26" s="529">
        <f>-Inputs!$Q$100+Inputs!$Q$101</f>
        <v>43805</v>
      </c>
      <c r="H26" s="531">
        <f>+Inputs!$Q$102</f>
        <v>0</v>
      </c>
      <c r="I26" s="526">
        <f>+Inputs!$Q$103</f>
        <v>86</v>
      </c>
      <c r="J26" s="433">
        <f ca="1">IFERROR(D26*$D$97+G26+H26+I26,"")</f>
        <v>132496.61342352824</v>
      </c>
      <c r="K26" s="433">
        <f ca="1">IFERROR(E26*$D$100+G26+H26+I26,"")</f>
        <v>143653.75969650707</v>
      </c>
      <c r="L26" s="527">
        <f ca="1">IFERROR(+F26*$D$105,"")</f>
        <v>76612.89214844181</v>
      </c>
      <c r="M26" s="532" cm="1">
        <f t="array" aca="1" ref="M26" ca="1">IFERROR(+(J26/_FV($A$6,"Shares outstanding",TRUE)*1000000)/$P$24-1,"")</f>
        <v>-0.50675477486413778</v>
      </c>
      <c r="N26" s="532" cm="1">
        <f t="array" aca="1" ref="N26" ca="1">IFERROR((+K26/_FV($A$6,"Shares outstanding",TRUE)*1000000)/$P$24-1,"")</f>
        <v>-0.46522005949976786</v>
      </c>
      <c r="O26" s="532" cm="1">
        <f t="array" aca="1" ref="O26" ca="1">+IFERROR((L26/_FV($A$6,"Shares outstanding",TRUE)*1000000)/$P$24-1,"")</f>
        <v>-0.71479313878555861</v>
      </c>
      <c r="P26" s="534"/>
      <c r="Q26" s="391"/>
      <c r="R26" s="391"/>
      <c r="S26" s="391"/>
      <c r="T26" s="391"/>
      <c r="U26" s="391"/>
      <c r="V26" s="391"/>
      <c r="W26" s="391"/>
      <c r="X26" s="391"/>
      <c r="Y26" s="391"/>
      <c r="Z26" s="391"/>
      <c r="AA26" s="391"/>
      <c r="AB26" s="391"/>
      <c r="AC26" s="391"/>
      <c r="AD26" s="391"/>
      <c r="AE26" s="391"/>
      <c r="AF26" s="391"/>
      <c r="AG26" s="391"/>
      <c r="AH26" s="391"/>
      <c r="AI26" s="391"/>
      <c r="AJ26" s="391"/>
      <c r="AK26" s="391"/>
      <c r="AL26" s="391"/>
      <c r="AM26" s="391"/>
      <c r="AN26" s="391"/>
      <c r="AO26" s="391"/>
      <c r="AP26" s="391"/>
    </row>
    <row r="27" spans="1:42" s="366" customFormat="1" ht="14.1">
      <c r="A27" s="391"/>
      <c r="B27" s="391" t="s">
        <v>219</v>
      </c>
      <c r="C27" s="391"/>
      <c r="D27" s="529">
        <f ca="1">IFERROR(LARGE(K6:K17,2),"")</f>
        <v>12.556020740717914</v>
      </c>
      <c r="E27" s="531">
        <f ca="1">IFERROR(LARGE(M6:M17,2),"")</f>
        <v>63.150855220838402</v>
      </c>
      <c r="F27" s="526">
        <f ca="1">IFERROR(LARGE(O6:O17,2),"")</f>
        <v>112.28468780971259</v>
      </c>
      <c r="G27" s="529">
        <f>-Inputs!$Q$100+Inputs!$Q$101</f>
        <v>43805</v>
      </c>
      <c r="H27" s="531">
        <f>+Inputs!$Q$102</f>
        <v>0</v>
      </c>
      <c r="I27" s="526">
        <f>+Inputs!$Q$103</f>
        <v>86</v>
      </c>
      <c r="J27" s="433">
        <f ca="1">IFERROR(+D27*$D$97+G27+H27+I27,"")</f>
        <v>831818.96954227122</v>
      </c>
      <c r="K27" s="433">
        <f ca="1">IFERROR(E27*$D$100+G27+H27+I27,"")</f>
        <v>931034.21414233791</v>
      </c>
      <c r="L27" s="527">
        <f ca="1">IFERROR(+F27*$D$105,"")</f>
        <v>675504.681863231</v>
      </c>
      <c r="M27" s="532" cm="1">
        <f t="array" aca="1" ref="M27" ca="1">IFERROR(+(J27/_FV($A$6,"Shares outstanding",TRUE)*1000000)/$P$24-1,"")</f>
        <v>2.096612994874484</v>
      </c>
      <c r="N27" s="532" cm="1">
        <f t="array" aca="1" ref="N27" ca="1">IFERROR((+K27/_FV($A$6,"Shares outstanding",TRUE)*1000000)/$P$24-1,"")</f>
        <v>2.4659616476075166</v>
      </c>
      <c r="O27" s="532" cm="1">
        <f t="array" aca="1" ref="O27" ca="1">IFERROR(+(L27/_FV($A$6,"Shares outstanding",TRUE)*1000000)/$P$24-1,"")</f>
        <v>1.5147016989854012</v>
      </c>
      <c r="P27" s="534"/>
      <c r="Q27" s="391"/>
      <c r="R27" s="391"/>
      <c r="S27" s="391"/>
      <c r="T27" s="391"/>
      <c r="U27" s="391"/>
      <c r="V27" s="391"/>
      <c r="W27" s="391"/>
      <c r="X27" s="391"/>
      <c r="Y27" s="391"/>
      <c r="Z27" s="391"/>
      <c r="AA27" s="391"/>
      <c r="AB27" s="391"/>
      <c r="AC27" s="391"/>
      <c r="AD27" s="391"/>
      <c r="AE27" s="391"/>
      <c r="AF27" s="391"/>
      <c r="AG27" s="391"/>
      <c r="AH27" s="391"/>
      <c r="AI27" s="391"/>
      <c r="AJ27" s="391"/>
      <c r="AK27" s="391"/>
      <c r="AL27" s="391"/>
      <c r="AM27" s="391"/>
      <c r="AN27" s="391"/>
      <c r="AO27" s="391"/>
      <c r="AP27" s="391"/>
    </row>
    <row r="28" spans="1:42" s="366" customFormat="1" ht="14.25" customHeight="1">
      <c r="A28" s="391"/>
      <c r="B28" s="391"/>
      <c r="C28" s="391"/>
      <c r="D28" s="391"/>
      <c r="E28" s="391"/>
      <c r="F28" s="391"/>
      <c r="G28" s="391"/>
      <c r="H28" s="391"/>
      <c r="I28" s="391"/>
      <c r="J28" s="391"/>
      <c r="K28" s="391"/>
      <c r="L28" s="391"/>
      <c r="M28" s="391"/>
      <c r="N28" s="391"/>
      <c r="O28" s="435"/>
      <c r="P28" s="391"/>
      <c r="Q28" s="391"/>
      <c r="R28" s="391"/>
      <c r="S28" s="391"/>
      <c r="T28" s="391"/>
      <c r="U28" s="391"/>
      <c r="V28" s="391"/>
      <c r="W28" s="391"/>
      <c r="X28" s="391"/>
      <c r="Y28" s="391"/>
      <c r="Z28" s="391"/>
      <c r="AA28" s="391"/>
      <c r="AB28" s="391"/>
      <c r="AC28" s="391"/>
      <c r="AD28" s="391"/>
      <c r="AE28" s="391"/>
      <c r="AF28" s="391"/>
      <c r="AG28" s="391"/>
      <c r="AH28" s="391"/>
      <c r="AI28" s="391"/>
      <c r="AJ28" s="391"/>
      <c r="AK28" s="391"/>
      <c r="AL28" s="391"/>
      <c r="AM28" s="391"/>
      <c r="AN28" s="391"/>
      <c r="AO28" s="391"/>
      <c r="AP28" s="391"/>
    </row>
    <row r="29" spans="1:42" s="369" customFormat="1" ht="14.25" customHeight="1">
      <c r="A29" s="400"/>
      <c r="B29" s="605" t="s">
        <v>220</v>
      </c>
      <c r="C29" s="606"/>
      <c r="D29" s="376" t="str">
        <f ca="1">+LEFT(B6, FIND(" ", B6 &amp; " ") - 1)</f>
        <v>INTERNATIONAL</v>
      </c>
      <c r="E29" s="376" t="str">
        <f ca="1">+LEFT(B8, FIND(" ", B8 &amp; " ") - 1)</f>
        <v>ACCENTURE</v>
      </c>
      <c r="F29" s="376" t="str">
        <f ca="1">+LEFT(B9, FIND(" ", B9 &amp; " ") - 1)</f>
        <v>Capgemini</v>
      </c>
      <c r="G29" s="376" t="str">
        <f ca="1">+LEFT(B10, FIND(" ", B10 &amp; " ") - 1)</f>
        <v>MICROSOFT</v>
      </c>
      <c r="H29" s="376" t="str">
        <f ca="1">+LEFT(B11, FIND(" ", B11 &amp; " ") - 1)</f>
        <v>ORACLE</v>
      </c>
      <c r="I29" s="376" t="str">
        <f ca="1">+LEFT(B12, FIND(" ", B12 &amp; " ") - 1)</f>
        <v>HEWLETT</v>
      </c>
      <c r="J29" s="376" t="str">
        <f ca="1">+LEFT(B13, FIND(" ", B13 &amp; " ") - 1)</f>
        <v>IONQ</v>
      </c>
      <c r="K29" s="376" t="str">
        <f ca="1">+LEFT(B14, FIND(" ", B14 &amp; " ") - 1)</f>
        <v>Rigetti</v>
      </c>
      <c r="L29" s="376" t="str">
        <f>+LEFT(B15, FIND(" ", B15 &amp; " ") - 1)</f>
        <v/>
      </c>
      <c r="M29" s="376" t="str">
        <f>+LEFT(B16, FIND(" ", B16 &amp; " ") - 1)</f>
        <v/>
      </c>
      <c r="N29" s="376" t="str">
        <f>+LEFT(B17, FIND(" ", B17 &amp; " ") - 1)</f>
        <v/>
      </c>
      <c r="O29" s="436" t="s">
        <v>201</v>
      </c>
      <c r="P29" s="400"/>
      <c r="Q29" s="400" t="s">
        <v>221</v>
      </c>
      <c r="R29" s="400"/>
      <c r="S29" s="400"/>
      <c r="T29" s="400"/>
      <c r="U29" s="400"/>
      <c r="V29" s="400"/>
      <c r="W29" s="400"/>
      <c r="X29" s="400"/>
      <c r="Y29" s="400"/>
      <c r="Z29" s="400"/>
      <c r="AA29" s="400"/>
      <c r="AB29" s="400"/>
      <c r="AC29" s="400"/>
      <c r="AD29" s="400"/>
      <c r="AE29" s="400"/>
      <c r="AF29" s="400"/>
      <c r="AG29" s="400"/>
      <c r="AH29" s="400"/>
      <c r="AI29" s="400"/>
      <c r="AJ29" s="400"/>
      <c r="AK29" s="400"/>
      <c r="AL29" s="400"/>
      <c r="AM29" s="400"/>
      <c r="AN29" s="400"/>
      <c r="AO29" s="400"/>
      <c r="AP29" s="400"/>
    </row>
    <row r="30" spans="1:42" s="366" customFormat="1" ht="3.75" customHeight="1">
      <c r="A30" s="391"/>
      <c r="B30" s="426"/>
      <c r="C30" s="426"/>
      <c r="D30" s="426"/>
      <c r="E30" s="426"/>
      <c r="F30" s="426"/>
      <c r="G30" s="426"/>
      <c r="H30" s="426"/>
      <c r="I30" s="426"/>
      <c r="J30" s="426"/>
      <c r="K30" s="426"/>
      <c r="L30" s="426"/>
      <c r="M30" s="426"/>
      <c r="N30" s="426"/>
      <c r="O30" s="437"/>
      <c r="P30" s="391"/>
      <c r="Q30" s="391"/>
      <c r="R30" s="438"/>
      <c r="S30" s="391"/>
      <c r="T30" s="391"/>
      <c r="U30" s="391"/>
      <c r="V30" s="391"/>
      <c r="W30" s="391"/>
      <c r="X30" s="391"/>
      <c r="Y30" s="391"/>
      <c r="Z30" s="391"/>
      <c r="AA30" s="391"/>
      <c r="AB30" s="391"/>
      <c r="AC30" s="391"/>
      <c r="AD30" s="391"/>
      <c r="AE30" s="391"/>
      <c r="AF30" s="391"/>
      <c r="AG30" s="391"/>
      <c r="AH30" s="391"/>
      <c r="AI30" s="391"/>
      <c r="AJ30" s="391"/>
      <c r="AK30" s="391"/>
      <c r="AL30" s="391"/>
      <c r="AM30" s="391"/>
      <c r="AN30" s="391"/>
      <c r="AO30" s="391"/>
      <c r="AP30" s="391"/>
    </row>
    <row r="31" spans="1:42" s="366" customFormat="1" ht="14.25" customHeight="1">
      <c r="A31" s="391"/>
      <c r="B31" s="391" t="s">
        <v>222</v>
      </c>
      <c r="C31" s="391"/>
      <c r="D31" s="439">
        <f>IFERROR(D101/D97,"")</f>
        <v>0.14949086099469347</v>
      </c>
      <c r="E31" s="439">
        <f t="shared" ref="E31:N31" si="1">IFERROR(E101/E97,"")</f>
        <v>0.15462004884701022</v>
      </c>
      <c r="F31" s="439">
        <f t="shared" si="1"/>
        <v>0.11522447501810282</v>
      </c>
      <c r="G31" s="439">
        <f t="shared" si="1"/>
        <v>0.44644299573273716</v>
      </c>
      <c r="H31" s="439">
        <f t="shared" si="1"/>
        <v>0.30344970827590112</v>
      </c>
      <c r="I31" s="439">
        <f t="shared" si="1"/>
        <v>8.2683307332293288E-2</v>
      </c>
      <c r="J31" s="439">
        <f t="shared" si="1"/>
        <v>-5.3967682771109509</v>
      </c>
      <c r="K31" s="439">
        <f t="shared" si="1"/>
        <v>-6.9894346617238181</v>
      </c>
      <c r="L31" s="439" t="str">
        <f t="shared" si="1"/>
        <v/>
      </c>
      <c r="M31" s="439" t="str">
        <f t="shared" si="1"/>
        <v/>
      </c>
      <c r="N31" s="439" t="str">
        <f t="shared" si="1"/>
        <v/>
      </c>
      <c r="O31" s="678">
        <f t="shared" ref="O31:O36" si="2">IFERROR(+AVERAGE(D31:N31),"")</f>
        <v>-1.3917864428292539</v>
      </c>
      <c r="P31" s="391"/>
      <c r="Q31" s="391"/>
      <c r="R31" s="438"/>
      <c r="S31" s="391"/>
      <c r="T31" s="391"/>
      <c r="U31" s="391"/>
      <c r="V31" s="391"/>
      <c r="W31" s="391"/>
      <c r="X31" s="391"/>
      <c r="Y31" s="391"/>
      <c r="Z31" s="391"/>
      <c r="AA31" s="391"/>
      <c r="AB31" s="391"/>
      <c r="AC31" s="391"/>
      <c r="AD31" s="391"/>
      <c r="AE31" s="391"/>
      <c r="AF31" s="391"/>
      <c r="AG31" s="391"/>
      <c r="AH31" s="391"/>
      <c r="AI31" s="391"/>
      <c r="AJ31" s="391"/>
      <c r="AK31" s="391"/>
      <c r="AL31" s="391"/>
      <c r="AM31" s="391"/>
      <c r="AN31" s="391"/>
      <c r="AO31" s="391"/>
      <c r="AP31" s="391"/>
    </row>
    <row r="32" spans="1:42" s="366" customFormat="1" ht="14.25" customHeight="1">
      <c r="A32" s="391"/>
      <c r="B32" s="391" t="s">
        <v>223</v>
      </c>
      <c r="C32" s="391"/>
      <c r="D32" s="439">
        <f>IFERROR(D105/D97,"")</f>
        <v>9.5867926632989653E-2</v>
      </c>
      <c r="E32" s="439">
        <f t="shared" ref="E32:N32" si="3">IFERROR(E105/E97,"")</f>
        <v>0.11194440378140579</v>
      </c>
      <c r="F32" s="439">
        <f t="shared" si="3"/>
        <v>7.5624547429398989E-2</v>
      </c>
      <c r="G32" s="439">
        <f t="shared" si="3"/>
        <v>0.35955972944084985</v>
      </c>
      <c r="H32" s="439">
        <f t="shared" si="3"/>
        <v>0.19763599629916354</v>
      </c>
      <c r="I32" s="439">
        <f t="shared" si="3"/>
        <v>8.5604275234839183E-2</v>
      </c>
      <c r="J32" s="439">
        <f t="shared" si="3"/>
        <v>-7.698281034522787</v>
      </c>
      <c r="K32" s="439">
        <f t="shared" si="3"/>
        <v>-7.1616311399443928</v>
      </c>
      <c r="L32" s="439" t="str">
        <f t="shared" si="3"/>
        <v/>
      </c>
      <c r="M32" s="439" t="str">
        <f t="shared" si="3"/>
        <v/>
      </c>
      <c r="N32" s="439" t="str">
        <f t="shared" si="3"/>
        <v/>
      </c>
      <c r="O32" s="678">
        <f t="shared" si="2"/>
        <v>-1.7417094119560668</v>
      </c>
      <c r="P32" s="391"/>
      <c r="Q32" s="391"/>
      <c r="R32" s="438"/>
      <c r="S32" s="391"/>
      <c r="T32" s="391"/>
      <c r="U32" s="391"/>
      <c r="V32" s="391"/>
      <c r="W32" s="391"/>
      <c r="X32" s="391"/>
      <c r="Y32" s="391"/>
      <c r="Z32" s="391"/>
      <c r="AA32" s="391"/>
      <c r="AB32" s="391"/>
      <c r="AC32" s="391"/>
      <c r="AD32" s="391"/>
      <c r="AE32" s="391"/>
      <c r="AF32" s="391"/>
      <c r="AG32" s="391"/>
      <c r="AH32" s="391"/>
      <c r="AI32" s="391"/>
      <c r="AJ32" s="391"/>
      <c r="AK32" s="391"/>
      <c r="AL32" s="391"/>
      <c r="AM32" s="391"/>
      <c r="AN32" s="391"/>
      <c r="AO32" s="391"/>
      <c r="AP32" s="391"/>
    </row>
    <row r="33" spans="2:18" s="366" customFormat="1" ht="14.25" customHeight="1">
      <c r="B33" s="391" t="s">
        <v>224</v>
      </c>
      <c r="C33" s="391"/>
      <c r="D33" s="439">
        <f>IFERROR(D105/D117,"")</f>
        <v>4.3856387825770005E-2</v>
      </c>
      <c r="E33" s="439">
        <f t="shared" ref="E33:N33" si="4">IFERROR(E105/E117,"")</f>
        <v>0.12988536161509251</v>
      </c>
      <c r="F33" s="439">
        <f t="shared" si="4"/>
        <v>6.5120810600155885E-2</v>
      </c>
      <c r="G33" s="439">
        <f t="shared" si="4"/>
        <v>0.17208583985957596</v>
      </c>
      <c r="H33" s="439">
        <f t="shared" si="4"/>
        <v>7.4246680286006131E-2</v>
      </c>
      <c r="I33" s="439">
        <f t="shared" si="4"/>
        <v>3.6190396003480119E-2</v>
      </c>
      <c r="J33" s="439">
        <f t="shared" si="4"/>
        <v>-0.6522342364493261</v>
      </c>
      <c r="K33" s="439">
        <f t="shared" si="4"/>
        <v>-0.27133963277818157</v>
      </c>
      <c r="L33" s="439" t="str">
        <f t="shared" si="4"/>
        <v/>
      </c>
      <c r="M33" s="439" t="str">
        <f t="shared" si="4"/>
        <v/>
      </c>
      <c r="N33" s="439" t="str">
        <f t="shared" si="4"/>
        <v/>
      </c>
      <c r="O33" s="678">
        <f t="shared" si="2"/>
        <v>-5.0273549129678373E-2</v>
      </c>
      <c r="P33" s="391"/>
      <c r="Q33" s="391"/>
      <c r="R33" s="438"/>
    </row>
    <row r="34" spans="2:18" s="366" customFormat="1" ht="14.25" customHeight="1">
      <c r="B34" s="391" t="s">
        <v>225</v>
      </c>
      <c r="C34" s="391"/>
      <c r="D34" s="439">
        <f>IFERROR(+(D102/D121)*(1-(D104/D103)),"")</f>
        <v>2.0192091294662231E-2</v>
      </c>
      <c r="E34" s="439">
        <f t="shared" ref="E34:N34" si="5">IFERROR(+(E102/E121)*(1-(E104/E103)),"")</f>
        <v>-4.0122931989180363E-2</v>
      </c>
      <c r="F34" s="439">
        <f>IFERROR(+(F102/F121)*(1-(F104/F103)),"")</f>
        <v>-3.2606173103630412E-3</v>
      </c>
      <c r="G34" s="439">
        <f t="shared" si="5"/>
        <v>2.4525922457934141E-2</v>
      </c>
      <c r="H34" s="439">
        <f t="shared" si="5"/>
        <v>2.8905122533439877E-2</v>
      </c>
      <c r="I34" s="439">
        <f t="shared" si="5"/>
        <v>5.156532547797338E-3</v>
      </c>
      <c r="J34" s="439">
        <f t="shared" si="5"/>
        <v>-1.0295629476487831</v>
      </c>
      <c r="K34" s="439">
        <f t="shared" si="5"/>
        <v>0.21113636363636365</v>
      </c>
      <c r="L34" s="439" t="str">
        <f t="shared" si="5"/>
        <v/>
      </c>
      <c r="M34" s="439" t="str">
        <f t="shared" si="5"/>
        <v/>
      </c>
      <c r="N34" s="439" t="str">
        <f t="shared" si="5"/>
        <v/>
      </c>
      <c r="O34" s="678">
        <f t="shared" si="2"/>
        <v>-9.7878808059766148E-2</v>
      </c>
      <c r="P34" s="391"/>
      <c r="Q34" s="391"/>
      <c r="R34" s="438"/>
    </row>
    <row r="35" spans="2:18" s="366" customFormat="1" ht="14.25" customHeight="1">
      <c r="B35" s="391" t="s">
        <v>226</v>
      </c>
      <c r="C35" s="391"/>
      <c r="D35" s="439">
        <f>IFERROR(+D105/D122,"")</f>
        <v>0.21962616822429906</v>
      </c>
      <c r="E35" s="439">
        <f t="shared" ref="E35:N35" si="6">IFERROR(+E105/E122,"")</f>
        <v>0.24906576339986697</v>
      </c>
      <c r="F35" s="439">
        <f t="shared" si="6"/>
        <v>0.14164618123251674</v>
      </c>
      <c r="G35" s="439">
        <f t="shared" si="6"/>
        <v>0.32828137978299815</v>
      </c>
      <c r="H35" s="439">
        <f t="shared" si="6"/>
        <v>1.1329148176209547</v>
      </c>
      <c r="I35" s="439">
        <f t="shared" si="6"/>
        <v>0.10365755627009646</v>
      </c>
      <c r="J35" s="439">
        <f t="shared" si="6"/>
        <v>-0.86382100598652645</v>
      </c>
      <c r="K35" s="439">
        <f t="shared" si="6"/>
        <v>-0.61043218605092064</v>
      </c>
      <c r="L35" s="439" t="str">
        <f t="shared" si="6"/>
        <v/>
      </c>
      <c r="M35" s="439" t="str">
        <f t="shared" si="6"/>
        <v/>
      </c>
      <c r="N35" s="439" t="str">
        <f t="shared" si="6"/>
        <v/>
      </c>
      <c r="O35" s="678">
        <f t="shared" si="2"/>
        <v>8.7617334311660591E-2</v>
      </c>
      <c r="P35" s="391"/>
      <c r="Q35" s="391"/>
      <c r="R35" s="438"/>
    </row>
    <row r="36" spans="2:18" s="366" customFormat="1" ht="14.25" customHeight="1">
      <c r="B36" s="391" t="s">
        <v>227</v>
      </c>
      <c r="C36" s="391"/>
      <c r="D36" s="439">
        <f>IFERROR(+D105/(D121+D122),"")</f>
        <v>5.2147286951351346E-2</v>
      </c>
      <c r="E36" s="439">
        <f t="shared" ref="E36:N36" si="7">IFERROR(+E105/(E121+E122),"")</f>
        <v>0.21823621829629877</v>
      </c>
      <c r="F36" s="439">
        <f>IFERROR(+F105/(F121+F122),"")</f>
        <v>9.3487747566297422E-2</v>
      </c>
      <c r="G36" s="439">
        <f t="shared" si="7"/>
        <v>0.24059247288639446</v>
      </c>
      <c r="H36" s="439">
        <f t="shared" si="7"/>
        <v>0.10092760442781656</v>
      </c>
      <c r="I36" s="439">
        <f t="shared" si="7"/>
        <v>5.7700912833363163E-2</v>
      </c>
      <c r="J36" s="439">
        <f t="shared" si="7"/>
        <v>-0.82569420573873165</v>
      </c>
      <c r="K36" s="439">
        <f t="shared" si="7"/>
        <v>-0.57075537894511374</v>
      </c>
      <c r="L36" s="439" t="str">
        <f t="shared" si="7"/>
        <v/>
      </c>
      <c r="M36" s="439" t="str">
        <f t="shared" si="7"/>
        <v/>
      </c>
      <c r="N36" s="439" t="str">
        <f t="shared" si="7"/>
        <v/>
      </c>
      <c r="O36" s="678">
        <f t="shared" si="2"/>
        <v>-7.9169667715290451E-2</v>
      </c>
      <c r="P36" s="391"/>
      <c r="Q36" s="391"/>
      <c r="R36" s="438"/>
    </row>
    <row r="37" spans="2:18" s="366" customFormat="1" ht="3.75" customHeight="1">
      <c r="B37" s="391"/>
      <c r="C37" s="391"/>
      <c r="D37" s="391"/>
      <c r="E37" s="391"/>
      <c r="F37" s="391"/>
      <c r="G37" s="391"/>
      <c r="H37" s="391"/>
      <c r="I37" s="391"/>
      <c r="J37" s="391"/>
      <c r="K37" s="391"/>
      <c r="L37" s="391"/>
      <c r="M37" s="391"/>
      <c r="N37" s="391"/>
      <c r="O37" s="435"/>
      <c r="P37" s="391"/>
      <c r="Q37" s="391"/>
      <c r="R37" s="438"/>
    </row>
    <row r="38" spans="2:18" s="369" customFormat="1" ht="14.25" customHeight="1">
      <c r="B38" s="605" t="s">
        <v>228</v>
      </c>
      <c r="C38" s="606"/>
      <c r="D38" s="376" t="str">
        <f ca="1">+D29</f>
        <v>INTERNATIONAL</v>
      </c>
      <c r="E38" s="376" t="str">
        <f t="shared" ref="E38:O38" ca="1" si="8">+E29</f>
        <v>ACCENTURE</v>
      </c>
      <c r="F38" s="376" t="str">
        <f t="shared" ca="1" si="8"/>
        <v>Capgemini</v>
      </c>
      <c r="G38" s="376" t="str">
        <f t="shared" ca="1" si="8"/>
        <v>MICROSOFT</v>
      </c>
      <c r="H38" s="376" t="str">
        <f t="shared" ca="1" si="8"/>
        <v>ORACLE</v>
      </c>
      <c r="I38" s="376" t="str">
        <f t="shared" ca="1" si="8"/>
        <v>HEWLETT</v>
      </c>
      <c r="J38" s="376" t="str">
        <f t="shared" ca="1" si="8"/>
        <v>IONQ</v>
      </c>
      <c r="K38" s="376" t="str">
        <f t="shared" ca="1" si="8"/>
        <v>Rigetti</v>
      </c>
      <c r="L38" s="376" t="str">
        <f t="shared" si="8"/>
        <v/>
      </c>
      <c r="M38" s="376" t="str">
        <f t="shared" si="8"/>
        <v/>
      </c>
      <c r="N38" s="376" t="str">
        <f t="shared" si="8"/>
        <v/>
      </c>
      <c r="O38" s="376" t="str">
        <f t="shared" si="8"/>
        <v>Average</v>
      </c>
      <c r="P38" s="400"/>
      <c r="Q38" s="400"/>
      <c r="R38" s="607"/>
    </row>
    <row r="39" spans="2:18" s="366" customFormat="1" ht="3.75" customHeight="1">
      <c r="B39" s="426"/>
      <c r="C39" s="426"/>
      <c r="D39" s="426"/>
      <c r="E39" s="426"/>
      <c r="F39" s="426"/>
      <c r="G39" s="426"/>
      <c r="H39" s="426"/>
      <c r="I39" s="426"/>
      <c r="J39" s="426"/>
      <c r="K39" s="426"/>
      <c r="L39" s="426"/>
      <c r="M39" s="426"/>
      <c r="N39" s="426"/>
      <c r="O39" s="437"/>
      <c r="P39" s="391"/>
      <c r="Q39" s="391"/>
      <c r="R39" s="438"/>
    </row>
    <row r="40" spans="2:18" s="366" customFormat="1" ht="14.25" customHeight="1">
      <c r="B40" s="391" t="s">
        <v>229</v>
      </c>
      <c r="C40" s="391"/>
      <c r="D40" s="440">
        <f>IFERROR(D121/D117,"")</f>
        <v>0.64132343035884931</v>
      </c>
      <c r="E40" s="440">
        <f t="shared" ref="E40:N40" si="9">IFERROR(E121/E117,"")</f>
        <v>7.366928649584141E-2</v>
      </c>
      <c r="F40" s="440">
        <f>IFERROR(F121/F117,"")</f>
        <v>0.23682774746687452</v>
      </c>
      <c r="G40" s="440">
        <f t="shared" si="9"/>
        <v>0.19105636291571237</v>
      </c>
      <c r="H40" s="440">
        <f t="shared" si="9"/>
        <v>0.67010696856202479</v>
      </c>
      <c r="I40" s="440">
        <f t="shared" si="9"/>
        <v>0.27807246498835286</v>
      </c>
      <c r="J40" s="440">
        <f t="shared" si="9"/>
        <v>3.4865103031542839E-2</v>
      </c>
      <c r="K40" s="440">
        <f t="shared" si="9"/>
        <v>3.090028688107252E-2</v>
      </c>
      <c r="L40" s="440" t="str">
        <f t="shared" si="9"/>
        <v/>
      </c>
      <c r="M40" s="440" t="str">
        <f t="shared" si="9"/>
        <v/>
      </c>
      <c r="N40" s="440" t="str">
        <f t="shared" si="9"/>
        <v/>
      </c>
      <c r="O40" s="677">
        <f t="shared" ref="O40:O42" si="10">IFERROR(+AVERAGE(D40:N40),"")</f>
        <v>0.26960270633753386</v>
      </c>
      <c r="P40" s="391"/>
      <c r="Q40" s="391"/>
      <c r="R40" s="438"/>
    </row>
    <row r="41" spans="2:18" s="366" customFormat="1" ht="14.25" customHeight="1">
      <c r="B41" s="391" t="s">
        <v>230</v>
      </c>
      <c r="C41" s="391"/>
      <c r="D41" s="440">
        <f>IFERROR(+(D121-D111)/D100,"")</f>
        <v>5.2695431064546661</v>
      </c>
      <c r="E41" s="440">
        <f t="shared" ref="E41:N41" si="11">IFERROR(+(E121-E111)/E100,"")</f>
        <v>-6.8510667979012799E-2</v>
      </c>
      <c r="F41" s="440">
        <f>IFERROR(+(F121-F111)/F100,"")</f>
        <v>1.0182719108082998</v>
      </c>
      <c r="G41" s="440">
        <f t="shared" si="11"/>
        <v>0.58796525596008131</v>
      </c>
      <c r="H41" s="440">
        <f t="shared" si="11"/>
        <v>3.6196743728900476</v>
      </c>
      <c r="I41" s="440">
        <f t="shared" si="11"/>
        <v>0.93986384266263234</v>
      </c>
      <c r="J41" s="440">
        <f t="shared" si="11"/>
        <v>0.17150527827278639</v>
      </c>
      <c r="K41" s="440">
        <f t="shared" si="11"/>
        <v>0.85934900014596405</v>
      </c>
      <c r="L41" s="440" t="str">
        <f t="shared" si="11"/>
        <v/>
      </c>
      <c r="M41" s="440" t="str">
        <f t="shared" si="11"/>
        <v/>
      </c>
      <c r="N41" s="440" t="str">
        <f t="shared" si="11"/>
        <v/>
      </c>
      <c r="O41" s="677">
        <f t="shared" si="10"/>
        <v>1.5497077624019333</v>
      </c>
      <c r="P41" s="391"/>
      <c r="Q41" s="391"/>
      <c r="R41" s="438"/>
    </row>
    <row r="42" spans="2:18" s="366" customFormat="1" ht="14.25" customHeight="1">
      <c r="B42" s="391" t="s">
        <v>231</v>
      </c>
      <c r="C42" s="391"/>
      <c r="D42" s="440">
        <f t="shared" ref="D42:N42" si="12">IFERROR(D101/D102,"")</f>
        <v>5.4795560747663554</v>
      </c>
      <c r="E42" s="440">
        <f t="shared" si="12"/>
        <v>-47.043131739334264</v>
      </c>
      <c r="F42" s="440">
        <f>IFERROR(F101/F102,"")</f>
        <v>-94.296296296296291</v>
      </c>
      <c r="G42" s="440">
        <f>IFERROR(G101/G102,"")</f>
        <v>37.285519591141394</v>
      </c>
      <c r="H42" s="440">
        <f t="shared" si="12"/>
        <v>5.2468168462291871</v>
      </c>
      <c r="I42" s="440">
        <f t="shared" si="12"/>
        <v>21.29059829059829</v>
      </c>
      <c r="J42" s="440">
        <f t="shared" si="12"/>
        <v>12.737958244287357</v>
      </c>
      <c r="K42" s="440">
        <f t="shared" si="12"/>
        <v>-40.589881593110874</v>
      </c>
      <c r="L42" s="440" t="str">
        <f t="shared" si="12"/>
        <v/>
      </c>
      <c r="M42" s="440" t="str">
        <f t="shared" si="12"/>
        <v/>
      </c>
      <c r="N42" s="440" t="str">
        <f t="shared" si="12"/>
        <v/>
      </c>
      <c r="O42" s="677">
        <f t="shared" si="10"/>
        <v>-12.486107572714856</v>
      </c>
      <c r="P42" s="391"/>
      <c r="Q42" s="391"/>
      <c r="R42" s="438"/>
    </row>
    <row r="43" spans="2:18" s="366" customFormat="1" ht="3.75" customHeight="1">
      <c r="B43" s="391"/>
      <c r="C43" s="391"/>
      <c r="D43" s="391"/>
      <c r="E43" s="391"/>
      <c r="F43" s="391"/>
      <c r="G43" s="391"/>
      <c r="H43" s="391"/>
      <c r="I43" s="391"/>
      <c r="J43" s="391"/>
      <c r="K43" s="391"/>
      <c r="L43" s="391"/>
      <c r="M43" s="391"/>
      <c r="N43" s="391"/>
      <c r="O43" s="435"/>
      <c r="P43" s="391"/>
      <c r="Q43" s="391"/>
      <c r="R43" s="438"/>
    </row>
    <row r="44" spans="2:18" s="369" customFormat="1" ht="14.25" customHeight="1">
      <c r="B44" s="605" t="s">
        <v>232</v>
      </c>
      <c r="C44" s="606"/>
      <c r="D44" s="376" t="str">
        <f ca="1">+D29</f>
        <v>INTERNATIONAL</v>
      </c>
      <c r="E44" s="376" t="str">
        <f t="shared" ref="E44:O44" ca="1" si="13">+E29</f>
        <v>ACCENTURE</v>
      </c>
      <c r="F44" s="376" t="str">
        <f t="shared" ca="1" si="13"/>
        <v>Capgemini</v>
      </c>
      <c r="G44" s="376" t="str">
        <f t="shared" ca="1" si="13"/>
        <v>MICROSOFT</v>
      </c>
      <c r="H44" s="376" t="str">
        <f t="shared" ca="1" si="13"/>
        <v>ORACLE</v>
      </c>
      <c r="I44" s="376" t="str">
        <f t="shared" ca="1" si="13"/>
        <v>HEWLETT</v>
      </c>
      <c r="J44" s="376" t="str">
        <f t="shared" ca="1" si="13"/>
        <v>IONQ</v>
      </c>
      <c r="K44" s="376" t="str">
        <f t="shared" ca="1" si="13"/>
        <v>Rigetti</v>
      </c>
      <c r="L44" s="376" t="str">
        <f t="shared" si="13"/>
        <v/>
      </c>
      <c r="M44" s="376" t="str">
        <f t="shared" si="13"/>
        <v/>
      </c>
      <c r="N44" s="376" t="str">
        <f t="shared" si="13"/>
        <v/>
      </c>
      <c r="O44" s="376" t="str">
        <f t="shared" si="13"/>
        <v>Average</v>
      </c>
      <c r="P44" s="400"/>
      <c r="Q44" s="400"/>
      <c r="R44" s="607"/>
    </row>
    <row r="45" spans="2:18" s="366" customFormat="1" ht="3.75" customHeight="1">
      <c r="B45" s="426"/>
      <c r="C45" s="426"/>
      <c r="D45" s="426"/>
      <c r="E45" s="426"/>
      <c r="F45" s="426"/>
      <c r="G45" s="426"/>
      <c r="H45" s="426"/>
      <c r="I45" s="426"/>
      <c r="J45" s="426"/>
      <c r="K45" s="426"/>
      <c r="L45" s="426"/>
      <c r="M45" s="426"/>
      <c r="N45" s="426"/>
      <c r="O45" s="437"/>
      <c r="P45" s="391"/>
      <c r="Q45" s="391"/>
      <c r="R45" s="438"/>
    </row>
    <row r="46" spans="2:18" s="366" customFormat="1" ht="14.25" customHeight="1">
      <c r="B46" s="391" t="s">
        <v>55</v>
      </c>
      <c r="C46" s="391"/>
      <c r="D46" s="440">
        <f>IFERROR(D111/D119,"")</f>
        <v>0.42082553859151528</v>
      </c>
      <c r="E46" s="440">
        <f>IFERROR(E111/E119,"")</f>
        <v>0.26372647698947627</v>
      </c>
      <c r="F46" s="440">
        <f t="shared" ref="F46:N46" si="14">IFERROR(F111/F119,"")</f>
        <v>0.36178492670904139</v>
      </c>
      <c r="G46" s="440">
        <f t="shared" si="14"/>
        <v>0.14618552751305014</v>
      </c>
      <c r="H46" s="440">
        <f t="shared" si="14"/>
        <v>0.30956758813086482</v>
      </c>
      <c r="I46" s="440">
        <f t="shared" si="14"/>
        <v>0.57159357794632892</v>
      </c>
      <c r="J46" s="440">
        <f t="shared" si="14"/>
        <v>1.5073576278231953</v>
      </c>
      <c r="K46" s="440">
        <f t="shared" si="14"/>
        <v>5.7027049801971854</v>
      </c>
      <c r="L46" s="440" t="str">
        <f t="shared" si="14"/>
        <v/>
      </c>
      <c r="M46" s="440" t="str">
        <f t="shared" si="14"/>
        <v/>
      </c>
      <c r="N46" s="440" t="str">
        <f t="shared" si="14"/>
        <v/>
      </c>
      <c r="O46" s="677">
        <f t="shared" ref="O46:O48" si="15">IFERROR(+AVERAGE(D46:N46),"")</f>
        <v>1.1604682804875823</v>
      </c>
      <c r="P46" s="391"/>
      <c r="Q46" s="391"/>
      <c r="R46" s="438"/>
    </row>
    <row r="47" spans="2:18" s="366" customFormat="1" ht="14.25" customHeight="1">
      <c r="B47" s="391" t="s">
        <v>58</v>
      </c>
      <c r="C47" s="391"/>
      <c r="D47" s="440">
        <f>IFERROR(+(D111+D112)/D119,"")</f>
        <v>0.6546979663267154</v>
      </c>
      <c r="E47" s="440">
        <f>IFERROR(+(E111+E112)/E119,"")</f>
        <v>0.889429334794821</v>
      </c>
      <c r="F47" s="440">
        <f t="shared" ref="F47:N47" si="16">IFERROR(+(F111+F112)/F119,"")</f>
        <v>0.78181346478142433</v>
      </c>
      <c r="G47" s="440">
        <f t="shared" si="16"/>
        <v>0.60053796912663826</v>
      </c>
      <c r="H47" s="440">
        <f t="shared" si="16"/>
        <v>0.52878518894242965</v>
      </c>
      <c r="I47" s="440">
        <f t="shared" si="16"/>
        <v>0.69618449928772186</v>
      </c>
      <c r="J47" s="440">
        <f t="shared" si="16"/>
        <v>1.6879312733822918</v>
      </c>
      <c r="K47" s="440">
        <f t="shared" si="16"/>
        <v>5.9072217072554141</v>
      </c>
      <c r="L47" s="440" t="str">
        <f t="shared" si="16"/>
        <v/>
      </c>
      <c r="M47" s="440" t="str">
        <f t="shared" si="16"/>
        <v/>
      </c>
      <c r="N47" s="440" t="str">
        <f t="shared" si="16"/>
        <v/>
      </c>
      <c r="O47" s="677">
        <f t="shared" si="15"/>
        <v>1.468325175487182</v>
      </c>
      <c r="P47" s="391"/>
      <c r="Q47" s="391"/>
      <c r="R47" s="438"/>
    </row>
    <row r="48" spans="2:18" s="366" customFormat="1" ht="14.25" customHeight="1">
      <c r="B48" s="391" t="s">
        <v>60</v>
      </c>
      <c r="C48" s="391"/>
      <c r="D48" s="440">
        <f>IFERROR(D115/D119,"")</f>
        <v>1.0404320801400035</v>
      </c>
      <c r="E48" s="440">
        <f t="shared" ref="E48:N48" si="17">IFERROR(E115/E119,"")</f>
        <v>1.0991615769309817</v>
      </c>
      <c r="F48" s="440">
        <f t="shared" si="17"/>
        <v>1.2074198988195615</v>
      </c>
      <c r="G48" s="440">
        <f t="shared" si="17"/>
        <v>1.2749549031815206</v>
      </c>
      <c r="H48" s="440">
        <f t="shared" si="17"/>
        <v>0.71500126806999742</v>
      </c>
      <c r="I48" s="440">
        <f t="shared" si="17"/>
        <v>1.2881453817425788</v>
      </c>
      <c r="J48" s="440">
        <f t="shared" si="17"/>
        <v>10.497492032700569</v>
      </c>
      <c r="K48" s="440">
        <f t="shared" si="17"/>
        <v>17.422937557933764</v>
      </c>
      <c r="L48" s="440" t="str">
        <f t="shared" si="17"/>
        <v/>
      </c>
      <c r="M48" s="440" t="str">
        <f t="shared" si="17"/>
        <v/>
      </c>
      <c r="N48" s="440" t="str">
        <f t="shared" si="17"/>
        <v/>
      </c>
      <c r="O48" s="677">
        <f t="shared" si="15"/>
        <v>4.3181930874398722</v>
      </c>
      <c r="P48" s="391"/>
      <c r="Q48" s="391"/>
      <c r="R48" s="438"/>
    </row>
    <row r="49" spans="2:18" s="366" customFormat="1" ht="3.75" customHeight="1">
      <c r="B49" s="391"/>
      <c r="C49" s="391"/>
      <c r="D49" s="440"/>
      <c r="E49" s="391"/>
      <c r="F49" s="391"/>
      <c r="G49" s="391"/>
      <c r="H49" s="391"/>
      <c r="I49" s="391"/>
      <c r="J49" s="391"/>
      <c r="K49" s="391"/>
      <c r="L49" s="391"/>
      <c r="M49" s="391"/>
      <c r="N49" s="391"/>
      <c r="O49" s="435"/>
      <c r="P49" s="391"/>
      <c r="Q49" s="391"/>
      <c r="R49" s="438"/>
    </row>
    <row r="50" spans="2:18" s="369" customFormat="1" ht="14.25" customHeight="1">
      <c r="B50" s="605" t="s">
        <v>233</v>
      </c>
      <c r="C50" s="606"/>
      <c r="D50" s="376" t="str">
        <f ca="1">+D29</f>
        <v>INTERNATIONAL</v>
      </c>
      <c r="E50" s="376" t="str">
        <f t="shared" ref="E50:O50" ca="1" si="18">+E29</f>
        <v>ACCENTURE</v>
      </c>
      <c r="F50" s="376" t="str">
        <f t="shared" ca="1" si="18"/>
        <v>Capgemini</v>
      </c>
      <c r="G50" s="376" t="str">
        <f t="shared" ca="1" si="18"/>
        <v>MICROSOFT</v>
      </c>
      <c r="H50" s="376" t="str">
        <f t="shared" ca="1" si="18"/>
        <v>ORACLE</v>
      </c>
      <c r="I50" s="376" t="str">
        <f t="shared" ca="1" si="18"/>
        <v>HEWLETT</v>
      </c>
      <c r="J50" s="376" t="str">
        <f t="shared" ca="1" si="18"/>
        <v>IONQ</v>
      </c>
      <c r="K50" s="376" t="str">
        <f t="shared" ca="1" si="18"/>
        <v>Rigetti</v>
      </c>
      <c r="L50" s="376" t="str">
        <f t="shared" si="18"/>
        <v/>
      </c>
      <c r="M50" s="376" t="str">
        <f t="shared" si="18"/>
        <v/>
      </c>
      <c r="N50" s="376" t="str">
        <f t="shared" si="18"/>
        <v/>
      </c>
      <c r="O50" s="376" t="str">
        <f t="shared" si="18"/>
        <v>Average</v>
      </c>
      <c r="P50" s="400"/>
      <c r="Q50" s="400"/>
      <c r="R50" s="607"/>
    </row>
    <row r="51" spans="2:18" s="366" customFormat="1" ht="3.75" customHeight="1">
      <c r="B51" s="426"/>
      <c r="C51" s="426"/>
      <c r="D51" s="426"/>
      <c r="E51" s="426"/>
      <c r="F51" s="426"/>
      <c r="G51" s="426"/>
      <c r="H51" s="426"/>
      <c r="I51" s="426"/>
      <c r="J51" s="426"/>
      <c r="K51" s="426"/>
      <c r="L51" s="426"/>
      <c r="M51" s="426"/>
      <c r="N51" s="426"/>
      <c r="O51" s="437"/>
      <c r="P51" s="391"/>
      <c r="Q51" s="391"/>
      <c r="R51" s="438"/>
    </row>
    <row r="52" spans="2:18" s="366" customFormat="1" ht="14.25" customHeight="1">
      <c r="B52" s="391" t="s">
        <v>234</v>
      </c>
      <c r="C52" s="391"/>
      <c r="D52" s="731">
        <f>IFERROR(D98/(AVERAGE(D113:D114)),"")</f>
        <v>22.204897959183672</v>
      </c>
      <c r="E52" s="731" t="str">
        <f>IFERROR(E98/(AVERAGE(E113:E114)),"0")</f>
        <v>0</v>
      </c>
      <c r="F52" s="731" t="str">
        <f>IFERROR(F98/(AVERAGE(F113:F114)),"0")</f>
        <v>0</v>
      </c>
      <c r="G52" s="731">
        <f t="shared" ref="G52:N52" si="19">IFERROR(G98/(AVERAGE(G113:G114)),"")</f>
        <v>39.569674319273894</v>
      </c>
      <c r="H52" s="731">
        <f t="shared" si="19"/>
        <v>47.920886075949369</v>
      </c>
      <c r="I52" s="731">
        <f t="shared" si="19"/>
        <v>3.1817669324313442</v>
      </c>
      <c r="J52" s="731" t="str">
        <f>IFERROR(J98/(AVERAGE(J113:J114)),"0")</f>
        <v>0</v>
      </c>
      <c r="K52" s="731" t="str">
        <f>IFERROR(K98/(AVERAGE(K113:K114)),"0")</f>
        <v>0</v>
      </c>
      <c r="L52" s="731" t="str">
        <f t="shared" si="19"/>
        <v/>
      </c>
      <c r="M52" s="731" t="str">
        <f t="shared" si="19"/>
        <v/>
      </c>
      <c r="N52" s="731" t="str">
        <f t="shared" si="19"/>
        <v/>
      </c>
      <c r="O52" s="677">
        <f t="shared" ref="O52:O57" si="20">IFERROR(+AVERAGE(D52:N52),"")</f>
        <v>28.219306321709571</v>
      </c>
      <c r="P52" s="391"/>
      <c r="Q52" s="391"/>
      <c r="R52" s="438"/>
    </row>
    <row r="53" spans="2:18" s="366" customFormat="1" ht="14.25" customHeight="1">
      <c r="B53" s="391" t="s">
        <v>235</v>
      </c>
      <c r="C53" s="391"/>
      <c r="D53" s="731">
        <f>IFERROR(D97/D112,"")</f>
        <v>8.0961166301122436</v>
      </c>
      <c r="E53" s="731">
        <f>IFERROR(E97/E112,"")</f>
        <v>5.4657048528643859</v>
      </c>
      <c r="F53" s="731">
        <f t="shared" ref="F53:N53" si="21">IFERROR(F97/F112,"")</f>
        <v>6.8239654107473751</v>
      </c>
      <c r="G53" s="731">
        <f t="shared" si="21"/>
        <v>4.3061274682032185</v>
      </c>
      <c r="H53" s="731">
        <f t="shared" si="21"/>
        <v>7.6588575560375993</v>
      </c>
      <c r="I53" s="731">
        <f t="shared" si="21"/>
        <v>9.3099505562422742</v>
      </c>
      <c r="J53" s="731">
        <f t="shared" si="21"/>
        <v>6.6103437691835483</v>
      </c>
      <c r="K53" s="731">
        <f t="shared" si="21"/>
        <v>4.4458178821590444</v>
      </c>
      <c r="L53" s="731" t="str">
        <f t="shared" si="21"/>
        <v/>
      </c>
      <c r="M53" s="731" t="str">
        <f t="shared" si="21"/>
        <v/>
      </c>
      <c r="N53" s="731" t="str">
        <f t="shared" si="21"/>
        <v/>
      </c>
      <c r="O53" s="677">
        <f t="shared" si="20"/>
        <v>6.5896105156937104</v>
      </c>
      <c r="P53" s="391"/>
      <c r="Q53" s="391"/>
      <c r="R53" s="438"/>
    </row>
    <row r="54" spans="2:18" s="366" customFormat="1" ht="14.25" customHeight="1">
      <c r="B54" s="391" t="s">
        <v>236</v>
      </c>
      <c r="C54" s="391"/>
      <c r="D54" s="731">
        <f>IFERROR(D98/D118,"")</f>
        <v>6.7462797619047619</v>
      </c>
      <c r="E54" s="731">
        <f t="shared" ref="E54:N54" si="22">IFERROR(E98/E118,"")</f>
        <v>15.939244842918578</v>
      </c>
      <c r="F54" s="731">
        <f t="shared" si="22"/>
        <v>9.7710109622411689</v>
      </c>
      <c r="G54" s="731">
        <f t="shared" si="22"/>
        <v>3.3694308056010183</v>
      </c>
      <c r="H54" s="731">
        <f t="shared" si="22"/>
        <v>6.4246924056003394</v>
      </c>
      <c r="I54" s="731">
        <f t="shared" si="22"/>
        <v>1.7854302241503976</v>
      </c>
      <c r="J54" s="731">
        <f t="shared" si="22"/>
        <v>3.9382409177820268</v>
      </c>
      <c r="K54" s="731">
        <f t="shared" si="22"/>
        <v>3.2031446540880504</v>
      </c>
      <c r="L54" s="731" t="str">
        <f t="shared" si="22"/>
        <v/>
      </c>
      <c r="M54" s="731" t="str">
        <f t="shared" si="22"/>
        <v/>
      </c>
      <c r="N54" s="731" t="str">
        <f t="shared" si="22"/>
        <v/>
      </c>
      <c r="O54" s="677">
        <f t="shared" si="20"/>
        <v>6.397184321785792</v>
      </c>
      <c r="P54" s="391"/>
      <c r="Q54" s="391"/>
      <c r="R54" s="438"/>
    </row>
    <row r="55" spans="2:18" s="366" customFormat="1" ht="14.25" customHeight="1">
      <c r="B55" s="391" t="s">
        <v>237</v>
      </c>
      <c r="C55" s="391"/>
      <c r="D55" s="440">
        <f>IFERROR(D97/D116,"")</f>
        <v>10.947836706210747</v>
      </c>
      <c r="E55" s="440">
        <f t="shared" ref="E55:N55" si="23">IFERROR(E97/E116,"")</f>
        <v>15.168049550075962</v>
      </c>
      <c r="F55" s="440">
        <f t="shared" si="23"/>
        <v>13.664811379097094</v>
      </c>
      <c r="G55" s="440">
        <f t="shared" si="23"/>
        <v>1.5860163569542938</v>
      </c>
      <c r="H55" s="440">
        <f t="shared" si="23"/>
        <v>1.8366278263282008</v>
      </c>
      <c r="I55" s="440">
        <f t="shared" si="23"/>
        <v>4.2600395927601813</v>
      </c>
      <c r="J55" s="440">
        <f t="shared" si="23"/>
        <v>0.6921470006909739</v>
      </c>
      <c r="K55" s="440">
        <f t="shared" si="23"/>
        <v>0.20499278060642906</v>
      </c>
      <c r="L55" s="440" t="str">
        <f t="shared" si="23"/>
        <v/>
      </c>
      <c r="M55" s="440" t="str">
        <f t="shared" si="23"/>
        <v/>
      </c>
      <c r="N55" s="440" t="str">
        <f t="shared" si="23"/>
        <v/>
      </c>
      <c r="O55" s="677">
        <f t="shared" si="20"/>
        <v>6.0450651490904859</v>
      </c>
      <c r="P55" s="391"/>
      <c r="Q55" s="391"/>
      <c r="R55" s="438"/>
    </row>
    <row r="56" spans="2:18" s="366" customFormat="1" ht="14.25" customHeight="1">
      <c r="B56" s="391" t="s">
        <v>238</v>
      </c>
      <c r="C56" s="391"/>
      <c r="D56" s="440">
        <f>IFERROR(D97/D117,"")</f>
        <v>0.4574667395662475</v>
      </c>
      <c r="E56" s="440">
        <f t="shared" ref="E56:N56" si="24">IFERROR(E97/E117,"")</f>
        <v>1.1602666790625826</v>
      </c>
      <c r="F56" s="440">
        <f t="shared" si="24"/>
        <v>0.86110678098207327</v>
      </c>
      <c r="G56" s="440">
        <f t="shared" si="24"/>
        <v>0.47860153896318164</v>
      </c>
      <c r="H56" s="440">
        <f t="shared" si="24"/>
        <v>0.375673873567132</v>
      </c>
      <c r="I56" s="440">
        <f t="shared" si="24"/>
        <v>0.4227638853807078</v>
      </c>
      <c r="J56" s="440">
        <f t="shared" si="24"/>
        <v>8.4724659118625936E-2</v>
      </c>
      <c r="K56" s="440">
        <f t="shared" si="24"/>
        <v>3.7887965391678692E-2</v>
      </c>
      <c r="L56" s="440" t="str">
        <f t="shared" si="24"/>
        <v/>
      </c>
      <c r="M56" s="440" t="str">
        <f t="shared" si="24"/>
        <v/>
      </c>
      <c r="N56" s="440" t="str">
        <f t="shared" si="24"/>
        <v/>
      </c>
      <c r="O56" s="677">
        <f t="shared" si="20"/>
        <v>0.4848115152540286</v>
      </c>
      <c r="P56" s="391"/>
      <c r="Q56" s="391"/>
      <c r="R56" s="438"/>
    </row>
    <row r="57" spans="2:18" s="366" customFormat="1" ht="14.25" customHeight="1">
      <c r="B57" s="391" t="s">
        <v>239</v>
      </c>
      <c r="C57" s="391"/>
      <c r="D57" s="732">
        <f>IFERROR(365/D52+365/D53-365/D54,"")</f>
        <v>7.4172641760396019</v>
      </c>
      <c r="E57" s="732" t="str">
        <f>IFERROR(365/E52+365/E53-365/E54,"0")</f>
        <v>0</v>
      </c>
      <c r="F57" s="732" t="str">
        <f>IFERROR(365/F52+365/F53-365/F54,"0")</f>
        <v>0</v>
      </c>
      <c r="G57" s="732">
        <f t="shared" ref="G57:N57" si="25">IFERROR(365/G52+365/G53-365/G54,"")</f>
        <v>-14.339731787402727</v>
      </c>
      <c r="H57" s="732">
        <f t="shared" si="25"/>
        <v>-1.5380994346348587</v>
      </c>
      <c r="I57" s="732">
        <f t="shared" si="25"/>
        <v>-50.511022595382656</v>
      </c>
      <c r="J57" s="732" t="str">
        <f>IFERROR(365/J52+365/J53-365/J54,"0")</f>
        <v>0</v>
      </c>
      <c r="K57" s="732" t="str">
        <f>IFERROR(365/K52+365/K53-365/K54,"0")</f>
        <v>0</v>
      </c>
      <c r="L57" s="732" t="str">
        <f t="shared" si="25"/>
        <v/>
      </c>
      <c r="M57" s="732" t="str">
        <f t="shared" si="25"/>
        <v/>
      </c>
      <c r="N57" s="732" t="str">
        <f t="shared" si="25"/>
        <v/>
      </c>
      <c r="O57" s="677">
        <f t="shared" si="20"/>
        <v>-14.74289741034516</v>
      </c>
      <c r="P57" s="391"/>
      <c r="Q57" s="391"/>
      <c r="R57" s="438"/>
    </row>
    <row r="58" spans="2:18" s="366" customFormat="1" ht="3.95" customHeight="1">
      <c r="B58" s="391"/>
      <c r="C58" s="391"/>
      <c r="D58" s="677"/>
      <c r="E58" s="677"/>
      <c r="F58" s="677"/>
      <c r="G58" s="677"/>
      <c r="H58" s="677"/>
      <c r="I58" s="677"/>
      <c r="J58" s="677"/>
      <c r="K58" s="677"/>
      <c r="L58" s="677"/>
      <c r="M58" s="677"/>
      <c r="N58" s="677"/>
      <c r="O58" s="677"/>
      <c r="P58" s="391"/>
      <c r="Q58" s="391"/>
      <c r="R58" s="438"/>
    </row>
    <row r="59" spans="2:18" s="366" customFormat="1" ht="14.25" customHeight="1">
      <c r="B59" s="605" t="s">
        <v>240</v>
      </c>
      <c r="C59" s="606"/>
      <c r="D59" s="376" t="str">
        <f ca="1">+D38</f>
        <v>INTERNATIONAL</v>
      </c>
      <c r="E59" s="376" t="str">
        <f t="shared" ref="E59:O59" ca="1" si="26">+E38</f>
        <v>ACCENTURE</v>
      </c>
      <c r="F59" s="376" t="str">
        <f t="shared" ca="1" si="26"/>
        <v>Capgemini</v>
      </c>
      <c r="G59" s="376" t="str">
        <f t="shared" ca="1" si="26"/>
        <v>MICROSOFT</v>
      </c>
      <c r="H59" s="376" t="str">
        <f t="shared" ca="1" si="26"/>
        <v>ORACLE</v>
      </c>
      <c r="I59" s="376" t="str">
        <f t="shared" ca="1" si="26"/>
        <v>HEWLETT</v>
      </c>
      <c r="J59" s="376" t="str">
        <f t="shared" ca="1" si="26"/>
        <v>IONQ</v>
      </c>
      <c r="K59" s="376" t="str">
        <f t="shared" ca="1" si="26"/>
        <v>Rigetti</v>
      </c>
      <c r="L59" s="376" t="str">
        <f t="shared" si="26"/>
        <v/>
      </c>
      <c r="M59" s="376" t="str">
        <f t="shared" si="26"/>
        <v/>
      </c>
      <c r="N59" s="376" t="str">
        <f t="shared" si="26"/>
        <v/>
      </c>
      <c r="O59" s="376" t="str">
        <f t="shared" si="26"/>
        <v>Average</v>
      </c>
      <c r="P59" s="391"/>
      <c r="Q59" s="391"/>
      <c r="R59" s="438"/>
    </row>
    <row r="60" spans="2:18" s="366" customFormat="1" ht="3.95" customHeight="1">
      <c r="B60" s="426"/>
      <c r="C60" s="426"/>
      <c r="D60" s="426"/>
      <c r="E60" s="426"/>
      <c r="F60" s="426"/>
      <c r="G60" s="426"/>
      <c r="H60" s="426"/>
      <c r="I60" s="426"/>
      <c r="J60" s="426"/>
      <c r="K60" s="426"/>
      <c r="L60" s="426"/>
      <c r="M60" s="426"/>
      <c r="N60" s="426"/>
      <c r="O60" s="437"/>
      <c r="P60" s="391"/>
      <c r="Q60" s="391"/>
      <c r="R60" s="438"/>
    </row>
    <row r="61" spans="2:18" s="366" customFormat="1" ht="14.25" customHeight="1">
      <c r="B61" s="391" t="s">
        <v>241</v>
      </c>
      <c r="C61" s="391"/>
      <c r="D61" s="678">
        <f t="shared" ref="D61:K61" si="27">IFERROR(D132/D97,"")</f>
        <v>1.7066913135626981E-2</v>
      </c>
      <c r="E61" s="678">
        <f t="shared" si="27"/>
        <v>-6.2262217530991655E-2</v>
      </c>
      <c r="F61" s="678">
        <f t="shared" si="27"/>
        <v>-3.3037653874004341E-2</v>
      </c>
      <c r="G61" s="678">
        <f t="shared" si="27"/>
        <v>-6.6860583709336577E-2</v>
      </c>
      <c r="H61" s="678">
        <f t="shared" si="27"/>
        <v>1.3009573082079265E-2</v>
      </c>
      <c r="I61" s="678">
        <f t="shared" si="27"/>
        <v>0.34932120689082885</v>
      </c>
      <c r="J61" s="678">
        <f t="shared" si="27"/>
        <v>0.43551644881944607</v>
      </c>
      <c r="K61" s="678">
        <f t="shared" si="27"/>
        <v>4.3067655236329934</v>
      </c>
      <c r="L61" s="678" t="str">
        <f t="shared" ref="L61:N61" si="28">IFERROR(L132/L97,"")</f>
        <v/>
      </c>
      <c r="M61" s="678" t="str">
        <f t="shared" si="28"/>
        <v/>
      </c>
      <c r="N61" s="678" t="str">
        <f t="shared" si="28"/>
        <v/>
      </c>
      <c r="O61" s="678">
        <f>IFERROR(+AVERAGE(D61:N61),"")</f>
        <v>0.61993990130583021</v>
      </c>
      <c r="P61" s="391"/>
      <c r="Q61" s="391"/>
      <c r="R61" s="438"/>
    </row>
    <row r="62" spans="2:18" s="366" customFormat="1" ht="14.25" customHeight="1">
      <c r="B62" s="391" t="s">
        <v>242</v>
      </c>
      <c r="C62" s="391"/>
      <c r="D62" s="678">
        <f>IFERROR(D132/D96,"")</f>
        <v>0.14255290829229336</v>
      </c>
      <c r="E62" s="678">
        <f t="shared" ref="E62:N62" si="29">IFERROR(E132/E96,"")</f>
        <v>-0.58801443623028116</v>
      </c>
      <c r="F62" s="678">
        <f t="shared" si="29"/>
        <v>-0.43896572459410704</v>
      </c>
      <c r="G62" s="678">
        <f t="shared" si="29"/>
        <v>-0.2264894072774008</v>
      </c>
      <c r="H62" s="678">
        <f t="shared" si="29"/>
        <v>8.1030224626602379E-2</v>
      </c>
      <c r="I62" s="678">
        <f t="shared" si="29"/>
        <v>5.1970370370370373</v>
      </c>
      <c r="J62" s="678">
        <f t="shared" si="29"/>
        <v>-0.11893632692160501</v>
      </c>
      <c r="K62" s="678">
        <f t="shared" si="29"/>
        <v>-0.61871729665676967</v>
      </c>
      <c r="L62" s="678" t="str">
        <f t="shared" si="29"/>
        <v/>
      </c>
      <c r="M62" s="678" t="str">
        <f t="shared" si="29"/>
        <v/>
      </c>
      <c r="N62" s="678" t="str">
        <f t="shared" si="29"/>
        <v/>
      </c>
      <c r="O62" s="678">
        <f t="shared" ref="O62:O68" si="30">IFERROR(+AVERAGE(D62:N62),"")</f>
        <v>0.42868712228447114</v>
      </c>
      <c r="P62" s="391"/>
      <c r="Q62" s="391"/>
      <c r="R62" s="438"/>
    </row>
    <row r="63" spans="2:18" s="366" customFormat="1" ht="14.25" customHeight="1">
      <c r="B63" s="391" t="s">
        <v>243</v>
      </c>
      <c r="C63" s="391"/>
      <c r="D63" s="678">
        <f>+IFERROR(D126/D105,"")</f>
        <v>2.2348736702127661</v>
      </c>
      <c r="E63" s="678">
        <f t="shared" ref="E63:N63" si="31">+IFERROR(E126/E105,"")</f>
        <v>1.2568825019271006</v>
      </c>
      <c r="F63" s="678">
        <f t="shared" si="31"/>
        <v>1.4099341711549971</v>
      </c>
      <c r="G63" s="678">
        <f t="shared" si="31"/>
        <v>1.3450576381955159</v>
      </c>
      <c r="H63" s="678">
        <f t="shared" si="31"/>
        <v>1.7839877710900927</v>
      </c>
      <c r="I63" s="678">
        <f t="shared" si="31"/>
        <v>1.6832105467235363</v>
      </c>
      <c r="J63" s="678">
        <f t="shared" si="31"/>
        <v>0.31871774972451583</v>
      </c>
      <c r="K63" s="678">
        <f t="shared" si="31"/>
        <v>0.65516215027046609</v>
      </c>
      <c r="L63" s="678" t="str">
        <f t="shared" si="31"/>
        <v/>
      </c>
      <c r="M63" s="678" t="str">
        <f t="shared" si="31"/>
        <v/>
      </c>
      <c r="N63" s="678" t="str">
        <f t="shared" si="31"/>
        <v/>
      </c>
      <c r="O63" s="678">
        <f t="shared" si="30"/>
        <v>1.3359782749123736</v>
      </c>
      <c r="P63" s="391"/>
      <c r="Q63" s="391"/>
      <c r="R63" s="438"/>
    </row>
    <row r="64" spans="2:18" s="366" customFormat="1" ht="14.25" customHeight="1">
      <c r="B64" s="391" t="s">
        <v>244</v>
      </c>
      <c r="C64" s="391"/>
      <c r="D64" s="678">
        <f t="shared" ref="D64:N64" si="32">IFERROR(-D127/D126,"")</f>
        <v>3.6519152101152842E-2</v>
      </c>
      <c r="E64" s="678">
        <f t="shared" si="32"/>
        <v>5.656554594239404E-2</v>
      </c>
      <c r="F64" s="678">
        <f t="shared" si="32"/>
        <v>0.13157894736842105</v>
      </c>
      <c r="G64" s="678">
        <f t="shared" si="32"/>
        <v>0.37518136113641731</v>
      </c>
      <c r="H64" s="678">
        <f t="shared" si="32"/>
        <v>0.36769667434263376</v>
      </c>
      <c r="I64" s="678">
        <f t="shared" si="32"/>
        <v>0.46003225063349457</v>
      </c>
      <c r="J64" s="678">
        <f t="shared" si="32"/>
        <v>-0.22301600068128272</v>
      </c>
      <c r="K64" s="678">
        <f t="shared" si="32"/>
        <v>-0.21921109289509549</v>
      </c>
      <c r="L64" s="678" t="str">
        <f t="shared" si="32"/>
        <v/>
      </c>
      <c r="M64" s="678" t="str">
        <f t="shared" si="32"/>
        <v/>
      </c>
      <c r="N64" s="678" t="str">
        <f t="shared" si="32"/>
        <v/>
      </c>
      <c r="O64" s="678">
        <f t="shared" si="30"/>
        <v>0.12316835474351692</v>
      </c>
      <c r="P64" s="391"/>
      <c r="Q64" s="391"/>
      <c r="R64" s="438"/>
    </row>
    <row r="65" spans="1:52" s="366" customFormat="1" ht="14.25" customHeight="1">
      <c r="A65" s="391"/>
      <c r="B65" s="391" t="s">
        <v>245</v>
      </c>
      <c r="C65" s="391"/>
      <c r="D65" s="678">
        <f>IFERROR(-D128/D126,"")</f>
        <v>0.36719970249163258</v>
      </c>
      <c r="E65" s="678">
        <f t="shared" ref="E65:N65" si="33">IFERROR(-E128/E126,"")</f>
        <v>0.77338736173474976</v>
      </c>
      <c r="F65" s="678">
        <f t="shared" si="33"/>
        <v>0.56748726655348047</v>
      </c>
      <c r="G65" s="678">
        <f t="shared" si="33"/>
        <v>0.81798090225056519</v>
      </c>
      <c r="H65" s="678">
        <f t="shared" si="33"/>
        <v>0.39415198414823543</v>
      </c>
      <c r="I65" s="678">
        <f t="shared" si="33"/>
        <v>1.2209168394379175E-2</v>
      </c>
      <c r="J65" s="678">
        <f t="shared" si="33"/>
        <v>0.78281275134127537</v>
      </c>
      <c r="K65" s="678">
        <f t="shared" si="33"/>
        <v>-1.5478302091769214</v>
      </c>
      <c r="L65" s="678" t="str">
        <f t="shared" si="33"/>
        <v/>
      </c>
      <c r="M65" s="678" t="str">
        <f t="shared" si="33"/>
        <v/>
      </c>
      <c r="N65" s="678" t="str">
        <f t="shared" si="33"/>
        <v/>
      </c>
      <c r="O65" s="678">
        <f t="shared" si="30"/>
        <v>0.27092486596717458</v>
      </c>
      <c r="P65" s="391"/>
      <c r="Q65" s="391"/>
      <c r="R65" s="438"/>
      <c r="S65" s="391"/>
      <c r="T65" s="391"/>
      <c r="U65" s="391"/>
      <c r="V65" s="391"/>
      <c r="W65" s="391"/>
      <c r="X65" s="391"/>
      <c r="Y65" s="391"/>
      <c r="Z65" s="391"/>
      <c r="AA65" s="391"/>
      <c r="AB65" s="391"/>
      <c r="AC65" s="391"/>
      <c r="AD65" s="391"/>
      <c r="AE65" s="391"/>
      <c r="AF65" s="391"/>
      <c r="AG65" s="391"/>
      <c r="AH65" s="391"/>
      <c r="AI65" s="391"/>
      <c r="AJ65" s="391"/>
      <c r="AK65" s="391"/>
      <c r="AL65" s="391"/>
      <c r="AM65" s="391"/>
      <c r="AN65" s="391"/>
      <c r="AO65" s="391"/>
      <c r="AP65" s="391"/>
      <c r="AQ65" s="391"/>
      <c r="AR65" s="391"/>
      <c r="AS65" s="391"/>
      <c r="AT65" s="391"/>
      <c r="AU65" s="391"/>
      <c r="AV65" s="391"/>
      <c r="AW65" s="391"/>
      <c r="AX65" s="391"/>
      <c r="AY65" s="391"/>
      <c r="AZ65" s="391"/>
    </row>
    <row r="66" spans="1:52" s="366" customFormat="1" ht="14.25" customHeight="1">
      <c r="A66" s="391"/>
      <c r="B66" s="391" t="s">
        <v>246</v>
      </c>
      <c r="C66" s="391"/>
      <c r="D66" s="678">
        <f>IFERROR((D129+D130)/D126,"")</f>
        <v>-6.5451840833023425E-2</v>
      </c>
      <c r="E66" s="678">
        <f t="shared" ref="E66:N66" si="34">IFERROR((E129+E130)/E126,"")</f>
        <v>-7.5851494907458114E-2</v>
      </c>
      <c r="F66" s="678">
        <f t="shared" si="34"/>
        <v>1.4448217317487266</v>
      </c>
      <c r="G66" s="678">
        <f t="shared" si="34"/>
        <v>0.17133144380335391</v>
      </c>
      <c r="H66" s="678">
        <f t="shared" si="34"/>
        <v>3.8878059229904141</v>
      </c>
      <c r="I66" s="678">
        <f t="shared" si="34"/>
        <v>2.0117484450587422</v>
      </c>
      <c r="J66" s="678">
        <f t="shared" si="34"/>
        <v>0</v>
      </c>
      <c r="K66" s="678">
        <f t="shared" si="34"/>
        <v>0.46078179627471505</v>
      </c>
      <c r="L66" s="678" t="str">
        <f t="shared" si="34"/>
        <v/>
      </c>
      <c r="M66" s="678" t="str">
        <f t="shared" si="34"/>
        <v/>
      </c>
      <c r="N66" s="678" t="str">
        <f t="shared" si="34"/>
        <v/>
      </c>
      <c r="O66" s="678">
        <f t="shared" si="30"/>
        <v>0.97939825051693374</v>
      </c>
      <c r="P66" s="391"/>
      <c r="Q66" s="391"/>
      <c r="R66" s="438"/>
      <c r="S66" s="391"/>
      <c r="T66" s="391"/>
      <c r="U66" s="391"/>
      <c r="V66" s="391"/>
      <c r="W66" s="391"/>
      <c r="X66" s="391"/>
      <c r="Y66" s="391"/>
      <c r="Z66" s="391"/>
      <c r="AA66" s="391"/>
      <c r="AB66" s="391"/>
      <c r="AC66" s="391"/>
      <c r="AD66" s="391"/>
      <c r="AE66" s="391"/>
      <c r="AF66" s="391"/>
      <c r="AG66" s="391"/>
      <c r="AH66" s="391"/>
      <c r="AI66" s="391"/>
      <c r="AJ66" s="391"/>
      <c r="AK66" s="391"/>
      <c r="AL66" s="391"/>
      <c r="AM66" s="391"/>
      <c r="AN66" s="391"/>
      <c r="AO66" s="391"/>
      <c r="AP66" s="391"/>
      <c r="AQ66" s="391"/>
      <c r="AR66" s="391"/>
      <c r="AS66" s="391"/>
      <c r="AT66" s="391"/>
      <c r="AU66" s="391"/>
      <c r="AV66" s="391"/>
      <c r="AW66" s="391"/>
      <c r="AX66" s="391"/>
      <c r="AY66" s="391"/>
      <c r="AZ66" s="391"/>
    </row>
    <row r="67" spans="1:52" s="366" customFormat="1" ht="14.25" customHeight="1">
      <c r="A67" s="391"/>
      <c r="B67" s="391" t="s">
        <v>247</v>
      </c>
      <c r="C67" s="391"/>
      <c r="D67" s="678">
        <f>+IFERROR(-D130/D129,"")</f>
        <v>1.1534437663469921</v>
      </c>
      <c r="E67" s="678">
        <f t="shared" ref="E67:N67" si="35">+IFERROR(-E130/E129,"")</f>
        <v>9.8117048346055995</v>
      </c>
      <c r="F67" s="678">
        <f t="shared" si="35"/>
        <v>0.33825816485225507</v>
      </c>
      <c r="G67" s="678">
        <f t="shared" si="35"/>
        <v>0.58868795690650255</v>
      </c>
      <c r="H67" s="678">
        <f t="shared" si="35"/>
        <v>4.8082974929193327E-2</v>
      </c>
      <c r="I67" s="678">
        <f t="shared" si="35"/>
        <v>0.38668445817824287</v>
      </c>
      <c r="J67" s="678" t="str">
        <f>+IFERROR(-J130/J129,"0")</f>
        <v>0</v>
      </c>
      <c r="K67" s="678" t="str">
        <f>+IFERROR(-K130/K129,"0")</f>
        <v>0</v>
      </c>
      <c r="L67" s="678" t="str">
        <f t="shared" si="35"/>
        <v/>
      </c>
      <c r="M67" s="678" t="str">
        <f t="shared" si="35"/>
        <v/>
      </c>
      <c r="N67" s="678" t="str">
        <f t="shared" si="35"/>
        <v/>
      </c>
      <c r="O67" s="678">
        <f>IFERROR(+AVERAGE(D67:N67),"")</f>
        <v>2.0544770259697973</v>
      </c>
      <c r="P67" s="391"/>
      <c r="Q67" s="391"/>
      <c r="R67" s="438"/>
      <c r="S67" s="391"/>
      <c r="T67" s="391"/>
      <c r="U67" s="391"/>
      <c r="V67" s="391"/>
      <c r="W67" s="391"/>
      <c r="X67" s="391"/>
      <c r="Y67" s="391"/>
      <c r="Z67" s="391"/>
      <c r="AA67" s="391"/>
      <c r="AB67" s="391"/>
      <c r="AC67" s="391"/>
      <c r="AD67" s="391"/>
      <c r="AE67" s="391"/>
      <c r="AF67" s="391"/>
      <c r="AG67" s="391"/>
      <c r="AH67" s="391"/>
      <c r="AI67" s="391"/>
      <c r="AJ67" s="391"/>
      <c r="AK67" s="391"/>
      <c r="AL67" s="391"/>
      <c r="AM67" s="391"/>
      <c r="AN67" s="391"/>
      <c r="AO67" s="391"/>
      <c r="AP67" s="391"/>
      <c r="AQ67" s="391"/>
      <c r="AR67" s="391"/>
      <c r="AS67" s="391"/>
      <c r="AT67" s="391"/>
      <c r="AU67" s="391"/>
      <c r="AV67" s="391"/>
      <c r="AW67" s="391"/>
      <c r="AX67" s="391"/>
      <c r="AY67" s="391"/>
      <c r="AZ67" s="391"/>
    </row>
    <row r="68" spans="1:52" s="366" customFormat="1" ht="14.25" customHeight="1">
      <c r="A68" s="391"/>
      <c r="B68" s="391" t="s">
        <v>248</v>
      </c>
      <c r="C68" s="391"/>
      <c r="D68" s="678">
        <f t="shared" ref="D68:N68" si="36">IFERROR(-D131/D126,"")</f>
        <v>0.52651543324656003</v>
      </c>
      <c r="E68" s="678">
        <f t="shared" si="36"/>
        <v>0.66405651078742745</v>
      </c>
      <c r="F68" s="678">
        <f t="shared" si="36"/>
        <v>0.78353140916808151</v>
      </c>
      <c r="G68" s="678">
        <f t="shared" si="36"/>
        <v>0.31849546175388871</v>
      </c>
      <c r="H68" s="678">
        <f t="shared" si="36"/>
        <v>0.56520109248647776</v>
      </c>
      <c r="I68" s="678">
        <f t="shared" si="36"/>
        <v>-1.4473623589034785</v>
      </c>
      <c r="J68" s="678">
        <f t="shared" si="36"/>
        <v>0.39445322331879301</v>
      </c>
      <c r="K68" s="678">
        <f t="shared" si="36"/>
        <v>3.465719872795149</v>
      </c>
      <c r="L68" s="678" t="str">
        <f t="shared" si="36"/>
        <v/>
      </c>
      <c r="M68" s="678" t="str">
        <f t="shared" si="36"/>
        <v/>
      </c>
      <c r="N68" s="678" t="str">
        <f t="shared" si="36"/>
        <v/>
      </c>
      <c r="O68" s="678">
        <f t="shared" si="30"/>
        <v>0.65882633058161233</v>
      </c>
      <c r="P68" s="391"/>
      <c r="Q68" s="391"/>
      <c r="R68" s="438"/>
      <c r="S68" s="391"/>
      <c r="T68" s="391"/>
      <c r="U68" s="391"/>
      <c r="V68" s="391"/>
      <c r="W68" s="391"/>
      <c r="X68" s="391"/>
      <c r="Y68" s="391"/>
      <c r="Z68" s="391"/>
      <c r="AA68" s="391"/>
      <c r="AB68" s="391"/>
      <c r="AC68" s="391"/>
      <c r="AD68" s="391"/>
      <c r="AE68" s="391"/>
      <c r="AF68" s="391"/>
      <c r="AG68" s="391"/>
      <c r="AH68" s="391"/>
      <c r="AI68" s="391"/>
      <c r="AJ68" s="391"/>
      <c r="AK68" s="391"/>
      <c r="AL68" s="391"/>
      <c r="AM68" s="391"/>
      <c r="AN68" s="391"/>
      <c r="AO68" s="391"/>
      <c r="AP68" s="391"/>
      <c r="AQ68" s="391"/>
      <c r="AR68" s="391"/>
      <c r="AS68" s="391"/>
      <c r="AT68" s="391"/>
      <c r="AU68" s="391"/>
      <c r="AV68" s="391"/>
      <c r="AW68" s="391"/>
      <c r="AX68" s="391"/>
      <c r="AY68" s="391"/>
      <c r="AZ68" s="391"/>
    </row>
    <row r="69" spans="1:52" s="366" customFormat="1" ht="14.25" customHeight="1">
      <c r="A69" s="391"/>
      <c r="B69" s="391" t="s">
        <v>249</v>
      </c>
      <c r="C69" s="391"/>
      <c r="D69" s="441"/>
      <c r="E69" s="441"/>
      <c r="F69" s="441"/>
      <c r="G69" s="441"/>
      <c r="H69" s="441"/>
      <c r="I69" s="441"/>
      <c r="J69" s="441"/>
      <c r="K69" s="441"/>
      <c r="L69" s="441"/>
      <c r="M69" s="441"/>
      <c r="N69" s="441"/>
      <c r="O69" s="678" t="str">
        <f>IFERROR(+AVERAGE(D69:N69),"")</f>
        <v/>
      </c>
      <c r="P69" s="391"/>
      <c r="Q69" s="391"/>
      <c r="R69" s="438"/>
      <c r="S69" s="391"/>
      <c r="T69" s="391"/>
      <c r="U69" s="391"/>
      <c r="V69" s="391"/>
      <c r="W69" s="391"/>
      <c r="X69" s="391"/>
      <c r="Y69" s="391"/>
      <c r="Z69" s="391"/>
      <c r="AA69" s="391"/>
      <c r="AB69" s="391"/>
      <c r="AC69" s="391"/>
      <c r="AD69" s="391"/>
      <c r="AE69" s="391"/>
      <c r="AF69" s="391"/>
      <c r="AG69" s="391"/>
      <c r="AH69" s="391"/>
      <c r="AI69" s="391"/>
      <c r="AJ69" s="391"/>
      <c r="AK69" s="391"/>
      <c r="AL69" s="391"/>
      <c r="AM69" s="391"/>
      <c r="AN69" s="391"/>
      <c r="AO69" s="391"/>
      <c r="AP69" s="391"/>
      <c r="AQ69" s="391"/>
      <c r="AR69" s="391"/>
      <c r="AS69" s="391"/>
      <c r="AT69" s="391"/>
      <c r="AU69" s="391"/>
      <c r="AV69" s="391"/>
      <c r="AW69" s="391"/>
      <c r="AX69" s="391"/>
      <c r="AY69" s="391"/>
      <c r="AZ69" s="391"/>
    </row>
    <row r="70" spans="1:52" s="366" customFormat="1" ht="3.75" customHeight="1">
      <c r="A70" s="391"/>
      <c r="B70" s="391"/>
      <c r="C70" s="391"/>
      <c r="D70" s="391"/>
      <c r="E70" s="391"/>
      <c r="F70" s="391"/>
      <c r="G70" s="391"/>
      <c r="H70" s="391"/>
      <c r="I70" s="391"/>
      <c r="J70" s="391"/>
      <c r="K70" s="391"/>
      <c r="L70" s="391"/>
      <c r="M70" s="391"/>
      <c r="N70" s="391"/>
      <c r="O70" s="435"/>
      <c r="P70" s="391"/>
      <c r="Q70" s="391"/>
      <c r="R70" s="438"/>
      <c r="S70" s="391"/>
      <c r="T70" s="391"/>
      <c r="U70" s="391"/>
      <c r="V70" s="391"/>
      <c r="W70" s="391"/>
      <c r="X70" s="391"/>
      <c r="Y70" s="391"/>
      <c r="Z70" s="391"/>
      <c r="AA70" s="391"/>
      <c r="AB70" s="391"/>
      <c r="AC70" s="391"/>
      <c r="AD70" s="391"/>
      <c r="AE70" s="391"/>
      <c r="AF70" s="391"/>
      <c r="AG70" s="391"/>
      <c r="AH70" s="391"/>
      <c r="AI70" s="391"/>
      <c r="AJ70" s="391"/>
      <c r="AK70" s="391"/>
      <c r="AL70" s="391"/>
      <c r="AM70" s="391"/>
      <c r="AN70" s="391"/>
      <c r="AO70" s="391"/>
      <c r="AP70" s="391"/>
      <c r="AQ70" s="391"/>
      <c r="AR70" s="391"/>
      <c r="AS70" s="391"/>
      <c r="AT70" s="391"/>
      <c r="AU70" s="391"/>
      <c r="AV70" s="391"/>
      <c r="AW70" s="391"/>
      <c r="AX70" s="391"/>
      <c r="AY70" s="391"/>
      <c r="AZ70" s="391"/>
    </row>
    <row r="71" spans="1:52" s="369" customFormat="1" ht="14.25" customHeight="1">
      <c r="A71" s="400"/>
      <c r="B71" s="605" t="s">
        <v>250</v>
      </c>
      <c r="C71" s="606"/>
      <c r="D71" s="376" t="str">
        <f t="shared" ref="D71:O71" ca="1" si="37">+D29</f>
        <v>INTERNATIONAL</v>
      </c>
      <c r="E71" s="376" t="str">
        <f t="shared" ca="1" si="37"/>
        <v>ACCENTURE</v>
      </c>
      <c r="F71" s="376" t="str">
        <f t="shared" ca="1" si="37"/>
        <v>Capgemini</v>
      </c>
      <c r="G71" s="376" t="str">
        <f t="shared" ca="1" si="37"/>
        <v>MICROSOFT</v>
      </c>
      <c r="H71" s="376" t="str">
        <f t="shared" ca="1" si="37"/>
        <v>ORACLE</v>
      </c>
      <c r="I71" s="376" t="str">
        <f t="shared" ca="1" si="37"/>
        <v>HEWLETT</v>
      </c>
      <c r="J71" s="376" t="str">
        <f t="shared" ca="1" si="37"/>
        <v>IONQ</v>
      </c>
      <c r="K71" s="376" t="str">
        <f t="shared" ca="1" si="37"/>
        <v>Rigetti</v>
      </c>
      <c r="L71" s="376" t="str">
        <f t="shared" si="37"/>
        <v/>
      </c>
      <c r="M71" s="376" t="str">
        <f t="shared" si="37"/>
        <v/>
      </c>
      <c r="N71" s="376" t="str">
        <f t="shared" si="37"/>
        <v/>
      </c>
      <c r="O71" s="376" t="str">
        <f t="shared" si="37"/>
        <v>Average</v>
      </c>
      <c r="P71" s="400"/>
      <c r="Q71" s="400"/>
      <c r="R71" s="607"/>
      <c r="S71" s="400"/>
      <c r="T71" s="400"/>
      <c r="U71" s="400"/>
      <c r="V71" s="400"/>
      <c r="W71" s="400"/>
      <c r="X71" s="400"/>
      <c r="Y71" s="400"/>
      <c r="Z71" s="400"/>
      <c r="AA71" s="400"/>
      <c r="AB71" s="400"/>
      <c r="AC71" s="400"/>
      <c r="AD71" s="400"/>
      <c r="AE71" s="400"/>
      <c r="AF71" s="400"/>
      <c r="AG71" s="400"/>
      <c r="AH71" s="400"/>
      <c r="AI71" s="400"/>
      <c r="AJ71" s="400"/>
      <c r="AK71" s="400"/>
      <c r="AL71" s="400"/>
      <c r="AM71" s="400"/>
      <c r="AN71" s="400"/>
      <c r="AO71" s="400"/>
      <c r="AP71" s="400"/>
      <c r="AQ71" s="400"/>
      <c r="AR71" s="400"/>
      <c r="AS71" s="400"/>
      <c r="AT71" s="400"/>
      <c r="AU71" s="400"/>
      <c r="AV71" s="400"/>
      <c r="AW71" s="400"/>
      <c r="AX71" s="400"/>
      <c r="AY71" s="400"/>
      <c r="AZ71" s="400"/>
    </row>
    <row r="72" spans="1:52" s="366" customFormat="1" ht="3.75" customHeight="1">
      <c r="A72" s="391"/>
      <c r="B72" s="426"/>
      <c r="C72" s="426"/>
      <c r="D72" s="426"/>
      <c r="E72" s="426"/>
      <c r="F72" s="426"/>
      <c r="G72" s="426"/>
      <c r="H72" s="426"/>
      <c r="I72" s="426"/>
      <c r="J72" s="426"/>
      <c r="K72" s="426"/>
      <c r="L72" s="426"/>
      <c r="M72" s="426"/>
      <c r="N72" s="426"/>
      <c r="O72" s="437"/>
      <c r="P72" s="391"/>
      <c r="Q72" s="391"/>
      <c r="R72" s="438"/>
      <c r="S72" s="391"/>
      <c r="T72" s="391"/>
      <c r="U72" s="391"/>
      <c r="V72" s="391"/>
      <c r="W72" s="391"/>
      <c r="X72" s="391"/>
      <c r="Y72" s="391"/>
      <c r="Z72" s="391"/>
      <c r="AA72" s="391"/>
      <c r="AB72" s="391"/>
      <c r="AC72" s="391"/>
      <c r="AD72" s="391"/>
      <c r="AE72" s="391"/>
      <c r="AF72" s="391"/>
      <c r="AG72" s="391"/>
      <c r="AH72" s="391"/>
      <c r="AI72" s="391"/>
      <c r="AJ72" s="391"/>
      <c r="AK72" s="391"/>
      <c r="AL72" s="391"/>
      <c r="AM72" s="391"/>
      <c r="AN72" s="391"/>
      <c r="AO72" s="391"/>
      <c r="AP72" s="391"/>
      <c r="AQ72" s="391"/>
      <c r="AR72" s="391"/>
      <c r="AS72" s="391"/>
      <c r="AT72" s="391"/>
      <c r="AU72" s="391"/>
      <c r="AV72" s="391"/>
      <c r="AW72" s="391"/>
      <c r="AX72" s="391"/>
      <c r="AY72" s="391"/>
      <c r="AZ72" s="391"/>
    </row>
    <row r="73" spans="1:52" s="366" customFormat="1" ht="14.25" customHeight="1">
      <c r="A73" s="391"/>
      <c r="B73" s="391" t="s">
        <v>251</v>
      </c>
      <c r="C73" s="391"/>
      <c r="D73" s="441">
        <v>0.99790000000000001</v>
      </c>
      <c r="E73" s="441">
        <v>0.99819999999999998</v>
      </c>
      <c r="F73" s="441">
        <v>0.998</v>
      </c>
      <c r="G73" s="441">
        <v>0.99870000000000003</v>
      </c>
      <c r="H73" s="441">
        <v>0.58919999999999995</v>
      </c>
      <c r="I73" s="441">
        <v>1</v>
      </c>
      <c r="J73" s="441">
        <v>0.85309999999999997</v>
      </c>
      <c r="K73" s="441">
        <v>0.98799999999999999</v>
      </c>
      <c r="L73" s="441"/>
      <c r="M73" s="441"/>
      <c r="N73" s="441"/>
      <c r="O73" s="678">
        <f>IFERROR(+AVERAGE(D73:N73),"")</f>
        <v>0.92788749999999998</v>
      </c>
      <c r="P73" s="391"/>
      <c r="Q73" s="391"/>
      <c r="R73" s="438"/>
      <c r="S73" s="391"/>
      <c r="T73" s="391"/>
      <c r="U73" s="391"/>
      <c r="V73" s="391"/>
      <c r="W73" s="391"/>
      <c r="X73" s="391"/>
      <c r="Y73" s="391"/>
      <c r="Z73" s="391"/>
      <c r="AA73" s="391"/>
      <c r="AB73" s="391"/>
      <c r="AC73" s="391"/>
      <c r="AD73" s="391"/>
      <c r="AE73" s="391"/>
      <c r="AF73" s="391"/>
      <c r="AG73" s="391"/>
      <c r="AH73" s="391"/>
      <c r="AI73" s="391"/>
      <c r="AJ73" s="391"/>
      <c r="AK73" s="391"/>
      <c r="AL73" s="391"/>
      <c r="AM73" s="391"/>
      <c r="AN73" s="391"/>
      <c r="AO73" s="391"/>
      <c r="AP73" s="391"/>
      <c r="AQ73" s="391"/>
      <c r="AR73" s="391"/>
      <c r="AS73" s="391"/>
      <c r="AT73" s="391"/>
      <c r="AU73" s="391"/>
      <c r="AV73" s="391"/>
      <c r="AW73" s="391"/>
      <c r="AX73" s="391"/>
      <c r="AY73" s="391"/>
      <c r="AZ73" s="391"/>
    </row>
    <row r="74" spans="1:52" s="366" customFormat="1" ht="14.25" customHeight="1">
      <c r="A74" s="391"/>
      <c r="B74" s="391" t="s">
        <v>252</v>
      </c>
      <c r="C74" s="391"/>
      <c r="D74" s="416" cm="1">
        <f t="array" aca="1" ref="D74" ca="1">IFERROR(_FV(D91,"Beta"),"")</f>
        <v>0.6925</v>
      </c>
      <c r="E74" s="416" cm="1">
        <f t="array" aca="1" ref="E74" ca="1">IFERROR(_FV(E91,"Beta"),"")</f>
        <v>1.2809999999999999</v>
      </c>
      <c r="F74" s="416" cm="1">
        <f t="array" aca="1" ref="F74" ca="1">IFERROR(_FV(F91,"Beta"),"")</f>
        <v>1.0537000000000001</v>
      </c>
      <c r="G74" s="416" cm="1">
        <f t="array" aca="1" ref="G74" ca="1">IFERROR(_FV(G91,"Beta"),"")</f>
        <v>1.02</v>
      </c>
      <c r="H74" s="416" cm="1">
        <f t="array" aca="1" ref="H74" ca="1">IFERROR(_FV(H91,"Beta"),"")</f>
        <v>1.5210999999999999</v>
      </c>
      <c r="I74" s="416" cm="1">
        <f t="array" aca="1" ref="I74" ca="1">IFERROR(_FV(I91,"Beta"),"")</f>
        <v>1.4451000000000001</v>
      </c>
      <c r="J74" s="416" cm="1">
        <f t="array" aca="1" ref="J74" ca="1">IFERROR(_FV(J91,"Beta"),"")</f>
        <v>2.5926</v>
      </c>
      <c r="K74" s="416" cm="1">
        <f t="array" aca="1" ref="K74" ca="1">IFERROR(_FV(K91,"Beta"),"")</f>
        <v>1.5956999999999999</v>
      </c>
      <c r="L74" s="416" t="str" cm="1">
        <f t="array" ref="L74">IFERROR(_FV(L91,"Beta"),"")</f>
        <v/>
      </c>
      <c r="M74" s="416" t="str" cm="1">
        <f t="array" ref="M74">IFERROR(_FV(M91,"Beta"),"")</f>
        <v/>
      </c>
      <c r="N74" s="416" t="str" cm="1">
        <f t="array" ref="N74">IFERROR(_FV(N91,"Beta"),"")</f>
        <v/>
      </c>
      <c r="O74" s="679">
        <f t="shared" ref="O74:O75" ca="1" si="38">IFERROR(+AVERAGE(D74:N74),"")</f>
        <v>1.4002124999999999</v>
      </c>
      <c r="P74" s="391"/>
      <c r="Q74" s="391"/>
      <c r="R74" s="438"/>
      <c r="S74" s="391"/>
      <c r="T74" s="391"/>
      <c r="U74" s="391"/>
      <c r="V74" s="391"/>
      <c r="W74" s="391"/>
      <c r="X74" s="391"/>
      <c r="Y74" s="391"/>
      <c r="Z74" s="391"/>
      <c r="AA74" s="391"/>
      <c r="AB74" s="391"/>
      <c r="AC74" s="391"/>
      <c r="AD74" s="391"/>
      <c r="AE74" s="391"/>
      <c r="AF74" s="391"/>
      <c r="AG74" s="391"/>
      <c r="AH74" s="391"/>
      <c r="AI74" s="391"/>
      <c r="AJ74" s="391"/>
      <c r="AK74" s="391"/>
      <c r="AL74" s="391"/>
      <c r="AM74" s="391"/>
      <c r="AN74" s="391"/>
      <c r="AO74" s="391"/>
      <c r="AP74" s="391"/>
      <c r="AQ74" s="391"/>
      <c r="AR74" s="391"/>
      <c r="AS74" s="391"/>
      <c r="AT74" s="391"/>
      <c r="AU74" s="391"/>
      <c r="AV74" s="391"/>
      <c r="AW74" s="391"/>
      <c r="AX74" s="391"/>
      <c r="AY74" s="391"/>
      <c r="AZ74" s="391"/>
    </row>
    <row r="75" spans="1:52" s="366" customFormat="1" ht="14.1" customHeight="1">
      <c r="A75" s="391"/>
      <c r="B75" s="391" t="s">
        <v>253</v>
      </c>
      <c r="C75" s="391"/>
      <c r="D75" s="416">
        <f ca="1">IFERROR(D74/(1+(1-D104/D103)*(D121/D122)),"")</f>
        <v>0.15984188670292832</v>
      </c>
      <c r="E75" s="416">
        <f t="shared" ref="E75:N75" ca="1" si="39">IFERROR(E74/(1+(1-E104/E103)*(E121/E122)),"")</f>
        <v>1.1545799322545858</v>
      </c>
      <c r="F75" s="416">
        <f ca="1">IFERROR(F74/(1+(1-F104/F103)*(F121/F122)),"")</f>
        <v>0.76463421666032194</v>
      </c>
      <c r="G75" s="416">
        <f t="shared" ca="1" si="39"/>
        <v>0.78581050812984832</v>
      </c>
      <c r="H75" s="416">
        <f t="shared" ca="1" si="39"/>
        <v>0.15037288021074674</v>
      </c>
      <c r="I75" s="416">
        <f t="shared" ca="1" si="39"/>
        <v>0.85226956418543953</v>
      </c>
      <c r="J75" s="416">
        <f t="shared" ca="1" si="39"/>
        <v>2.4781693963804949</v>
      </c>
      <c r="K75" s="416">
        <f t="shared" ca="1" si="39"/>
        <v>1.4919828590210429</v>
      </c>
      <c r="L75" s="416" t="str">
        <f t="shared" si="39"/>
        <v/>
      </c>
      <c r="M75" s="416" t="str">
        <f t="shared" si="39"/>
        <v/>
      </c>
      <c r="N75" s="416" t="str">
        <f t="shared" si="39"/>
        <v/>
      </c>
      <c r="O75" s="679">
        <f t="shared" ca="1" si="38"/>
        <v>0.97970765544317606</v>
      </c>
      <c r="P75" s="391"/>
      <c r="Q75" s="391"/>
      <c r="R75" s="438"/>
      <c r="S75" s="391"/>
      <c r="T75" s="391"/>
      <c r="U75" s="391"/>
      <c r="V75" s="391"/>
      <c r="W75" s="391"/>
      <c r="X75" s="391"/>
      <c r="Y75" s="391"/>
      <c r="Z75" s="391"/>
      <c r="AA75" s="391"/>
      <c r="AB75" s="391"/>
      <c r="AC75" s="391"/>
      <c r="AD75" s="391"/>
      <c r="AE75" s="391"/>
      <c r="AF75" s="391"/>
      <c r="AG75" s="391"/>
      <c r="AH75" s="391"/>
      <c r="AI75" s="391"/>
      <c r="AJ75" s="391"/>
      <c r="AK75" s="391"/>
      <c r="AL75" s="391"/>
      <c r="AM75" s="391"/>
      <c r="AN75" s="391"/>
      <c r="AO75" s="391"/>
      <c r="AP75" s="391"/>
      <c r="AQ75" s="391"/>
      <c r="AR75" s="391"/>
      <c r="AS75" s="391"/>
      <c r="AT75" s="391"/>
      <c r="AU75" s="391"/>
      <c r="AV75" s="391"/>
      <c r="AW75" s="391"/>
      <c r="AX75" s="391"/>
      <c r="AY75" s="391"/>
      <c r="AZ75" s="391"/>
    </row>
    <row r="76" spans="1:52" s="366" customFormat="1" ht="14.25" customHeight="1">
      <c r="A76" s="391"/>
      <c r="B76" s="391" t="s">
        <v>48</v>
      </c>
      <c r="C76" s="391"/>
      <c r="D76" s="441">
        <v>1.1999999999999999E-3</v>
      </c>
      <c r="E76" s="441">
        <v>8.0000000000000004E-4</v>
      </c>
      <c r="F76" s="441">
        <v>9.3799999999999994E-2</v>
      </c>
      <c r="G76" s="441">
        <v>5.9999999999999995E-4</v>
      </c>
      <c r="H76" s="441">
        <v>0.41110000000000002</v>
      </c>
      <c r="I76" s="441">
        <v>4.3E-3</v>
      </c>
      <c r="J76" s="441">
        <v>8.5400000000000004E-2</v>
      </c>
      <c r="K76" s="441">
        <v>1.01E-2</v>
      </c>
      <c r="L76" s="441"/>
      <c r="M76" s="441"/>
      <c r="N76" s="441"/>
      <c r="O76" s="678">
        <f t="shared" ref="O76:O78" si="40">IFERROR(+AVERAGE(D76:N76),"")</f>
        <v>7.5912500000000008E-2</v>
      </c>
      <c r="P76" s="391"/>
      <c r="Q76" s="391"/>
      <c r="R76" s="438"/>
      <c r="S76" s="391"/>
      <c r="T76" s="391"/>
      <c r="U76" s="391"/>
      <c r="V76" s="391"/>
      <c r="W76" s="391"/>
      <c r="X76" s="391"/>
      <c r="Y76" s="391"/>
      <c r="Z76" s="391"/>
      <c r="AA76" s="391"/>
      <c r="AB76" s="391"/>
      <c r="AC76" s="391"/>
      <c r="AD76" s="391"/>
      <c r="AE76" s="391"/>
      <c r="AF76" s="391"/>
      <c r="AG76" s="391"/>
      <c r="AH76" s="391"/>
      <c r="AI76" s="391"/>
      <c r="AJ76" s="391"/>
      <c r="AK76" s="391"/>
      <c r="AL76" s="391"/>
      <c r="AM76" s="391"/>
      <c r="AN76" s="391"/>
      <c r="AO76" s="391"/>
      <c r="AP76" s="391"/>
      <c r="AQ76" s="391"/>
      <c r="AR76" s="391"/>
      <c r="AS76" s="391"/>
      <c r="AT76" s="391"/>
      <c r="AU76" s="391"/>
      <c r="AV76" s="391"/>
      <c r="AW76" s="391"/>
      <c r="AX76" s="391"/>
      <c r="AY76" s="391"/>
      <c r="AZ76" s="391"/>
    </row>
    <row r="77" spans="1:52" s="366" customFormat="1" ht="14.25" customHeight="1">
      <c r="A77" s="391"/>
      <c r="B77" s="391" t="s">
        <v>49</v>
      </c>
      <c r="C77" s="391"/>
      <c r="D77" s="441">
        <v>0.64059999999999995</v>
      </c>
      <c r="E77" s="441">
        <v>0.79090000000000005</v>
      </c>
      <c r="F77" s="441">
        <v>0.65339999999999998</v>
      </c>
      <c r="G77" s="441">
        <v>0.74409999999999998</v>
      </c>
      <c r="H77" s="441">
        <v>0.44869999999999999</v>
      </c>
      <c r="I77" s="441">
        <v>0.85960000000000003</v>
      </c>
      <c r="J77" s="441">
        <v>0.37380000000000002</v>
      </c>
      <c r="K77" s="441">
        <v>0.24110000000000001</v>
      </c>
      <c r="L77" s="441"/>
      <c r="M77" s="441"/>
      <c r="N77" s="441"/>
      <c r="O77" s="678">
        <f t="shared" si="40"/>
        <v>0.59402500000000014</v>
      </c>
      <c r="P77" s="391"/>
      <c r="Q77" s="391"/>
      <c r="R77" s="438"/>
      <c r="S77" s="391"/>
      <c r="T77" s="391"/>
      <c r="U77" s="391"/>
      <c r="V77" s="391"/>
      <c r="W77" s="391"/>
      <c r="X77" s="391"/>
      <c r="Y77" s="391"/>
      <c r="Z77" s="391"/>
      <c r="AA77" s="391"/>
      <c r="AB77" s="391"/>
      <c r="AC77" s="391"/>
      <c r="AD77" s="391"/>
      <c r="AE77" s="391"/>
      <c r="AF77" s="391"/>
      <c r="AG77" s="391"/>
      <c r="AH77" s="391"/>
      <c r="AI77" s="391"/>
      <c r="AJ77" s="391"/>
      <c r="AK77" s="391"/>
      <c r="AL77" s="391"/>
      <c r="AM77" s="391"/>
      <c r="AN77" s="391"/>
      <c r="AO77" s="391"/>
      <c r="AP77" s="391"/>
      <c r="AQ77" s="391"/>
      <c r="AR77" s="391"/>
      <c r="AS77" s="391"/>
      <c r="AT77" s="391"/>
      <c r="AU77" s="391"/>
      <c r="AV77" s="391"/>
      <c r="AW77" s="391"/>
      <c r="AX77" s="391"/>
      <c r="AY77" s="391"/>
      <c r="AZ77" s="391"/>
    </row>
    <row r="78" spans="1:52" s="366" customFormat="1" ht="14.25" customHeight="1">
      <c r="A78" s="391"/>
      <c r="B78" s="391" t="s">
        <v>254</v>
      </c>
      <c r="C78" s="391"/>
      <c r="D78" s="441">
        <v>2.23E-2</v>
      </c>
      <c r="E78" s="441">
        <v>1.1599999999999999E-2</v>
      </c>
      <c r="F78" s="441">
        <v>0</v>
      </c>
      <c r="G78" s="441">
        <v>6.7999999999999996E-3</v>
      </c>
      <c r="H78" s="441">
        <v>1.2699999999999999E-2</v>
      </c>
      <c r="I78" s="441">
        <v>6.1699999999999998E-2</v>
      </c>
      <c r="J78" s="441">
        <v>0.14660000000000001</v>
      </c>
      <c r="K78" s="441">
        <v>0.2606</v>
      </c>
      <c r="L78" s="441"/>
      <c r="M78" s="441"/>
      <c r="N78" s="441"/>
      <c r="O78" s="678">
        <f t="shared" si="40"/>
        <v>6.5287499999999998E-2</v>
      </c>
      <c r="P78" s="391"/>
      <c r="Q78" s="391"/>
      <c r="R78" s="438"/>
      <c r="S78" s="391"/>
      <c r="T78" s="391"/>
      <c r="U78" s="391"/>
      <c r="V78" s="391"/>
      <c r="W78" s="391"/>
      <c r="X78" s="391"/>
      <c r="Y78" s="391"/>
      <c r="Z78" s="391"/>
      <c r="AA78" s="391"/>
      <c r="AB78" s="391"/>
      <c r="AC78" s="391"/>
      <c r="AD78" s="391"/>
      <c r="AE78" s="391"/>
      <c r="AF78" s="391"/>
      <c r="AG78" s="391"/>
      <c r="AH78" s="391"/>
      <c r="AI78" s="391"/>
      <c r="AJ78" s="391"/>
      <c r="AK78" s="391"/>
      <c r="AL78" s="391"/>
      <c r="AM78" s="391"/>
      <c r="AN78" s="391"/>
      <c r="AO78" s="391"/>
      <c r="AP78" s="391"/>
      <c r="AQ78" s="391"/>
      <c r="AR78" s="391"/>
      <c r="AS78" s="391"/>
      <c r="AT78" s="391"/>
      <c r="AU78" s="391"/>
      <c r="AV78" s="391"/>
      <c r="AW78" s="391"/>
      <c r="AX78" s="391"/>
      <c r="AY78" s="391"/>
      <c r="AZ78" s="391"/>
    </row>
    <row r="79" spans="1:52" s="366" customFormat="1" ht="3.75" customHeight="1">
      <c r="A79" s="391"/>
      <c r="B79" s="391"/>
      <c r="C79" s="391"/>
      <c r="D79" s="391"/>
      <c r="E79" s="391"/>
      <c r="F79" s="391"/>
      <c r="G79" s="391"/>
      <c r="H79" s="391"/>
      <c r="I79" s="391"/>
      <c r="J79" s="391"/>
      <c r="K79" s="391"/>
      <c r="L79" s="391"/>
      <c r="M79" s="391"/>
      <c r="N79" s="391"/>
      <c r="O79" s="391"/>
      <c r="P79" s="391"/>
      <c r="Q79" s="391"/>
      <c r="R79" s="438"/>
      <c r="S79" s="391"/>
      <c r="T79" s="391"/>
      <c r="U79" s="391"/>
      <c r="V79" s="391"/>
      <c r="W79" s="391"/>
      <c r="X79" s="391"/>
      <c r="Y79" s="391"/>
      <c r="Z79" s="391"/>
      <c r="AA79" s="391"/>
      <c r="AB79" s="391"/>
      <c r="AC79" s="391"/>
      <c r="AD79" s="391"/>
      <c r="AE79" s="391"/>
      <c r="AF79" s="391"/>
      <c r="AG79" s="391"/>
      <c r="AH79" s="391"/>
      <c r="AI79" s="391"/>
      <c r="AJ79" s="391"/>
      <c r="AK79" s="391"/>
      <c r="AL79" s="391"/>
      <c r="AM79" s="391"/>
      <c r="AN79" s="391"/>
      <c r="AO79" s="391"/>
      <c r="AP79" s="391"/>
      <c r="AQ79" s="391"/>
      <c r="AR79" s="391"/>
      <c r="AS79" s="391"/>
      <c r="AT79" s="391"/>
      <c r="AU79" s="391"/>
      <c r="AV79" s="391"/>
      <c r="AW79" s="391"/>
      <c r="AX79" s="391"/>
      <c r="AY79" s="391"/>
      <c r="AZ79" s="391"/>
    </row>
    <row r="80" spans="1:52" s="369" customFormat="1" ht="14.25" customHeight="1">
      <c r="A80" s="400"/>
      <c r="B80" s="605" t="s">
        <v>96</v>
      </c>
      <c r="C80" s="606"/>
      <c r="D80" s="376" t="str">
        <f t="shared" ref="D80:O80" ca="1" si="41">+D29</f>
        <v>INTERNATIONAL</v>
      </c>
      <c r="E80" s="376" t="str">
        <f t="shared" ca="1" si="41"/>
        <v>ACCENTURE</v>
      </c>
      <c r="F80" s="376" t="str">
        <f t="shared" ca="1" si="41"/>
        <v>Capgemini</v>
      </c>
      <c r="G80" s="376" t="str">
        <f t="shared" ca="1" si="41"/>
        <v>MICROSOFT</v>
      </c>
      <c r="H80" s="376" t="str">
        <f t="shared" ca="1" si="41"/>
        <v>ORACLE</v>
      </c>
      <c r="I80" s="376" t="str">
        <f t="shared" ca="1" si="41"/>
        <v>HEWLETT</v>
      </c>
      <c r="J80" s="376" t="str">
        <f t="shared" ca="1" si="41"/>
        <v>IONQ</v>
      </c>
      <c r="K80" s="376" t="str">
        <f t="shared" ca="1" si="41"/>
        <v>Rigetti</v>
      </c>
      <c r="L80" s="376" t="str">
        <f t="shared" si="41"/>
        <v/>
      </c>
      <c r="M80" s="376" t="str">
        <f t="shared" si="41"/>
        <v/>
      </c>
      <c r="N80" s="376" t="str">
        <f t="shared" si="41"/>
        <v/>
      </c>
      <c r="O80" s="376" t="str">
        <f t="shared" si="41"/>
        <v>Average</v>
      </c>
      <c r="P80" s="400"/>
      <c r="Q80" s="400"/>
      <c r="R80" s="607"/>
      <c r="S80" s="400"/>
      <c r="T80" s="400"/>
      <c r="U80" s="400"/>
      <c r="V80" s="400"/>
      <c r="W80" s="400"/>
      <c r="X80" s="400"/>
      <c r="Y80" s="400"/>
      <c r="Z80" s="400"/>
      <c r="AA80" s="400"/>
      <c r="AB80" s="400"/>
      <c r="AC80" s="400"/>
      <c r="AD80" s="400"/>
      <c r="AE80" s="400"/>
      <c r="AF80" s="400"/>
      <c r="AG80" s="400"/>
      <c r="AH80" s="400"/>
      <c r="AI80" s="400"/>
      <c r="AJ80" s="400"/>
      <c r="AK80" s="400"/>
      <c r="AL80" s="400"/>
      <c r="AM80" s="400"/>
      <c r="AN80" s="400"/>
      <c r="AO80" s="400"/>
      <c r="AP80" s="400"/>
      <c r="AQ80" s="400"/>
      <c r="AR80" s="400"/>
      <c r="AS80" s="400"/>
      <c r="AT80" s="400"/>
      <c r="AU80" s="400"/>
      <c r="AV80" s="400"/>
      <c r="AW80" s="400"/>
      <c r="AX80" s="400"/>
      <c r="AY80" s="400"/>
      <c r="AZ80" s="400"/>
    </row>
    <row r="81" spans="1:52" s="366" customFormat="1" ht="3.75" customHeight="1">
      <c r="A81" s="391"/>
      <c r="B81" s="426"/>
      <c r="C81" s="426"/>
      <c r="D81" s="426"/>
      <c r="E81" s="426"/>
      <c r="F81" s="426"/>
      <c r="G81" s="426"/>
      <c r="H81" s="426"/>
      <c r="I81" s="426"/>
      <c r="J81" s="426"/>
      <c r="K81" s="426"/>
      <c r="L81" s="426"/>
      <c r="M81" s="426"/>
      <c r="N81" s="426"/>
      <c r="O81" s="426"/>
      <c r="P81" s="391"/>
      <c r="Q81" s="391"/>
      <c r="R81" s="438"/>
      <c r="S81" s="391"/>
      <c r="T81" s="391"/>
      <c r="U81" s="391"/>
      <c r="V81" s="391"/>
      <c r="W81" s="391"/>
      <c r="X81" s="391"/>
      <c r="Y81" s="391"/>
      <c r="Z81" s="391"/>
      <c r="AA81" s="391"/>
      <c r="AB81" s="391"/>
      <c r="AC81" s="391"/>
      <c r="AD81" s="391"/>
      <c r="AE81" s="391"/>
      <c r="AF81" s="391"/>
      <c r="AG81" s="391"/>
      <c r="AH81" s="391"/>
      <c r="AI81" s="391"/>
      <c r="AJ81" s="391"/>
      <c r="AK81" s="391"/>
      <c r="AL81" s="391"/>
      <c r="AM81" s="391"/>
      <c r="AN81" s="391"/>
      <c r="AO81" s="391"/>
      <c r="AP81" s="391"/>
      <c r="AQ81" s="391"/>
      <c r="AR81" s="391"/>
      <c r="AS81" s="391"/>
      <c r="AT81" s="391"/>
      <c r="AU81" s="391"/>
      <c r="AV81" s="391"/>
      <c r="AW81" s="391"/>
      <c r="AX81" s="391"/>
      <c r="AY81" s="391"/>
      <c r="AZ81" s="391"/>
    </row>
    <row r="82" spans="1:52" s="366" customFormat="1" ht="14.25" customHeight="1">
      <c r="A82" s="391"/>
      <c r="B82" s="391" t="s">
        <v>255</v>
      </c>
      <c r="C82" s="391"/>
      <c r="D82" s="442" cm="1">
        <f t="array" aca="1" ref="D82" ca="1">IFERROR((D85/_xlfn.STOCKHISTORY(C6,TODAY()-1,TODAY()-1,0,0,1))-1,"Non-trading days")</f>
        <v>0</v>
      </c>
      <c r="E82" s="442" t="str" cm="1">
        <f t="array" aca="1" ref="E82" ca="1">IFERROR((E85/_xlfn.STOCKHISTORY(C8,TODAY()-1,TODAY()-1,0,0,1))-1,"Non-trading days")</f>
        <v>Non-trading days</v>
      </c>
      <c r="F82" s="442" cm="1">
        <f t="array" aca="1" ref="F82" ca="1">IFERROR((F85/_xlfn.STOCKHISTORY(C9,TODAY()-1,TODAY()-1,0,0,1))-1,"Non-trading days")</f>
        <v>0</v>
      </c>
      <c r="G82" s="442" t="str" cm="1">
        <f t="array" aca="1" ref="G82" ca="1">IFERROR((G85/_xlfn.STOCKHISTORY(C10,TODAY()-1,TODAY()-1,0,0,1))-1,"Non-trading days")</f>
        <v>Non-trading days</v>
      </c>
      <c r="H82" s="442" cm="1">
        <f t="array" aca="1" ref="H82" ca="1">IFERROR((K85/_xlfn.STOCKHISTORY(C11,TODAY()-1,TODAY()-1,0,0,1))-1,"Non-trading days")</f>
        <v>-0.85999860208289647</v>
      </c>
      <c r="I82" s="442" t="str" cm="1">
        <f t="array" aca="1" ref="I82" ca="1">IFERROR((L85/_xlfn.STOCKHISTORY(C12,TODAY()-1,TODAY()-1,0,0,1))-1,"Non-trading days")</f>
        <v>Non-trading days</v>
      </c>
      <c r="J82" s="442" t="str" cm="1">
        <f t="array" aca="1" ref="J82" ca="1">IFERROR((M85/_xlfn.STOCKHISTORY(C13,TODAY()-1,TODAY()-1,0,0,1))-1,"Non-trading days")</f>
        <v>Non-trading days</v>
      </c>
      <c r="K82" s="442" t="str" cm="1">
        <f t="array" aca="1" ref="K82" ca="1">IFERROR((N85/_xlfn.STOCKHISTORY(C14,TODAY()-1,TODAY()-1,0,0,1))-1,"Non-trading days")</f>
        <v>Non-trading days</v>
      </c>
      <c r="L82" s="442" t="str" cm="1">
        <f t="array" aca="1" ref="L82" ca="1">IFERROR((L85/_xlfn.STOCKHISTORY(C15,TODAY()-1,TODAY()-1,0,0,1))-1,"Non-trading days")</f>
        <v>Non-trading days</v>
      </c>
      <c r="M82" s="442" t="str" cm="1">
        <f t="array" aca="1" ref="M82" ca="1">IFERROR((M85/_xlfn.STOCKHISTORY(C16,TODAY()-1,TODAY()-1,0,0,1))-1,"Non-trading days")</f>
        <v>Non-trading days</v>
      </c>
      <c r="N82" s="442" t="str" cm="1">
        <f t="array" aca="1" ref="N82" ca="1">IFERROR((N85/_xlfn.STOCKHISTORY(C17,TODAY()-1,TODAY()-1,0,0,1))-1,"Non-trading days")</f>
        <v>Non-trading days</v>
      </c>
      <c r="O82" s="439">
        <f ca="1">IFERROR(+AVERAGE(D82:N82),"")</f>
        <v>-0.28666620069429882</v>
      </c>
      <c r="P82" s="391"/>
      <c r="Q82" s="391"/>
      <c r="R82" s="438"/>
      <c r="S82" s="391"/>
      <c r="T82" s="391"/>
      <c r="U82" s="391"/>
      <c r="V82" s="391"/>
      <c r="W82" s="391"/>
      <c r="X82" s="391"/>
      <c r="Y82" s="391"/>
      <c r="Z82" s="391"/>
      <c r="AA82" s="391"/>
      <c r="AB82" s="391"/>
      <c r="AC82" s="391"/>
      <c r="AD82" s="391"/>
      <c r="AE82" s="391"/>
      <c r="AF82" s="391"/>
      <c r="AG82" s="391"/>
      <c r="AH82" s="391"/>
      <c r="AI82" s="391"/>
      <c r="AJ82" s="391"/>
      <c r="AK82" s="391"/>
      <c r="AL82" s="391"/>
      <c r="AM82" s="391"/>
      <c r="AN82" s="391"/>
      <c r="AO82" s="391"/>
      <c r="AP82" s="391"/>
      <c r="AQ82" s="391"/>
      <c r="AR82" s="391"/>
      <c r="AS82" s="391"/>
      <c r="AT82" s="391"/>
      <c r="AU82" s="391"/>
      <c r="AV82" s="391"/>
      <c r="AW82" s="391"/>
      <c r="AX82" s="391"/>
      <c r="AY82" s="391"/>
      <c r="AZ82" s="391"/>
    </row>
    <row r="83" spans="1:52" s="366" customFormat="1" ht="14.25" customHeight="1">
      <c r="A83" s="391"/>
      <c r="B83" s="391" t="s">
        <v>256</v>
      </c>
      <c r="C83" s="391"/>
      <c r="D83" s="442" cm="1">
        <f t="array" aca="1" ref="D83" ca="1">IFERROR((D85/_xlfn.STOCKHISTORY(C6,TODAY()-29,TODAY()-29,0,0,1))-1,"Non-trading days")</f>
        <v>0.16030257916549306</v>
      </c>
      <c r="E83" s="442" cm="1">
        <f t="array" aca="1" ref="E83" ca="1">IFERROR((E85/_xlfn.STOCKHISTORY(C8,TODAY()-29,TODAY()-29,0,0,1))-1,"Non-trading days")</f>
        <v>-3.7772112178858563E-2</v>
      </c>
      <c r="F83" s="442" t="str" cm="1">
        <f t="array" aca="1" ref="F83" ca="1">IFERROR((F85/_xlfn.STOCKHISTORY(C9,TODAY()-29,TODAY()-29,0,0,1))-1,"Non-trading days")</f>
        <v>Non-trading days</v>
      </c>
      <c r="G83" s="442" t="str" cm="1">
        <f t="array" aca="1" ref="G83" ca="1">IFERROR((G85/_xlfn.STOCKHISTORY(C10,TODAY()-29,TODAY()-29,0,0,1))-1,"Non-trading days")</f>
        <v>Non-trading days</v>
      </c>
      <c r="H83" s="442" cm="1">
        <f t="array" aca="1" ref="H83" ca="1">IFERROR((K85/_xlfn.STOCKHISTORY(C11,TODAY()-29,TODAY()-29,0,0,1))-1,"Non-trading days")</f>
        <v>-0.82792096219931266</v>
      </c>
      <c r="I83" s="442" t="str" cm="1">
        <f t="array" aca="1" ref="I83" ca="1">IFERROR((L85/_xlfn.STOCKHISTORY(C12,TODAY()-29,TODAY()-29,0,0,1))-1,"Non-trading days")</f>
        <v>Non-trading days</v>
      </c>
      <c r="J83" s="442" t="str" cm="1">
        <f t="array" aca="1" ref="J83" ca="1">IFERROR((M85/_xlfn.STOCKHISTORY(C13,TODAY()-29,TODAY()-29,0,0,1))-1,"Non-trading days")</f>
        <v>Non-trading days</v>
      </c>
      <c r="K83" s="442" t="str" cm="1">
        <f t="array" aca="1" ref="K83" ca="1">IFERROR((N85/_xlfn.STOCKHISTORY(C14,TODAY()-29,TODAY()-29,0,0,1))-1,"Non-trading days")</f>
        <v>Non-trading days</v>
      </c>
      <c r="L83" s="442" t="str" cm="1">
        <f t="array" aca="1" ref="L83" ca="1">IFERROR((L85/_xlfn.STOCKHISTORY(C15,TODAY()-29,TODAY()-29,0,0,1))-1,"Non-trading days")</f>
        <v>Non-trading days</v>
      </c>
      <c r="M83" s="442" t="str" cm="1">
        <f t="array" aca="1" ref="M83" ca="1">IFERROR((M85/_xlfn.STOCKHISTORY(C16,TODAY()-29,TODAY()-29,0,0,1))-1,"Non-trading days")</f>
        <v>Non-trading days</v>
      </c>
      <c r="N83" s="442" t="str" cm="1">
        <f t="array" aca="1" ref="N83" ca="1">IFERROR((N85/_xlfn.STOCKHISTORY(C17,TODAY()-29,TODAY()-29,0,0,1))-1,"Non-trading days")</f>
        <v>Non-trading days</v>
      </c>
      <c r="O83" s="439">
        <f ca="1">IFERROR(AVERAGE(D83:N83),"")</f>
        <v>-0.23513016507089271</v>
      </c>
      <c r="P83" s="391"/>
      <c r="Q83" s="391"/>
      <c r="R83" s="438"/>
      <c r="S83" s="391"/>
      <c r="T83" s="391"/>
      <c r="U83" s="391"/>
      <c r="V83" s="391"/>
      <c r="W83" s="391"/>
      <c r="X83" s="391"/>
      <c r="Y83" s="391"/>
      <c r="Z83" s="391"/>
      <c r="AA83" s="391"/>
      <c r="AB83" s="391"/>
      <c r="AC83" s="391"/>
      <c r="AD83" s="391"/>
      <c r="AE83" s="391"/>
      <c r="AF83" s="391"/>
      <c r="AG83" s="391"/>
      <c r="AH83" s="391"/>
      <c r="AI83" s="391"/>
      <c r="AJ83" s="391"/>
      <c r="AK83" s="391"/>
      <c r="AL83" s="391"/>
      <c r="AM83" s="391"/>
      <c r="AN83" s="391"/>
      <c r="AO83" s="391"/>
      <c r="AP83" s="391"/>
      <c r="AQ83" s="391"/>
      <c r="AR83" s="391"/>
      <c r="AS83" s="391"/>
      <c r="AT83" s="391"/>
      <c r="AU83" s="391"/>
      <c r="AV83" s="391"/>
      <c r="AW83" s="391"/>
      <c r="AX83" s="391"/>
      <c r="AY83" s="391"/>
      <c r="AZ83" s="391"/>
    </row>
    <row r="84" spans="1:52" s="366" customFormat="1" ht="14.25" customHeight="1">
      <c r="A84" s="391"/>
      <c r="B84" s="391" t="s">
        <v>257</v>
      </c>
      <c r="C84" s="391"/>
      <c r="D84" s="442" cm="1">
        <f t="array" aca="1" ref="D84" ca="1">IFERROR((D85/_xlfn.STOCKHISTORY(C6,"2025-01-02","2025-01-02",0,0,1))-1,"Non-trading days")</f>
        <v>0.31113030826589072</v>
      </c>
      <c r="E84" s="442" cm="1">
        <f t="array" aca="1" ref="E84" ca="1">IFERROR((E85/_xlfn.STOCKHISTORY(C8,"2025-01-02","2025-01-02",0,0,1))-1,"Non-trading days")</f>
        <v>-0.29671463792213748</v>
      </c>
      <c r="F84" s="442" cm="1">
        <f t="array" aca="1" ref="F84" ca="1">IFERROR((F85/_xlfn.STOCKHISTORY(C9,"2025-01-02","2025-01-02",0,0,1))-1,"Non-trading days")</f>
        <v>-8.0554806776413135E-2</v>
      </c>
      <c r="G84" s="442" cm="1">
        <f t="array" aca="1" ref="G84" ca="1">IFERROR((G85/_xlfn.STOCKHISTORY(C10,"2025-01-02","2025-01-02",0,0,1))-1,"Non-trading days")</f>
        <v>0.23596445123990639</v>
      </c>
      <c r="H84" s="442" cm="1">
        <f t="array" aca="1" ref="H84" ca="1">IFERROR((K85/_xlfn.STOCKHISTORY(C11,"2025-01-02","2025-01-02",0,0,1))-1,"Non-trading days")</f>
        <v>-0.75871830392097817</v>
      </c>
      <c r="I84" s="442" t="str" cm="1">
        <f t="array" aca="1" ref="I84" ca="1">IFERROR((L85/_xlfn.STOCKHISTORY(C12,"2025-01-02","2025-01-02",0,0,1))-1,"Non-trading days")</f>
        <v>Non-trading days</v>
      </c>
      <c r="J84" s="442" t="str" cm="1">
        <f t="array" aca="1" ref="J84" ca="1">IFERROR((M85/_xlfn.STOCKHISTORY(C13,"2025-01-02","2025-01-02",0,0,1))-1,"Non-trading days")</f>
        <v>Non-trading days</v>
      </c>
      <c r="K84" s="442" t="str" cm="1">
        <f t="array" aca="1" ref="K84" ca="1">IFERROR((N85/_xlfn.STOCKHISTORY(C14,"2025-01-02","2025-01-02",0,0,1))-1,"Non-trading days")</f>
        <v>Non-trading days</v>
      </c>
      <c r="L84" s="442" t="str" cm="1">
        <f t="array" ref="L84">IFERROR((L85/_xlfn.STOCKHISTORY(C15,"2025-01-02","2025-01-02",0,0,1))-1,"Non-trading days")</f>
        <v>Non-trading days</v>
      </c>
      <c r="M84" s="442" t="str" cm="1">
        <f t="array" ref="M84">IFERROR((M85/_xlfn.STOCKHISTORY(C16,"2025-01-02","2025-01-02",0,0,1))-1,"Non-trading days")</f>
        <v>Non-trading days</v>
      </c>
      <c r="N84" s="442" t="str" cm="1">
        <f t="array" ref="N84">IFERROR((N85/_xlfn.STOCKHISTORY(C17,"2025-01-02","2025-01-02",0,0,1))-1,"Non-trading days")</f>
        <v>Non-trading days</v>
      </c>
      <c r="O84" s="439">
        <f ca="1">IFERROR(AVERAGE(D84:N84),"")</f>
        <v>-0.11777859782274633</v>
      </c>
      <c r="P84" s="391"/>
      <c r="Q84" s="391"/>
      <c r="R84" s="438"/>
      <c r="S84" s="391"/>
      <c r="T84" s="391"/>
      <c r="U84" s="391"/>
      <c r="V84" s="391"/>
      <c r="W84" s="391"/>
      <c r="X84" s="391"/>
      <c r="Y84" s="391"/>
      <c r="Z84" s="391"/>
      <c r="AA84" s="391"/>
      <c r="AB84" s="391"/>
      <c r="AC84" s="391"/>
      <c r="AD84" s="391"/>
      <c r="AE84" s="391"/>
      <c r="AF84" s="391"/>
      <c r="AG84" s="391"/>
      <c r="AH84" s="391"/>
      <c r="AI84" s="391"/>
      <c r="AJ84" s="391"/>
      <c r="AK84" s="391"/>
      <c r="AL84" s="391"/>
      <c r="AM84" s="391"/>
      <c r="AN84" s="391"/>
      <c r="AO84" s="391"/>
      <c r="AP84" s="391"/>
      <c r="AQ84" s="391"/>
      <c r="AR84" s="391"/>
      <c r="AS84" s="391"/>
      <c r="AT84" s="391"/>
      <c r="AU84" s="391"/>
      <c r="AV84" s="391"/>
      <c r="AW84" s="391"/>
      <c r="AX84" s="391"/>
      <c r="AY84" s="391"/>
      <c r="AZ84" s="391"/>
    </row>
    <row r="85" spans="1:52" s="366" customFormat="1" ht="14.25" customHeight="1">
      <c r="A85" s="391"/>
      <c r="B85" s="391" t="s">
        <v>216</v>
      </c>
      <c r="C85" s="391"/>
      <c r="D85" s="434" cm="1">
        <f t="array" aca="1" ref="D85" ca="1">+IFERROR(_FV(D91,"Price"),"")</f>
        <v>288.37</v>
      </c>
      <c r="E85" s="434" cm="1">
        <f t="array" aca="1" ref="E85" ca="1">+IFERROR(_FV(E91,"Preço"),"")</f>
        <v>245.32</v>
      </c>
      <c r="F85" s="434" cm="1">
        <f t="array" aca="1" ref="F85" ca="1">+IFERROR(_FV(F91,"Preço"),"")</f>
        <v>147.01</v>
      </c>
      <c r="G85" s="434" cm="1">
        <f t="array" aca="1" ref="G85" ca="1">+IFERROR(_FV(G91,"Preço"),"")</f>
        <v>517.35</v>
      </c>
      <c r="H85" s="434" cm="1">
        <f t="array" aca="1" ref="H85" ca="1">+IFERROR(_FV(H91,"Preço"),"")</f>
        <v>286.14</v>
      </c>
      <c r="I85" s="434" cm="1">
        <f t="array" aca="1" ref="I85" ca="1">+IFERROR(_FV(I91,"Preço"),"")</f>
        <v>24.43</v>
      </c>
      <c r="J85" s="434" cm="1">
        <f t="array" aca="1" ref="J85" ca="1">+IFERROR(_FV(J91,"Preço"),"")</f>
        <v>73.28</v>
      </c>
      <c r="K85" s="434" cm="1">
        <f t="array" aca="1" ref="K85" ca="1">+IFERROR(_FV(K91,"Preço"),"")</f>
        <v>40.06</v>
      </c>
      <c r="L85" s="434" t="str" cm="1">
        <f t="array" ref="L85">+IFERROR(_FV(L91,"Price"),"")</f>
        <v/>
      </c>
      <c r="M85" s="434" t="str" cm="1">
        <f t="array" ref="M85">+IFERROR(_FV(M91,"Price"),"")</f>
        <v/>
      </c>
      <c r="N85" s="434" t="str" cm="1">
        <f t="array" ref="N85">+IFERROR(_FV(N91,"Price"),"")</f>
        <v/>
      </c>
      <c r="O85" s="439">
        <f ca="1">IFERROR(AVERAGE(D85:N85),"")</f>
        <v>202.745</v>
      </c>
      <c r="P85" s="391"/>
      <c r="Q85" s="391"/>
      <c r="R85" s="438"/>
      <c r="S85" s="391"/>
      <c r="T85" s="391"/>
      <c r="U85" s="391"/>
      <c r="V85" s="391"/>
      <c r="W85" s="391"/>
      <c r="X85" s="391"/>
      <c r="Y85" s="391"/>
      <c r="Z85" s="391"/>
      <c r="AA85" s="391"/>
      <c r="AB85" s="391"/>
      <c r="AC85" s="391"/>
      <c r="AD85" s="391"/>
      <c r="AE85" s="391"/>
      <c r="AF85" s="391"/>
      <c r="AG85" s="391"/>
      <c r="AH85" s="391"/>
      <c r="AI85" s="391"/>
      <c r="AJ85" s="391"/>
      <c r="AK85" s="391"/>
      <c r="AL85" s="391"/>
      <c r="AM85" s="391"/>
      <c r="AN85" s="391"/>
      <c r="AO85" s="391"/>
      <c r="AP85" s="391"/>
      <c r="AQ85" s="391"/>
      <c r="AR85" s="391"/>
      <c r="AS85" s="391"/>
      <c r="AT85" s="391"/>
      <c r="AU85" s="391"/>
      <c r="AV85" s="391"/>
      <c r="AW85" s="391"/>
      <c r="AX85" s="391"/>
      <c r="AY85" s="391"/>
      <c r="AZ85" s="391"/>
    </row>
    <row r="86" spans="1:52" s="366" customFormat="1" ht="3.75" customHeight="1">
      <c r="A86" s="391"/>
      <c r="B86" s="391"/>
      <c r="C86" s="391"/>
      <c r="D86" s="391"/>
      <c r="E86" s="391"/>
      <c r="F86" s="391"/>
      <c r="G86" s="391"/>
      <c r="H86" s="391"/>
      <c r="I86" s="391"/>
      <c r="J86" s="391"/>
      <c r="K86" s="391"/>
      <c r="L86" s="391"/>
      <c r="M86" s="391"/>
      <c r="N86" s="391"/>
      <c r="O86" s="391"/>
      <c r="P86" s="391"/>
      <c r="Q86" s="391"/>
      <c r="R86" s="438"/>
      <c r="S86" s="391"/>
      <c r="T86" s="391"/>
      <c r="U86" s="391"/>
      <c r="V86" s="391"/>
      <c r="W86" s="391"/>
      <c r="X86" s="391"/>
      <c r="Y86" s="391"/>
      <c r="Z86" s="391"/>
      <c r="AA86" s="391"/>
      <c r="AB86" s="391"/>
      <c r="AC86" s="391"/>
      <c r="AD86" s="391"/>
      <c r="AE86" s="391"/>
      <c r="AF86" s="391"/>
      <c r="AG86" s="391"/>
      <c r="AH86" s="391"/>
      <c r="AI86" s="391"/>
      <c r="AJ86" s="391"/>
      <c r="AK86" s="391"/>
      <c r="AL86" s="391"/>
      <c r="AM86" s="391"/>
      <c r="AN86" s="391"/>
      <c r="AO86" s="391"/>
      <c r="AP86" s="391"/>
      <c r="AQ86" s="391"/>
      <c r="AR86" s="391"/>
      <c r="AS86" s="391"/>
      <c r="AT86" s="391"/>
      <c r="AU86" s="391"/>
      <c r="AV86" s="391"/>
      <c r="AW86" s="391"/>
      <c r="AX86" s="391"/>
      <c r="AY86" s="391"/>
      <c r="AZ86" s="391"/>
    </row>
    <row r="87" spans="1:52" s="369" customFormat="1" ht="14.25" customHeight="1">
      <c r="A87" s="400"/>
      <c r="B87" s="605" t="s">
        <v>258</v>
      </c>
      <c r="C87" s="606"/>
      <c r="D87" s="605"/>
      <c r="E87" s="605"/>
      <c r="F87" s="605"/>
      <c r="G87" s="605"/>
      <c r="H87" s="605"/>
      <c r="I87" s="605"/>
      <c r="J87" s="605"/>
      <c r="K87" s="605"/>
      <c r="L87" s="605"/>
      <c r="M87" s="605"/>
      <c r="N87" s="605"/>
      <c r="O87" s="605"/>
      <c r="P87" s="400"/>
      <c r="Q87" s="400"/>
      <c r="R87" s="607"/>
      <c r="S87" s="400"/>
      <c r="T87" s="400"/>
      <c r="U87" s="400"/>
      <c r="V87" s="400"/>
      <c r="W87" s="400"/>
      <c r="X87" s="400"/>
      <c r="Y87" s="400"/>
      <c r="Z87" s="400"/>
      <c r="AA87" s="400"/>
      <c r="AB87" s="400"/>
      <c r="AC87" s="400"/>
      <c r="AD87" s="400"/>
      <c r="AE87" s="400"/>
      <c r="AF87" s="400"/>
      <c r="AG87" s="400"/>
      <c r="AH87" s="400"/>
      <c r="AI87" s="400"/>
      <c r="AJ87" s="400"/>
      <c r="AK87" s="400"/>
      <c r="AL87" s="400"/>
      <c r="AM87" s="400"/>
      <c r="AN87" s="400"/>
      <c r="AO87" s="400"/>
      <c r="AP87" s="400"/>
      <c r="AQ87" s="400"/>
      <c r="AR87" s="400"/>
      <c r="AS87" s="400"/>
      <c r="AT87" s="400"/>
      <c r="AU87" s="400"/>
      <c r="AV87" s="400"/>
      <c r="AW87" s="400"/>
      <c r="AX87" s="400"/>
      <c r="AY87" s="400"/>
      <c r="AZ87" s="400"/>
    </row>
    <row r="88" spans="1:52" s="366" customFormat="1" ht="3.75" customHeight="1">
      <c r="A88" s="391"/>
      <c r="B88" s="426"/>
      <c r="C88" s="426"/>
      <c r="D88" s="426"/>
      <c r="E88" s="426"/>
      <c r="F88" s="426"/>
      <c r="G88" s="426"/>
      <c r="H88" s="426"/>
      <c r="I88" s="426"/>
      <c r="J88" s="426"/>
      <c r="K88" s="426"/>
      <c r="L88" s="426"/>
      <c r="M88" s="426"/>
      <c r="N88" s="426"/>
      <c r="O88" s="426"/>
      <c r="P88" s="391"/>
      <c r="Q88" s="391"/>
      <c r="R88" s="438"/>
      <c r="S88" s="391"/>
      <c r="T88" s="391"/>
      <c r="U88" s="391"/>
      <c r="V88" s="391"/>
      <c r="W88" s="391"/>
      <c r="X88" s="391"/>
      <c r="Y88" s="391"/>
      <c r="Z88" s="391"/>
      <c r="AA88" s="391"/>
      <c r="AB88" s="391"/>
      <c r="AC88" s="391"/>
      <c r="AD88" s="391"/>
      <c r="AE88" s="391"/>
      <c r="AF88" s="391"/>
      <c r="AG88" s="391"/>
      <c r="AH88" s="391"/>
      <c r="AI88" s="391"/>
      <c r="AJ88" s="391"/>
      <c r="AK88" s="391"/>
      <c r="AL88" s="391"/>
      <c r="AM88" s="391"/>
      <c r="AN88" s="391"/>
      <c r="AO88" s="391"/>
      <c r="AP88" s="391"/>
      <c r="AQ88" s="391"/>
      <c r="AR88" s="391"/>
      <c r="AS88" s="391"/>
      <c r="AT88" s="391"/>
      <c r="AU88" s="391"/>
      <c r="AV88" s="391"/>
      <c r="AW88" s="391"/>
      <c r="AX88" s="391"/>
      <c r="AY88" s="391"/>
      <c r="AZ88" s="391"/>
    </row>
    <row r="89" spans="1:52" s="366" customFormat="1" ht="14.25" customHeight="1">
      <c r="A89" s="391"/>
      <c r="B89" s="391" t="s">
        <v>259</v>
      </c>
      <c r="C89" s="391"/>
      <c r="D89" s="391"/>
      <c r="E89" s="391"/>
      <c r="F89" s="391"/>
      <c r="G89" s="391"/>
      <c r="H89" s="391"/>
      <c r="I89" s="391"/>
      <c r="J89" s="391"/>
      <c r="K89" s="391"/>
      <c r="L89" s="391"/>
      <c r="M89" s="391"/>
      <c r="N89" s="391"/>
      <c r="O89" s="391"/>
      <c r="P89" s="391"/>
      <c r="Q89" s="391"/>
      <c r="R89" s="438"/>
      <c r="S89" s="391"/>
      <c r="T89" s="391"/>
      <c r="U89" s="391"/>
      <c r="V89" s="391"/>
      <c r="W89" s="391"/>
      <c r="X89" s="391"/>
      <c r="Y89" s="391"/>
      <c r="Z89" s="391"/>
      <c r="AA89" s="391"/>
      <c r="AB89" s="391"/>
      <c r="AC89" s="391"/>
      <c r="AD89" s="391"/>
      <c r="AE89" s="391"/>
      <c r="AF89" s="391"/>
      <c r="AG89" s="391"/>
      <c r="AH89" s="391"/>
      <c r="AI89" s="391"/>
      <c r="AJ89" s="391"/>
      <c r="AK89" s="391"/>
      <c r="AL89" s="391"/>
      <c r="AM89" s="391"/>
      <c r="AN89" s="391"/>
      <c r="AO89" s="391"/>
      <c r="AP89" s="391"/>
      <c r="AQ89" s="391"/>
      <c r="AR89" s="391"/>
      <c r="AS89" s="391"/>
      <c r="AT89" s="391"/>
      <c r="AU89" s="391"/>
      <c r="AV89" s="391"/>
      <c r="AW89" s="391"/>
      <c r="AX89" s="391"/>
      <c r="AY89" s="391"/>
      <c r="AZ89" s="391"/>
    </row>
    <row r="90" spans="1:52" s="366" customFormat="1" ht="5.25" customHeight="1">
      <c r="A90" s="391"/>
      <c r="B90" s="391"/>
      <c r="C90" s="391"/>
      <c r="D90" s="391"/>
      <c r="E90" s="391"/>
      <c r="F90" s="391"/>
      <c r="G90" s="391"/>
      <c r="H90" s="391"/>
      <c r="I90" s="391"/>
      <c r="J90" s="391"/>
      <c r="K90" s="391"/>
      <c r="L90" s="391"/>
      <c r="M90" s="391"/>
      <c r="N90" s="391"/>
      <c r="O90" s="391"/>
      <c r="P90" s="391"/>
      <c r="Q90" s="391"/>
      <c r="R90" s="438"/>
      <c r="S90" s="391"/>
      <c r="T90" s="391"/>
      <c r="U90" s="391"/>
      <c r="V90" s="391"/>
      <c r="W90" s="391"/>
      <c r="X90" s="391"/>
      <c r="Y90" s="391"/>
      <c r="Z90" s="391"/>
      <c r="AA90" s="391"/>
      <c r="AB90" s="391"/>
      <c r="AC90" s="391"/>
      <c r="AD90" s="391"/>
      <c r="AE90" s="391"/>
      <c r="AF90" s="391"/>
      <c r="AG90" s="391"/>
      <c r="AH90" s="391"/>
      <c r="AI90" s="391"/>
      <c r="AJ90" s="391"/>
      <c r="AK90" s="391"/>
      <c r="AL90" s="391"/>
      <c r="AM90" s="391"/>
      <c r="AN90" s="391"/>
      <c r="AO90" s="391"/>
      <c r="AP90" s="391"/>
      <c r="AQ90" s="391"/>
      <c r="AR90" s="391"/>
      <c r="AS90" s="391"/>
      <c r="AT90" s="391"/>
      <c r="AU90" s="391"/>
      <c r="AV90" s="391"/>
      <c r="AW90" s="391"/>
      <c r="AX90" s="391"/>
      <c r="AY90" s="391"/>
      <c r="AZ90" s="391"/>
    </row>
    <row r="91" spans="1:52" s="366" customFormat="1" ht="24.75" customHeight="1">
      <c r="A91" s="391"/>
      <c r="B91" s="443" t="s">
        <v>260</v>
      </c>
      <c r="C91" s="428"/>
      <c r="D91" s="377" t="e" vm="13">
        <f>+DCF!R4</f>
        <v>#VALUE!</v>
      </c>
      <c r="E91" s="378" t="e" vm="3">
        <v>#VALUE!</v>
      </c>
      <c r="F91" s="380" t="e" vm="5">
        <v>#VALUE!</v>
      </c>
      <c r="G91" s="659" t="e" vm="7">
        <v>#VALUE!</v>
      </c>
      <c r="H91" s="668" t="e" vm="8">
        <v>#VALUE!</v>
      </c>
      <c r="I91" s="668" t="e" vm="9">
        <v>#VALUE!</v>
      </c>
      <c r="J91" s="668" t="e" vm="10">
        <v>#VALUE!</v>
      </c>
      <c r="K91" s="668" t="e" vm="11">
        <v>#VALUE!</v>
      </c>
      <c r="L91" s="668" t="s">
        <v>261</v>
      </c>
      <c r="M91" s="668" t="s">
        <v>262</v>
      </c>
      <c r="N91" s="379" t="s">
        <v>263</v>
      </c>
      <c r="O91" s="391"/>
      <c r="P91" s="391"/>
      <c r="Q91" s="391"/>
      <c r="R91" s="438"/>
      <c r="S91" s="391"/>
      <c r="T91" s="391"/>
      <c r="U91" s="391"/>
      <c r="V91" s="391"/>
      <c r="W91" s="391"/>
      <c r="X91" s="391"/>
      <c r="Y91" s="391"/>
      <c r="Z91" s="391"/>
      <c r="AA91" s="391"/>
      <c r="AB91" s="391"/>
      <c r="AC91" s="391"/>
      <c r="AD91" s="391"/>
      <c r="AE91" s="391"/>
      <c r="AF91" s="391"/>
      <c r="AG91" s="391"/>
      <c r="AH91" s="391"/>
      <c r="AI91" s="391"/>
      <c r="AJ91" s="391"/>
      <c r="AK91" s="391"/>
      <c r="AL91" s="391"/>
      <c r="AM91" s="391"/>
      <c r="AN91" s="391"/>
      <c r="AO91" s="391"/>
      <c r="AP91" s="391"/>
      <c r="AQ91" s="391"/>
      <c r="AR91" s="391"/>
      <c r="AS91" s="391"/>
      <c r="AT91" s="391"/>
      <c r="AU91" s="391"/>
      <c r="AV91" s="391"/>
      <c r="AW91" s="391"/>
      <c r="AX91" s="391"/>
      <c r="AY91" s="391"/>
      <c r="AZ91" s="391"/>
    </row>
    <row r="92" spans="1:52" s="366" customFormat="1" ht="3.75" customHeight="1">
      <c r="A92" s="391"/>
      <c r="B92" s="444"/>
      <c r="C92" s="432"/>
      <c r="D92" s="381"/>
      <c r="E92" s="382"/>
      <c r="F92" s="384"/>
      <c r="G92" s="660"/>
      <c r="H92" s="669"/>
      <c r="I92" s="669"/>
      <c r="J92" s="669"/>
      <c r="K92" s="669"/>
      <c r="L92" s="669"/>
      <c r="M92" s="669"/>
      <c r="N92" s="383"/>
      <c r="O92" s="391"/>
      <c r="P92" s="391"/>
      <c r="Q92" s="391"/>
      <c r="R92" s="438"/>
      <c r="S92" s="391"/>
      <c r="T92" s="391"/>
      <c r="U92" s="391"/>
      <c r="V92" s="391"/>
      <c r="W92" s="391"/>
      <c r="X92" s="391"/>
      <c r="Y92" s="391"/>
      <c r="Z92" s="391"/>
      <c r="AA92" s="391"/>
      <c r="AB92" s="391"/>
      <c r="AC92" s="391"/>
      <c r="AD92" s="391"/>
      <c r="AE92" s="391"/>
      <c r="AF92" s="391"/>
      <c r="AG92" s="391"/>
      <c r="AH92" s="391"/>
      <c r="AI92" s="391"/>
      <c r="AJ92" s="391"/>
      <c r="AK92" s="391"/>
      <c r="AL92" s="391"/>
      <c r="AM92" s="391"/>
      <c r="AN92" s="391"/>
      <c r="AO92" s="391"/>
      <c r="AP92" s="391"/>
      <c r="AQ92" s="391"/>
      <c r="AR92" s="391"/>
      <c r="AS92" s="391"/>
      <c r="AT92" s="391"/>
      <c r="AU92" s="391"/>
      <c r="AV92" s="391"/>
      <c r="AW92" s="391"/>
      <c r="AX92" s="391"/>
      <c r="AY92" s="391"/>
      <c r="AZ92" s="391"/>
    </row>
    <row r="93" spans="1:52" s="366" customFormat="1" ht="14.25" customHeight="1">
      <c r="A93" s="391"/>
      <c r="B93" s="445" t="str">
        <f>+Inputs!$B$6&amp;" ("&amp;Inputs!O$4&amp;")"</f>
        <v>Revenue (Sales) (2022)</v>
      </c>
      <c r="C93" s="446"/>
      <c r="D93" s="447">
        <f>+_xlfn.XLOOKUP("Revenue (Sales)",Inputs!$B:$B,Inputs!O:O)</f>
        <v>60530</v>
      </c>
      <c r="E93" s="448">
        <v>61594.3</v>
      </c>
      <c r="F93" s="449">
        <v>21995</v>
      </c>
      <c r="G93" s="661">
        <v>198270</v>
      </c>
      <c r="H93" s="670">
        <v>42440</v>
      </c>
      <c r="I93" s="670">
        <v>28496</v>
      </c>
      <c r="J93" s="670">
        <v>11131</v>
      </c>
      <c r="K93" s="670">
        <v>13102</v>
      </c>
      <c r="L93" s="670"/>
      <c r="M93" s="670"/>
      <c r="N93" s="450"/>
      <c r="O93" s="391"/>
      <c r="P93" s="391"/>
      <c r="Q93" s="391"/>
      <c r="R93" s="438"/>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row>
    <row r="94" spans="1:52" s="366" customFormat="1" ht="14.25" customHeight="1">
      <c r="A94" s="391"/>
      <c r="B94" s="451" t="str">
        <f>+Inputs!$B$6&amp;" ("&amp;Inputs!P$4&amp;")"</f>
        <v>Revenue (Sales) (2023)</v>
      </c>
      <c r="C94" s="391"/>
      <c r="D94" s="452">
        <f>+_xlfn.XLOOKUP("Revenue (Sales)",Inputs!$B:$B,Inputs!P:P)</f>
        <v>61860</v>
      </c>
      <c r="E94" s="453">
        <v>64111.7</v>
      </c>
      <c r="F94" s="454">
        <v>22522</v>
      </c>
      <c r="G94" s="662">
        <v>211915</v>
      </c>
      <c r="H94" s="671">
        <v>49954</v>
      </c>
      <c r="I94" s="671">
        <v>29135</v>
      </c>
      <c r="J94" s="671">
        <v>22042</v>
      </c>
      <c r="K94" s="671">
        <v>12008</v>
      </c>
      <c r="L94" s="671"/>
      <c r="M94" s="671"/>
      <c r="N94" s="455"/>
      <c r="O94" s="391"/>
      <c r="P94" s="391"/>
      <c r="Q94" s="391"/>
      <c r="R94" s="438"/>
      <c r="S94" s="391"/>
      <c r="T94" s="391"/>
      <c r="U94" s="391"/>
      <c r="V94" s="391"/>
      <c r="W94" s="391"/>
      <c r="X94" s="391"/>
      <c r="Y94" s="391"/>
      <c r="Z94" s="391"/>
      <c r="AA94" s="391"/>
      <c r="AB94" s="391"/>
      <c r="AC94" s="391"/>
      <c r="AD94" s="391"/>
      <c r="AE94" s="391"/>
      <c r="AF94" s="391"/>
      <c r="AG94" s="391"/>
      <c r="AH94" s="391"/>
      <c r="AI94" s="391"/>
      <c r="AJ94" s="391"/>
      <c r="AK94" s="391"/>
      <c r="AL94" s="391"/>
      <c r="AM94" s="391"/>
      <c r="AN94" s="391"/>
      <c r="AO94" s="391"/>
      <c r="AP94" s="391"/>
      <c r="AQ94" s="391"/>
      <c r="AR94" s="391"/>
      <c r="AS94" s="391"/>
      <c r="AT94" s="391"/>
      <c r="AU94" s="391"/>
      <c r="AV94" s="391"/>
      <c r="AW94" s="391"/>
      <c r="AX94" s="391"/>
      <c r="AY94" s="391"/>
      <c r="AZ94" s="391"/>
    </row>
    <row r="95" spans="1:52" s="366" customFormat="1" ht="14.25" customHeight="1">
      <c r="A95" s="391"/>
      <c r="B95" s="451" t="s">
        <v>264</v>
      </c>
      <c r="C95" s="391"/>
      <c r="D95" s="452">
        <f>+_xlfn.XLOOKUP("EBITDA",Inputs!$B:$B,Inputs!P:P)</f>
        <v>13778</v>
      </c>
      <c r="E95" s="453">
        <v>13005.1</v>
      </c>
      <c r="F95" s="454">
        <v>3309</v>
      </c>
      <c r="G95" s="662">
        <v>106430</v>
      </c>
      <c r="H95" s="671">
        <v>20743</v>
      </c>
      <c r="I95" s="671">
        <v>5262</v>
      </c>
      <c r="J95" s="671">
        <v>-147379</v>
      </c>
      <c r="K95" s="671">
        <v>-61902</v>
      </c>
      <c r="L95" s="671"/>
      <c r="M95" s="671"/>
      <c r="N95" s="455"/>
      <c r="O95" s="391"/>
      <c r="P95" s="391"/>
      <c r="Q95" s="391"/>
      <c r="R95" s="438"/>
      <c r="S95" s="391"/>
      <c r="T95" s="391"/>
      <c r="U95" s="391"/>
      <c r="V95" s="391"/>
      <c r="W95" s="391"/>
      <c r="X95" s="391"/>
      <c r="Y95" s="391"/>
      <c r="Z95" s="391"/>
      <c r="AA95" s="391"/>
      <c r="AB95" s="391"/>
      <c r="AC95" s="391"/>
      <c r="AD95" s="391"/>
      <c r="AE95" s="391"/>
      <c r="AF95" s="391"/>
      <c r="AG95" s="391"/>
      <c r="AH95" s="391"/>
      <c r="AI95" s="391"/>
      <c r="AJ95" s="391"/>
      <c r="AK95" s="391"/>
      <c r="AL95" s="391"/>
      <c r="AM95" s="391"/>
      <c r="AN95" s="391"/>
      <c r="AO95" s="391"/>
      <c r="AP95" s="391"/>
      <c r="AQ95" s="391"/>
      <c r="AR95" s="391"/>
      <c r="AS95" s="391"/>
      <c r="AT95" s="391"/>
      <c r="AU95" s="391"/>
      <c r="AV95" s="391"/>
      <c r="AW95" s="391"/>
      <c r="AX95" s="391"/>
      <c r="AY95" s="391"/>
      <c r="AZ95" s="391"/>
    </row>
    <row r="96" spans="1:52" s="366" customFormat="1" ht="14.25" customHeight="1">
      <c r="A96" s="391"/>
      <c r="B96" s="445" t="s">
        <v>265</v>
      </c>
      <c r="C96" s="446"/>
      <c r="D96" s="447">
        <f>+_xlfn.XLOOKUP("Net Income",Inputs!$B:$B,Inputs!P:P)</f>
        <v>7513</v>
      </c>
      <c r="E96" s="448">
        <v>6871.6</v>
      </c>
      <c r="F96" s="449">
        <v>1663</v>
      </c>
      <c r="G96" s="661">
        <v>72361</v>
      </c>
      <c r="H96" s="670">
        <v>8503</v>
      </c>
      <c r="I96" s="670">
        <v>2025</v>
      </c>
      <c r="J96" s="670">
        <v>-157723.04800000001</v>
      </c>
      <c r="K96" s="670">
        <v>-75107</v>
      </c>
      <c r="L96" s="670"/>
      <c r="M96" s="670"/>
      <c r="N96" s="450"/>
      <c r="O96" s="391"/>
      <c r="P96" s="391"/>
      <c r="Q96" s="391"/>
      <c r="R96" s="438"/>
      <c r="S96" s="391"/>
      <c r="T96" s="391"/>
      <c r="U96" s="391"/>
      <c r="V96" s="391"/>
      <c r="W96" s="391"/>
      <c r="X96" s="391"/>
      <c r="Y96" s="391"/>
      <c r="Z96" s="391"/>
      <c r="AA96" s="391"/>
      <c r="AB96" s="391"/>
      <c r="AC96" s="391"/>
      <c r="AD96" s="391"/>
      <c r="AE96" s="391"/>
      <c r="AF96" s="391"/>
      <c r="AG96" s="391"/>
      <c r="AH96" s="391"/>
      <c r="AI96" s="391"/>
      <c r="AJ96" s="391"/>
      <c r="AK96" s="391"/>
      <c r="AL96" s="391"/>
      <c r="AM96" s="391"/>
      <c r="AN96" s="391"/>
      <c r="AO96" s="391"/>
      <c r="AP96" s="391"/>
      <c r="AQ96" s="391"/>
      <c r="AR96" s="391"/>
      <c r="AS96" s="391"/>
      <c r="AT96" s="391"/>
      <c r="AU96" s="391"/>
      <c r="AV96" s="391"/>
      <c r="AW96" s="391"/>
      <c r="AX96" s="391"/>
      <c r="AY96" s="391"/>
      <c r="AZ96" s="391"/>
    </row>
    <row r="97" spans="1:52" s="366" customFormat="1" ht="14.25" customHeight="1">
      <c r="A97" s="391"/>
      <c r="B97" s="451" t="str">
        <f>+Inputs!$B$6&amp;" ("&amp;Inputs!Q$4&amp;")"</f>
        <v>Revenue (Sales) (2024)</v>
      </c>
      <c r="C97" s="391"/>
      <c r="D97" s="452">
        <f>+_xlfn.XLOOKUP("Revenue (Sales)",Inputs!$B:$B,Inputs!Q:Q)</f>
        <v>62753</v>
      </c>
      <c r="E97" s="454">
        <v>64896.5</v>
      </c>
      <c r="F97" s="454">
        <v>22096</v>
      </c>
      <c r="G97" s="663">
        <v>245122</v>
      </c>
      <c r="H97" s="656">
        <v>52961</v>
      </c>
      <c r="I97" s="671">
        <v>30127</v>
      </c>
      <c r="J97" s="671">
        <v>43073</v>
      </c>
      <c r="K97" s="671">
        <v>10790</v>
      </c>
      <c r="L97" s="671"/>
      <c r="M97" s="671"/>
      <c r="N97" s="455"/>
      <c r="O97" s="391"/>
      <c r="P97" s="391"/>
      <c r="Q97" s="391"/>
      <c r="R97" s="438"/>
      <c r="S97" s="391"/>
      <c r="T97" s="391"/>
      <c r="U97" s="391"/>
      <c r="V97" s="391"/>
      <c r="W97" s="391"/>
      <c r="X97" s="391"/>
      <c r="Y97" s="391"/>
      <c r="Z97" s="391"/>
      <c r="AA97" s="391"/>
      <c r="AB97" s="391"/>
      <c r="AC97" s="391"/>
      <c r="AD97" s="391"/>
      <c r="AE97" s="391"/>
      <c r="AF97" s="391"/>
      <c r="AG97" s="391"/>
      <c r="AH97" s="391"/>
      <c r="AI97" s="391"/>
      <c r="AJ97" s="391"/>
      <c r="AK97" s="391"/>
      <c r="AL97" s="391"/>
      <c r="AM97" s="391"/>
      <c r="AN97" s="391"/>
      <c r="AO97" s="391"/>
      <c r="AP97" s="391"/>
      <c r="AQ97" s="391"/>
      <c r="AR97" s="391"/>
      <c r="AS97" s="391"/>
      <c r="AT97" s="391"/>
      <c r="AU97" s="391"/>
      <c r="AV97" s="391"/>
      <c r="AW97" s="391"/>
      <c r="AX97" s="391"/>
      <c r="AY97" s="391"/>
      <c r="AZ97" s="391"/>
    </row>
    <row r="98" spans="1:52" s="366" customFormat="1" ht="14.25" customHeight="1">
      <c r="A98" s="391"/>
      <c r="B98" s="457" t="s">
        <v>266</v>
      </c>
      <c r="C98" s="391"/>
      <c r="D98" s="452">
        <f>+_xlfn.XLOOKUP($B98,Inputs!$B:$B,Inputs!Q:Q)</f>
        <v>27201</v>
      </c>
      <c r="E98" s="453">
        <v>43734.1</v>
      </c>
      <c r="F98" s="454">
        <v>16044</v>
      </c>
      <c r="G98" s="662">
        <v>74114</v>
      </c>
      <c r="H98" s="671">
        <v>15143</v>
      </c>
      <c r="I98" s="671">
        <v>19754</v>
      </c>
      <c r="J98" s="671">
        <v>20597</v>
      </c>
      <c r="K98" s="671">
        <v>5093</v>
      </c>
      <c r="L98" s="671"/>
      <c r="M98" s="671"/>
      <c r="N98" s="455"/>
      <c r="O98" s="391"/>
      <c r="P98" s="391"/>
      <c r="Q98" s="391"/>
      <c r="R98" s="438"/>
      <c r="S98" s="391"/>
      <c r="T98" s="391"/>
      <c r="U98" s="391"/>
      <c r="V98" s="391"/>
      <c r="W98" s="391"/>
      <c r="X98" s="391"/>
      <c r="Y98" s="391"/>
      <c r="Z98" s="391"/>
      <c r="AA98" s="391"/>
      <c r="AB98" s="391"/>
      <c r="AC98" s="391"/>
      <c r="AD98" s="391"/>
      <c r="AE98" s="391"/>
      <c r="AF98" s="391"/>
      <c r="AG98" s="391"/>
      <c r="AH98" s="391"/>
      <c r="AI98" s="391"/>
      <c r="AJ98" s="391"/>
      <c r="AK98" s="391"/>
      <c r="AL98" s="391"/>
      <c r="AM98" s="391"/>
      <c r="AN98" s="391"/>
      <c r="AO98" s="391"/>
      <c r="AP98" s="391"/>
      <c r="AQ98" s="391"/>
      <c r="AR98" s="391"/>
      <c r="AS98" s="391"/>
      <c r="AT98" s="391"/>
      <c r="AU98" s="391"/>
      <c r="AV98" s="391"/>
      <c r="AW98" s="391"/>
      <c r="AX98" s="391"/>
      <c r="AY98" s="391"/>
      <c r="AZ98" s="391"/>
    </row>
    <row r="99" spans="1:52" s="366" customFormat="1" ht="14.25" customHeight="1">
      <c r="A99" s="391"/>
      <c r="B99" s="458" t="s">
        <v>267</v>
      </c>
      <c r="C99" s="391"/>
      <c r="D99" s="452">
        <f>+_xlfn.XLOOKUP($B99,Inputs!$B:$B,Inputs!Q:Q)</f>
        <v>35552</v>
      </c>
      <c r="E99" s="459">
        <f>+E97-E98</f>
        <v>21162.400000000001</v>
      </c>
      <c r="F99" s="460">
        <f>+F97-F98</f>
        <v>6052</v>
      </c>
      <c r="G99" s="664">
        <f>G97-G98</f>
        <v>171008</v>
      </c>
      <c r="H99" s="672">
        <f>+H97-H98</f>
        <v>37818</v>
      </c>
      <c r="I99" s="675">
        <f>I97-I98</f>
        <v>10373</v>
      </c>
      <c r="J99" s="675">
        <v>22476</v>
      </c>
      <c r="K99" s="675">
        <v>5697</v>
      </c>
      <c r="L99" s="675">
        <f>+L97-L98</f>
        <v>0</v>
      </c>
      <c r="M99" s="675">
        <f>+M97-M98</f>
        <v>0</v>
      </c>
      <c r="N99" s="461">
        <f>+N97-N98</f>
        <v>0</v>
      </c>
      <c r="O99" s="412"/>
      <c r="P99" s="412"/>
      <c r="Q99" s="412"/>
      <c r="R99" s="112"/>
      <c r="S99" s="391"/>
      <c r="T99" s="391"/>
      <c r="U99" s="391"/>
      <c r="V99" s="391"/>
      <c r="W99" s="391"/>
      <c r="X99" s="391"/>
      <c r="Y99" s="391"/>
      <c r="Z99" s="391"/>
      <c r="AA99" s="391"/>
      <c r="AB99" s="391"/>
      <c r="AC99" s="391"/>
      <c r="AD99" s="391"/>
      <c r="AE99" s="391"/>
      <c r="AF99" s="391"/>
      <c r="AG99" s="391"/>
      <c r="AH99" s="391"/>
      <c r="AI99" s="391"/>
      <c r="AJ99" s="391"/>
      <c r="AK99" s="391"/>
      <c r="AL99" s="391"/>
      <c r="AM99" s="391"/>
      <c r="AN99" s="391"/>
      <c r="AO99" s="391"/>
      <c r="AP99" s="391"/>
      <c r="AQ99" s="391"/>
      <c r="AR99" s="391"/>
      <c r="AS99" s="391"/>
      <c r="AT99" s="391"/>
      <c r="AU99" s="391"/>
      <c r="AV99" s="391"/>
      <c r="AW99" s="391"/>
      <c r="AX99" s="391"/>
      <c r="AY99" s="391"/>
      <c r="AZ99" s="391"/>
    </row>
    <row r="100" spans="1:52" s="366" customFormat="1" ht="14.25" customHeight="1">
      <c r="A100" s="391"/>
      <c r="B100" s="457" t="s">
        <v>211</v>
      </c>
      <c r="C100" s="391"/>
      <c r="D100" s="452">
        <f>+_xlfn.XLOOKUP($B100,Inputs!$B:$B,Inputs!Q:Q)</f>
        <v>14048</v>
      </c>
      <c r="E100" s="456">
        <v>12903.1</v>
      </c>
      <c r="F100" s="462">
        <v>3229</v>
      </c>
      <c r="G100" s="663">
        <v>135275</v>
      </c>
      <c r="H100" s="656">
        <v>23401</v>
      </c>
      <c r="I100" s="656">
        <v>5288</v>
      </c>
      <c r="J100" s="656">
        <v>-213801</v>
      </c>
      <c r="K100" s="656">
        <v>-68510</v>
      </c>
      <c r="L100" s="656"/>
      <c r="M100" s="656"/>
      <c r="N100" s="455"/>
      <c r="O100" s="391"/>
      <c r="P100" s="391"/>
      <c r="Q100" s="391"/>
      <c r="R100" s="391"/>
      <c r="S100" s="391"/>
      <c r="T100" s="391"/>
      <c r="U100" s="391"/>
      <c r="V100" s="391"/>
      <c r="W100" s="391"/>
      <c r="X100" s="391"/>
      <c r="Y100" s="391"/>
      <c r="Z100" s="391"/>
      <c r="AA100" s="391"/>
      <c r="AB100" s="391"/>
      <c r="AC100" s="391"/>
      <c r="AD100" s="391"/>
      <c r="AE100" s="391"/>
      <c r="AF100" s="391"/>
      <c r="AG100" s="391"/>
      <c r="AH100" s="391"/>
      <c r="AI100" s="391"/>
      <c r="AJ100" s="391"/>
      <c r="AK100" s="391"/>
      <c r="AL100" s="391"/>
      <c r="AM100" s="391"/>
      <c r="AN100" s="391"/>
      <c r="AO100" s="391"/>
      <c r="AP100" s="391"/>
      <c r="AQ100" s="391"/>
      <c r="AR100" s="391"/>
      <c r="AS100" s="391"/>
      <c r="AT100" s="391"/>
      <c r="AU100" s="391"/>
      <c r="AV100" s="391"/>
      <c r="AW100" s="391"/>
      <c r="AX100" s="391"/>
      <c r="AY100" s="391"/>
      <c r="AZ100" s="391"/>
    </row>
    <row r="101" spans="1:52" s="366" customFormat="1" ht="14.25" customHeight="1">
      <c r="A101" s="391"/>
      <c r="B101" s="457" t="s">
        <v>268</v>
      </c>
      <c r="C101" s="391"/>
      <c r="D101" s="452">
        <f>+_xlfn.XLOOKUP($B101,Inputs!$B:$B,Inputs!Q:Q)</f>
        <v>9381</v>
      </c>
      <c r="E101" s="456">
        <v>10034.299999999999</v>
      </c>
      <c r="F101" s="462">
        <v>2546</v>
      </c>
      <c r="G101" s="663">
        <v>109433</v>
      </c>
      <c r="H101" s="656">
        <v>16071</v>
      </c>
      <c r="I101" s="656">
        <v>2491</v>
      </c>
      <c r="J101" s="656">
        <v>-232455</v>
      </c>
      <c r="K101" s="656">
        <v>-75416</v>
      </c>
      <c r="L101" s="656"/>
      <c r="M101" s="656"/>
      <c r="N101" s="455"/>
      <c r="O101" s="391"/>
      <c r="P101" s="391"/>
      <c r="Q101" s="391"/>
      <c r="R101" s="391"/>
      <c r="S101" s="391"/>
      <c r="T101" s="391"/>
      <c r="U101" s="391"/>
      <c r="V101" s="391"/>
      <c r="W101" s="391"/>
      <c r="X101" s="391"/>
      <c r="Y101" s="391"/>
      <c r="Z101" s="391"/>
      <c r="AA101" s="391"/>
      <c r="AB101" s="391"/>
      <c r="AC101" s="391"/>
      <c r="AD101" s="391"/>
      <c r="AE101" s="391"/>
      <c r="AF101" s="391"/>
      <c r="AG101" s="391"/>
      <c r="AH101" s="391"/>
      <c r="AI101" s="391"/>
      <c r="AJ101" s="391"/>
      <c r="AK101" s="391"/>
      <c r="AL101" s="391"/>
      <c r="AM101" s="391"/>
      <c r="AN101" s="391"/>
      <c r="AO101" s="391"/>
      <c r="AP101" s="391"/>
      <c r="AQ101" s="391"/>
      <c r="AR101" s="391"/>
      <c r="AS101" s="391"/>
      <c r="AT101" s="391"/>
      <c r="AU101" s="391"/>
      <c r="AV101" s="391"/>
      <c r="AW101" s="391"/>
      <c r="AX101" s="391"/>
      <c r="AY101" s="391"/>
      <c r="AZ101" s="391"/>
    </row>
    <row r="102" spans="1:52" s="366" customFormat="1" ht="14.25" customHeight="1">
      <c r="A102" s="391"/>
      <c r="B102" s="457" t="s">
        <v>269</v>
      </c>
      <c r="C102" s="391"/>
      <c r="D102" s="452">
        <f>+_xlfn.XLOOKUP($B102,Inputs!$B:$B,Inputs!Q:Q)</f>
        <v>1712</v>
      </c>
      <c r="E102" s="456">
        <v>-213.3</v>
      </c>
      <c r="F102" s="462">
        <v>-27</v>
      </c>
      <c r="G102" s="663">
        <v>2935</v>
      </c>
      <c r="H102" s="656">
        <v>3063</v>
      </c>
      <c r="I102" s="656">
        <v>117</v>
      </c>
      <c r="J102" s="656">
        <v>-18249</v>
      </c>
      <c r="K102" s="656">
        <v>1858</v>
      </c>
      <c r="L102" s="676"/>
      <c r="M102" s="676"/>
      <c r="N102" s="463"/>
      <c r="O102" s="391"/>
      <c r="P102" s="391"/>
      <c r="Q102" s="391"/>
      <c r="R102" s="391"/>
      <c r="S102" s="391"/>
      <c r="T102" s="391"/>
      <c r="U102" s="391"/>
      <c r="V102" s="391"/>
      <c r="W102" s="391"/>
      <c r="X102" s="391"/>
      <c r="Y102" s="391"/>
      <c r="Z102" s="391"/>
      <c r="AA102" s="391"/>
      <c r="AB102" s="391"/>
      <c r="AC102" s="391"/>
      <c r="AD102" s="391"/>
      <c r="AE102" s="391"/>
      <c r="AF102" s="391"/>
      <c r="AG102" s="391"/>
      <c r="AH102" s="391"/>
      <c r="AI102" s="391"/>
      <c r="AJ102" s="391"/>
      <c r="AK102" s="391"/>
      <c r="AL102" s="391"/>
      <c r="AM102" s="391"/>
      <c r="AN102" s="391"/>
      <c r="AO102" s="391"/>
      <c r="AP102" s="391"/>
      <c r="AQ102" s="391"/>
      <c r="AR102" s="391"/>
      <c r="AS102" s="391"/>
      <c r="AT102" s="391"/>
      <c r="AU102" s="391"/>
      <c r="AV102" s="391"/>
      <c r="AW102" s="391"/>
      <c r="AX102" s="391"/>
      <c r="AY102" s="391"/>
      <c r="AZ102" s="391"/>
    </row>
    <row r="103" spans="1:52" s="366" customFormat="1" ht="14.25" customHeight="1">
      <c r="A103" s="391"/>
      <c r="B103" s="457" t="s">
        <v>270</v>
      </c>
      <c r="C103" s="391"/>
      <c r="D103" s="452">
        <f>+_xlfn.XLOOKUP($B103,Inputs!$B:$B,Inputs!Q:Q)</f>
        <v>5798</v>
      </c>
      <c r="E103" s="456">
        <v>10137.799999999999</v>
      </c>
      <c r="F103" s="462">
        <v>2559</v>
      </c>
      <c r="G103" s="663">
        <v>107787</v>
      </c>
      <c r="H103" s="656">
        <v>11741</v>
      </c>
      <c r="I103" s="656">
        <v>2953</v>
      </c>
      <c r="J103" s="656">
        <v>-331588</v>
      </c>
      <c r="K103" s="656">
        <v>-77274</v>
      </c>
      <c r="L103" s="656"/>
      <c r="M103" s="656"/>
      <c r="N103" s="455"/>
      <c r="O103" s="391"/>
      <c r="P103" s="391"/>
      <c r="Q103" s="391"/>
      <c r="R103" s="391"/>
      <c r="S103" s="391"/>
      <c r="T103" s="391"/>
      <c r="U103" s="391"/>
      <c r="V103" s="391"/>
      <c r="W103" s="391"/>
      <c r="X103" s="391"/>
      <c r="Y103" s="391"/>
      <c r="Z103" s="391"/>
      <c r="AA103" s="391"/>
      <c r="AB103" s="391"/>
      <c r="AC103" s="391"/>
      <c r="AD103" s="391"/>
      <c r="AE103" s="391"/>
      <c r="AF103" s="391"/>
      <c r="AG103" s="391"/>
      <c r="AH103" s="391"/>
      <c r="AI103" s="391"/>
      <c r="AJ103" s="391"/>
      <c r="AK103" s="391"/>
      <c r="AL103" s="391"/>
      <c r="AM103" s="391"/>
      <c r="AN103" s="391"/>
      <c r="AO103" s="391"/>
      <c r="AP103" s="391"/>
      <c r="AQ103" s="391"/>
      <c r="AR103" s="391"/>
      <c r="AS103" s="391"/>
      <c r="AT103" s="391"/>
      <c r="AU103" s="391"/>
      <c r="AV103" s="391"/>
      <c r="AW103" s="391"/>
      <c r="AX103" s="391"/>
      <c r="AY103" s="391"/>
      <c r="AZ103" s="391"/>
    </row>
    <row r="104" spans="1:52" s="366" customFormat="1" ht="14.25" customHeight="1">
      <c r="A104" s="391"/>
      <c r="B104" s="457" t="s">
        <v>271</v>
      </c>
      <c r="C104" s="391"/>
      <c r="D104" s="452">
        <f>+_xlfn.XLOOKUP($B104,Inputs!$B:$B,Inputs!Q:Q)</f>
        <v>-218</v>
      </c>
      <c r="E104" s="456">
        <v>2280.1</v>
      </c>
      <c r="F104" s="462">
        <v>681</v>
      </c>
      <c r="G104" s="663">
        <v>19651</v>
      </c>
      <c r="H104" s="656">
        <v>1274</v>
      </c>
      <c r="I104" s="656">
        <v>374</v>
      </c>
      <c r="J104" s="656">
        <v>5.8999999999999997E-2</v>
      </c>
      <c r="K104" s="656">
        <v>0</v>
      </c>
      <c r="L104" s="656"/>
      <c r="M104" s="656"/>
      <c r="N104" s="455"/>
      <c r="O104" s="391"/>
      <c r="P104" s="391"/>
      <c r="Q104" s="391"/>
      <c r="R104" s="391"/>
      <c r="S104" s="391"/>
      <c r="T104" s="391"/>
      <c r="U104" s="391"/>
      <c r="V104" s="391"/>
      <c r="W104" s="391"/>
      <c r="X104" s="391"/>
      <c r="Y104" s="391"/>
      <c r="Z104" s="391"/>
      <c r="AA104" s="391"/>
      <c r="AB104" s="391"/>
      <c r="AC104" s="391"/>
      <c r="AD104" s="391"/>
      <c r="AE104" s="391"/>
      <c r="AF104" s="391"/>
      <c r="AG104" s="391"/>
      <c r="AH104" s="391"/>
      <c r="AI104" s="391"/>
      <c r="AJ104" s="391"/>
      <c r="AK104" s="391"/>
      <c r="AL104" s="391"/>
      <c r="AM104" s="391"/>
      <c r="AN104" s="391"/>
      <c r="AO104" s="391"/>
      <c r="AP104" s="391"/>
      <c r="AQ104" s="391"/>
      <c r="AR104" s="391"/>
      <c r="AS104" s="391"/>
      <c r="AT104" s="391"/>
      <c r="AU104" s="391"/>
      <c r="AV104" s="391"/>
      <c r="AW104" s="391"/>
      <c r="AX104" s="391"/>
      <c r="AY104" s="391"/>
      <c r="AZ104" s="391"/>
    </row>
    <row r="105" spans="1:52" s="366" customFormat="1" ht="14.25" customHeight="1">
      <c r="A105" s="391"/>
      <c r="B105" s="457" t="s">
        <v>272</v>
      </c>
      <c r="C105" s="391"/>
      <c r="D105" s="452">
        <f>+_xlfn.XLOOKUP($B105,Inputs!$B:$B,Inputs!Q:Q)</f>
        <v>6016</v>
      </c>
      <c r="E105" s="456">
        <v>7264.8</v>
      </c>
      <c r="F105" s="462">
        <v>1671</v>
      </c>
      <c r="G105" s="663">
        <v>88136</v>
      </c>
      <c r="H105" s="656">
        <v>10467</v>
      </c>
      <c r="I105" s="656">
        <v>2579</v>
      </c>
      <c r="J105" s="656">
        <v>-331588.05900000001</v>
      </c>
      <c r="K105" s="656">
        <v>-77274</v>
      </c>
      <c r="L105" s="656"/>
      <c r="M105" s="656"/>
      <c r="N105" s="455"/>
      <c r="O105" s="391"/>
      <c r="P105" s="391"/>
      <c r="Q105" s="391"/>
      <c r="R105" s="391"/>
      <c r="S105" s="391"/>
      <c r="T105" s="391"/>
      <c r="U105" s="391"/>
      <c r="V105" s="391"/>
      <c r="W105" s="391"/>
      <c r="X105" s="391"/>
      <c r="Y105" s="391"/>
      <c r="Z105" s="391"/>
      <c r="AA105" s="391"/>
      <c r="AB105" s="391"/>
      <c r="AC105" s="391"/>
      <c r="AD105" s="391"/>
      <c r="AE105" s="391"/>
      <c r="AF105" s="391"/>
      <c r="AG105" s="391"/>
      <c r="AH105" s="391"/>
      <c r="AI105" s="391"/>
      <c r="AJ105" s="391"/>
      <c r="AK105" s="391"/>
      <c r="AL105" s="391"/>
      <c r="AM105" s="391"/>
      <c r="AN105" s="391"/>
      <c r="AO105" s="391"/>
      <c r="AP105" s="391"/>
      <c r="AQ105" s="391"/>
      <c r="AR105" s="391"/>
      <c r="AS105" s="391"/>
      <c r="AT105" s="391"/>
      <c r="AU105" s="391"/>
      <c r="AV105" s="391"/>
      <c r="AW105" s="391"/>
      <c r="AX105" s="391"/>
      <c r="AY105" s="391"/>
      <c r="AZ105" s="391"/>
    </row>
    <row r="106" spans="1:52" s="366" customFormat="1" ht="14.25" customHeight="1">
      <c r="A106" s="391"/>
      <c r="B106" s="457" t="s">
        <v>273</v>
      </c>
      <c r="C106" s="391"/>
      <c r="D106" s="452">
        <f>+_xlfn.XLOOKUP($B106,Inputs!$B:$B,Inputs!Q:Q)</f>
        <v>6.53</v>
      </c>
      <c r="E106" s="464">
        <v>11.57</v>
      </c>
      <c r="F106" s="465">
        <v>9.82</v>
      </c>
      <c r="G106" s="665">
        <v>11.36</v>
      </c>
      <c r="H106" s="673">
        <v>3.82</v>
      </c>
      <c r="I106" s="673">
        <v>1.95</v>
      </c>
      <c r="J106" s="673">
        <v>-1.56</v>
      </c>
      <c r="K106" s="673">
        <v>-1.0900000000000001</v>
      </c>
      <c r="L106" s="673"/>
      <c r="M106" s="673"/>
      <c r="N106" s="466"/>
      <c r="O106" s="391"/>
      <c r="P106" s="391"/>
      <c r="Q106" s="391"/>
      <c r="R106" s="391"/>
      <c r="S106" s="391"/>
      <c r="T106" s="391"/>
      <c r="U106" s="391"/>
      <c r="V106" s="391"/>
      <c r="W106" s="391"/>
      <c r="X106" s="391"/>
      <c r="Y106" s="391"/>
      <c r="Z106" s="391"/>
      <c r="AA106" s="391"/>
      <c r="AB106" s="391"/>
      <c r="AC106" s="391"/>
      <c r="AD106" s="391"/>
      <c r="AE106" s="391"/>
      <c r="AF106" s="391"/>
      <c r="AG106" s="391"/>
      <c r="AH106" s="391"/>
      <c r="AI106" s="391"/>
      <c r="AJ106" s="391"/>
      <c r="AK106" s="391"/>
      <c r="AL106" s="391"/>
      <c r="AM106" s="391"/>
      <c r="AN106" s="391"/>
      <c r="AO106" s="391"/>
      <c r="AP106" s="391"/>
      <c r="AQ106" s="391"/>
      <c r="AR106" s="391"/>
      <c r="AS106" s="391"/>
      <c r="AT106" s="391"/>
      <c r="AU106" s="391"/>
      <c r="AV106" s="391"/>
      <c r="AW106" s="391"/>
      <c r="AX106" s="391"/>
      <c r="AY106" s="391"/>
      <c r="AZ106" s="391"/>
    </row>
    <row r="107" spans="1:52" s="366" customFormat="1" ht="14.25" customHeight="1">
      <c r="A107" s="391"/>
      <c r="B107" s="457" t="s">
        <v>274</v>
      </c>
      <c r="C107" s="391"/>
      <c r="D107" s="452">
        <f>+_xlfn.XLOOKUP($B107,Inputs!$B:$B,Inputs!Q:Q)</f>
        <v>7479</v>
      </c>
      <c r="E107" s="456">
        <v>1150.4000000000001</v>
      </c>
      <c r="F107" s="462">
        <v>0</v>
      </c>
      <c r="G107" s="663">
        <v>29510</v>
      </c>
      <c r="H107" s="656">
        <v>8915</v>
      </c>
      <c r="I107" s="656">
        <v>1640</v>
      </c>
      <c r="J107" s="656">
        <v>136827</v>
      </c>
      <c r="K107" s="656">
        <v>49750</v>
      </c>
      <c r="L107" s="656"/>
      <c r="M107" s="656"/>
      <c r="N107" s="455"/>
      <c r="O107" s="391"/>
      <c r="P107" s="391"/>
      <c r="Q107" s="391"/>
      <c r="R107" s="391"/>
      <c r="S107" s="391"/>
      <c r="T107" s="391"/>
      <c r="U107" s="391"/>
      <c r="V107" s="391"/>
      <c r="W107" s="391"/>
      <c r="X107" s="391"/>
      <c r="Y107" s="391"/>
      <c r="Z107" s="391"/>
      <c r="AA107" s="391"/>
      <c r="AB107" s="391"/>
      <c r="AC107" s="391"/>
      <c r="AD107" s="391"/>
      <c r="AE107" s="391"/>
      <c r="AF107" s="391"/>
      <c r="AG107" s="391"/>
      <c r="AH107" s="391"/>
      <c r="AI107" s="391"/>
      <c r="AJ107" s="391"/>
      <c r="AK107" s="391"/>
      <c r="AL107" s="391"/>
      <c r="AM107" s="391"/>
      <c r="AN107" s="391"/>
      <c r="AO107" s="391"/>
      <c r="AP107" s="391"/>
      <c r="AQ107" s="391"/>
      <c r="AR107" s="391"/>
      <c r="AS107" s="391"/>
      <c r="AT107" s="391"/>
      <c r="AU107" s="391"/>
      <c r="AV107" s="391"/>
      <c r="AW107" s="391"/>
      <c r="AX107" s="391"/>
      <c r="AY107" s="391"/>
      <c r="AZ107" s="391"/>
    </row>
    <row r="108" spans="1:52" s="366" customFormat="1" ht="3.75" customHeight="1">
      <c r="A108" s="391"/>
      <c r="B108" s="457"/>
      <c r="C108" s="391"/>
      <c r="D108" s="467"/>
      <c r="E108" s="468"/>
      <c r="F108" s="469"/>
      <c r="G108" s="666"/>
      <c r="H108" s="674"/>
      <c r="I108" s="674"/>
      <c r="J108" s="674"/>
      <c r="K108" s="674"/>
      <c r="L108" s="674"/>
      <c r="M108" s="674"/>
      <c r="N108" s="435"/>
      <c r="O108" s="391"/>
      <c r="P108" s="391"/>
      <c r="Q108" s="391"/>
      <c r="R108" s="391"/>
      <c r="S108" s="391"/>
      <c r="T108" s="391"/>
      <c r="U108" s="391"/>
      <c r="V108" s="391"/>
      <c r="W108" s="391"/>
      <c r="X108" s="391"/>
      <c r="Y108" s="391"/>
      <c r="Z108" s="391"/>
      <c r="AA108" s="391"/>
      <c r="AB108" s="391"/>
      <c r="AC108" s="391"/>
      <c r="AD108" s="391"/>
      <c r="AE108" s="391"/>
      <c r="AF108" s="391"/>
      <c r="AG108" s="391"/>
      <c r="AH108" s="391"/>
      <c r="AI108" s="391"/>
      <c r="AJ108" s="391"/>
      <c r="AK108" s="391"/>
      <c r="AL108" s="391"/>
      <c r="AM108" s="391"/>
      <c r="AN108" s="391"/>
      <c r="AO108" s="391"/>
      <c r="AP108" s="391"/>
      <c r="AQ108" s="391"/>
      <c r="AR108" s="391"/>
      <c r="AS108" s="391"/>
      <c r="AT108" s="391"/>
      <c r="AU108" s="391"/>
      <c r="AV108" s="391"/>
      <c r="AW108" s="391"/>
      <c r="AX108" s="391"/>
      <c r="AY108" s="391"/>
      <c r="AZ108" s="391"/>
    </row>
    <row r="109" spans="1:52" s="366" customFormat="1" ht="14.25" customHeight="1">
      <c r="A109" s="391"/>
      <c r="B109" s="443" t="s">
        <v>275</v>
      </c>
      <c r="C109" s="428"/>
      <c r="D109" s="470"/>
      <c r="E109" s="471"/>
      <c r="F109" s="472"/>
      <c r="G109" s="667"/>
      <c r="H109" s="657"/>
      <c r="I109" s="657"/>
      <c r="J109" s="657"/>
      <c r="K109" s="657"/>
      <c r="L109" s="657"/>
      <c r="M109" s="657"/>
      <c r="N109" s="473"/>
      <c r="O109" s="391"/>
      <c r="P109" s="391"/>
      <c r="Q109" s="391"/>
      <c r="R109" s="391"/>
      <c r="S109" s="391"/>
      <c r="T109" s="391"/>
      <c r="U109" s="391"/>
      <c r="V109" s="391"/>
      <c r="W109" s="391"/>
      <c r="X109" s="391"/>
      <c r="Y109" s="391"/>
      <c r="Z109" s="391"/>
      <c r="AA109" s="391"/>
      <c r="AB109" s="391"/>
      <c r="AC109" s="391"/>
      <c r="AD109" s="391"/>
      <c r="AE109" s="391"/>
      <c r="AF109" s="391"/>
      <c r="AG109" s="391"/>
      <c r="AH109" s="391"/>
      <c r="AI109" s="391"/>
      <c r="AJ109" s="391"/>
      <c r="AK109" s="391"/>
      <c r="AL109" s="391"/>
      <c r="AM109" s="391"/>
      <c r="AN109" s="391"/>
      <c r="AO109" s="391"/>
      <c r="AP109" s="391"/>
      <c r="AQ109" s="391"/>
      <c r="AR109" s="391"/>
      <c r="AS109" s="391"/>
      <c r="AT109" s="391"/>
      <c r="AU109" s="391"/>
      <c r="AV109" s="391"/>
      <c r="AW109" s="391"/>
      <c r="AX109" s="391"/>
      <c r="AY109" s="391"/>
      <c r="AZ109" s="391"/>
    </row>
    <row r="110" spans="1:52" s="366" customFormat="1" ht="3.75" customHeight="1">
      <c r="A110" s="391"/>
      <c r="B110" s="444"/>
      <c r="C110" s="432"/>
      <c r="D110" s="474"/>
      <c r="E110" s="475"/>
      <c r="F110" s="476"/>
      <c r="G110" s="655"/>
      <c r="H110" s="658"/>
      <c r="I110" s="658"/>
      <c r="J110" s="658"/>
      <c r="K110" s="658"/>
      <c r="L110" s="658"/>
      <c r="M110" s="658"/>
      <c r="N110" s="437"/>
      <c r="O110" s="391"/>
      <c r="P110" s="391"/>
      <c r="Q110" s="391"/>
      <c r="R110" s="391"/>
      <c r="S110" s="391"/>
      <c r="T110" s="391"/>
      <c r="U110" s="391"/>
      <c r="V110" s="391"/>
      <c r="W110" s="391"/>
      <c r="X110" s="391"/>
      <c r="Y110" s="391"/>
      <c r="Z110" s="391"/>
      <c r="AA110" s="391"/>
      <c r="AB110" s="391"/>
      <c r="AC110" s="391"/>
      <c r="AD110" s="391"/>
      <c r="AE110" s="391"/>
      <c r="AF110" s="391"/>
      <c r="AG110" s="391"/>
      <c r="AH110" s="391"/>
      <c r="AI110" s="391"/>
      <c r="AJ110" s="391"/>
      <c r="AK110" s="391"/>
      <c r="AL110" s="391"/>
      <c r="AM110" s="391"/>
      <c r="AN110" s="391"/>
      <c r="AO110" s="391"/>
      <c r="AP110" s="391"/>
      <c r="AQ110" s="391"/>
      <c r="AR110" s="391"/>
      <c r="AS110" s="391"/>
      <c r="AT110" s="391"/>
      <c r="AU110" s="391"/>
      <c r="AV110" s="391"/>
      <c r="AW110" s="391"/>
      <c r="AX110" s="391"/>
      <c r="AY110" s="391"/>
      <c r="AZ110" s="391"/>
    </row>
    <row r="111" spans="1:52" s="366" customFormat="1" ht="14.25" customHeight="1">
      <c r="A111" s="391"/>
      <c r="B111" s="457" t="s">
        <v>276</v>
      </c>
      <c r="C111" s="391"/>
      <c r="D111" s="452">
        <f>+_xlfn.XLOOKUP($B111,Inputs!$B:$B,Inputs!Q:Q)</f>
        <v>13947</v>
      </c>
      <c r="E111" s="456">
        <v>5004.5</v>
      </c>
      <c r="F111" s="462">
        <v>2789</v>
      </c>
      <c r="G111" s="663">
        <v>18315</v>
      </c>
      <c r="H111" s="656">
        <v>9765</v>
      </c>
      <c r="I111" s="656">
        <v>14846</v>
      </c>
      <c r="J111" s="656">
        <v>54393</v>
      </c>
      <c r="K111" s="656">
        <v>67674</v>
      </c>
      <c r="L111" s="656"/>
      <c r="M111" s="656"/>
      <c r="N111" s="455"/>
      <c r="O111" s="391"/>
      <c r="P111" s="391"/>
      <c r="Q111" s="391"/>
      <c r="R111" s="391"/>
      <c r="S111" s="391"/>
      <c r="T111" s="391"/>
      <c r="U111" s="391"/>
      <c r="V111" s="391"/>
      <c r="W111" s="391"/>
      <c r="X111" s="391"/>
      <c r="Y111" s="391"/>
      <c r="Z111" s="391"/>
      <c r="AA111" s="391"/>
      <c r="AB111" s="391"/>
      <c r="AC111" s="391"/>
      <c r="AD111" s="391"/>
      <c r="AE111" s="391"/>
      <c r="AF111" s="391"/>
      <c r="AG111" s="391"/>
      <c r="AH111" s="391"/>
      <c r="AI111" s="391"/>
      <c r="AJ111" s="391"/>
      <c r="AK111" s="391"/>
      <c r="AL111" s="391"/>
      <c r="AM111" s="391"/>
      <c r="AN111" s="391"/>
      <c r="AO111" s="391"/>
      <c r="AP111" s="391"/>
      <c r="AQ111" s="391"/>
      <c r="AR111" s="391"/>
      <c r="AS111" s="391"/>
      <c r="AT111" s="391"/>
      <c r="AU111" s="391"/>
      <c r="AV111" s="391"/>
      <c r="AW111" s="391"/>
      <c r="AX111" s="391"/>
      <c r="AY111" s="391"/>
      <c r="AZ111" s="391"/>
    </row>
    <row r="112" spans="1:52" s="366" customFormat="1" ht="14.25" customHeight="1">
      <c r="A112" s="391"/>
      <c r="B112" s="457" t="s">
        <v>277</v>
      </c>
      <c r="C112" s="391"/>
      <c r="D112" s="452">
        <f>+_xlfn.XLOOKUP($B112,Inputs!$B:$B,Inputs!Q:Q)</f>
        <v>7751</v>
      </c>
      <c r="E112" s="456">
        <v>11873.4</v>
      </c>
      <c r="F112" s="462">
        <v>3238</v>
      </c>
      <c r="G112" s="663">
        <v>56924</v>
      </c>
      <c r="H112" s="656">
        <v>6915</v>
      </c>
      <c r="I112" s="656">
        <v>3236</v>
      </c>
      <c r="J112" s="656">
        <v>6516</v>
      </c>
      <c r="K112" s="656">
        <v>2427</v>
      </c>
      <c r="L112" s="656"/>
      <c r="M112" s="656"/>
      <c r="N112" s="455"/>
      <c r="O112" s="391"/>
      <c r="P112" s="391"/>
      <c r="Q112" s="391"/>
      <c r="R112" s="391"/>
      <c r="S112" s="391"/>
      <c r="T112" s="391"/>
      <c r="U112" s="391"/>
      <c r="V112" s="391"/>
      <c r="W112" s="391"/>
      <c r="X112" s="391"/>
      <c r="Y112" s="391"/>
      <c r="Z112" s="391"/>
      <c r="AA112" s="391"/>
      <c r="AB112" s="391"/>
      <c r="AC112" s="391"/>
      <c r="AD112" s="391"/>
      <c r="AE112" s="391"/>
      <c r="AF112" s="391"/>
      <c r="AG112" s="391"/>
      <c r="AH112" s="391"/>
      <c r="AI112" s="391"/>
      <c r="AJ112" s="391"/>
      <c r="AK112" s="391"/>
      <c r="AL112" s="391"/>
      <c r="AM112" s="391"/>
      <c r="AN112" s="391"/>
      <c r="AO112" s="391"/>
      <c r="AP112" s="391"/>
      <c r="AQ112" s="391"/>
      <c r="AR112" s="391"/>
      <c r="AS112" s="391"/>
      <c r="AT112" s="391"/>
      <c r="AU112" s="391"/>
      <c r="AV112" s="391"/>
      <c r="AW112" s="391"/>
      <c r="AX112" s="391"/>
      <c r="AY112" s="391"/>
      <c r="AZ112" s="391"/>
    </row>
    <row r="113" spans="1:52" s="366" customFormat="1" ht="14.25" customHeight="1">
      <c r="A113" s="391"/>
      <c r="B113" s="457" t="s">
        <v>278</v>
      </c>
      <c r="C113" s="391"/>
      <c r="D113" s="452">
        <f>+_xlfn.XLOOKUP("Inventory",Inputs!$B:$B,Inputs!P:P)</f>
        <v>1161</v>
      </c>
      <c r="E113" s="456">
        <v>0</v>
      </c>
      <c r="F113" s="462">
        <v>0</v>
      </c>
      <c r="G113" s="663">
        <v>2500</v>
      </c>
      <c r="H113" s="656">
        <v>298</v>
      </c>
      <c r="I113" s="656">
        <v>4607</v>
      </c>
      <c r="J113" s="656">
        <v>0</v>
      </c>
      <c r="K113" s="656">
        <v>0</v>
      </c>
      <c r="L113" s="656"/>
      <c r="M113" s="656"/>
      <c r="N113" s="455"/>
      <c r="O113" s="391"/>
      <c r="P113" s="391"/>
      <c r="Q113" s="391"/>
      <c r="R113" s="391"/>
      <c r="S113" s="391"/>
      <c r="T113" s="391"/>
      <c r="U113" s="391"/>
      <c r="V113" s="391"/>
      <c r="W113" s="391"/>
      <c r="X113" s="391"/>
      <c r="Y113" s="391"/>
      <c r="Z113" s="391"/>
      <c r="AA113" s="391"/>
      <c r="AB113" s="391"/>
      <c r="AC113" s="391"/>
      <c r="AD113" s="391"/>
      <c r="AE113" s="391"/>
      <c r="AF113" s="391"/>
      <c r="AG113" s="391"/>
      <c r="AH113" s="391"/>
      <c r="AI113" s="391"/>
      <c r="AJ113" s="391"/>
      <c r="AK113" s="391"/>
      <c r="AL113" s="391"/>
      <c r="AM113" s="391"/>
      <c r="AN113" s="391"/>
      <c r="AO113" s="391"/>
      <c r="AP113" s="391"/>
      <c r="AQ113" s="391"/>
      <c r="AR113" s="391"/>
      <c r="AS113" s="391"/>
      <c r="AT113" s="391"/>
      <c r="AU113" s="391"/>
      <c r="AV113" s="391"/>
      <c r="AW113" s="391"/>
      <c r="AX113" s="391"/>
      <c r="AY113" s="391"/>
      <c r="AZ113" s="391"/>
    </row>
    <row r="114" spans="1:52" s="366" customFormat="1" ht="14.25" customHeight="1">
      <c r="A114" s="391"/>
      <c r="B114" s="457" t="s">
        <v>279</v>
      </c>
      <c r="C114" s="391"/>
      <c r="D114" s="452">
        <f>+_xlfn.XLOOKUP("Inventory",Inputs!$B:$B,Inputs!Q:Q)</f>
        <v>1289</v>
      </c>
      <c r="E114" s="456">
        <v>0</v>
      </c>
      <c r="F114" s="462">
        <v>0</v>
      </c>
      <c r="G114" s="663">
        <v>1246</v>
      </c>
      <c r="H114" s="656">
        <v>334</v>
      </c>
      <c r="I114" s="656">
        <v>7810</v>
      </c>
      <c r="J114" s="656">
        <v>0</v>
      </c>
      <c r="K114" s="656">
        <v>0</v>
      </c>
      <c r="L114" s="656"/>
      <c r="M114" s="656"/>
      <c r="N114" s="455"/>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391"/>
      <c r="AN114" s="391"/>
      <c r="AO114" s="391"/>
      <c r="AP114" s="391"/>
      <c r="AQ114" s="391"/>
      <c r="AR114" s="391"/>
      <c r="AS114" s="391"/>
      <c r="AT114" s="391"/>
      <c r="AU114" s="391"/>
      <c r="AV114" s="391"/>
      <c r="AW114" s="391"/>
      <c r="AX114" s="391"/>
      <c r="AY114" s="391"/>
      <c r="AZ114" s="391"/>
    </row>
    <row r="115" spans="1:52" s="366" customFormat="1" ht="14.25" customHeight="1">
      <c r="A115" s="391"/>
      <c r="B115" s="457" t="s">
        <v>280</v>
      </c>
      <c r="C115" s="391"/>
      <c r="D115" s="452">
        <f>+_xlfn.XLOOKUP($B115,Inputs!$B:$B,Inputs!Q:Q)</f>
        <v>34482</v>
      </c>
      <c r="E115" s="456">
        <v>20857.8</v>
      </c>
      <c r="F115" s="462">
        <v>9308</v>
      </c>
      <c r="G115" s="663">
        <v>159734</v>
      </c>
      <c r="H115" s="656">
        <v>22554</v>
      </c>
      <c r="I115" s="656">
        <v>33457</v>
      </c>
      <c r="J115" s="656">
        <v>378802</v>
      </c>
      <c r="K115" s="656">
        <v>206758</v>
      </c>
      <c r="L115" s="656"/>
      <c r="M115" s="656"/>
      <c r="N115" s="455"/>
      <c r="O115" s="391"/>
      <c r="P115" s="391"/>
      <c r="Q115" s="391"/>
      <c r="R115" s="391"/>
      <c r="S115" s="391"/>
      <c r="T115" s="391"/>
      <c r="U115" s="391"/>
      <c r="V115" s="391"/>
      <c r="W115" s="391"/>
      <c r="X115" s="391"/>
      <c r="Y115" s="391"/>
      <c r="Z115" s="391"/>
      <c r="AA115" s="391"/>
      <c r="AB115" s="391"/>
      <c r="AC115" s="391"/>
      <c r="AD115" s="391"/>
      <c r="AE115" s="391"/>
      <c r="AF115" s="391"/>
      <c r="AG115" s="391"/>
      <c r="AH115" s="391"/>
      <c r="AI115" s="391"/>
      <c r="AJ115" s="391"/>
      <c r="AK115" s="391"/>
      <c r="AL115" s="391"/>
      <c r="AM115" s="391"/>
      <c r="AN115" s="391"/>
      <c r="AO115" s="391"/>
      <c r="AP115" s="391"/>
      <c r="AQ115" s="391"/>
      <c r="AR115" s="391"/>
      <c r="AS115" s="391"/>
      <c r="AT115" s="391"/>
      <c r="AU115" s="391"/>
      <c r="AV115" s="391"/>
      <c r="AW115" s="391"/>
      <c r="AX115" s="391"/>
      <c r="AY115" s="391"/>
      <c r="AZ115" s="391"/>
    </row>
    <row r="116" spans="1:52" s="366" customFormat="1" ht="14.25" customHeight="1">
      <c r="A116" s="391"/>
      <c r="B116" s="457" t="s">
        <v>281</v>
      </c>
      <c r="C116" s="391"/>
      <c r="D116" s="452">
        <f>+_xlfn.XLOOKUP($B116,Inputs!$B:$B,Inputs!Q:Q)</f>
        <v>5732</v>
      </c>
      <c r="E116" s="456">
        <v>4278.5</v>
      </c>
      <c r="F116" s="462">
        <v>1617</v>
      </c>
      <c r="G116" s="663">
        <v>154552</v>
      </c>
      <c r="H116" s="656">
        <v>28836</v>
      </c>
      <c r="I116" s="656">
        <v>7072</v>
      </c>
      <c r="J116" s="656">
        <v>62231</v>
      </c>
      <c r="K116" s="656">
        <v>52636</v>
      </c>
      <c r="L116" s="656"/>
      <c r="M116" s="656"/>
      <c r="N116" s="455"/>
      <c r="O116" s="391"/>
      <c r="P116" s="391"/>
      <c r="Q116" s="391"/>
      <c r="R116" s="391"/>
      <c r="S116" s="391"/>
      <c r="T116" s="391"/>
      <c r="U116" s="391"/>
      <c r="V116" s="391"/>
      <c r="W116" s="391"/>
      <c r="X116" s="391"/>
      <c r="Y116" s="391"/>
      <c r="Z116" s="391"/>
      <c r="AA116" s="391"/>
      <c r="AB116" s="391"/>
      <c r="AC116" s="391"/>
      <c r="AD116" s="391"/>
      <c r="AE116" s="391"/>
      <c r="AF116" s="391"/>
      <c r="AG116" s="391"/>
      <c r="AH116" s="391"/>
      <c r="AI116" s="391"/>
      <c r="AJ116" s="391"/>
      <c r="AK116" s="391"/>
      <c r="AL116" s="391"/>
      <c r="AM116" s="391"/>
      <c r="AN116" s="391"/>
      <c r="AO116" s="391"/>
      <c r="AP116" s="391"/>
      <c r="AQ116" s="391"/>
      <c r="AR116" s="391"/>
      <c r="AS116" s="391"/>
      <c r="AT116" s="391"/>
      <c r="AU116" s="391"/>
      <c r="AV116" s="391"/>
      <c r="AW116" s="391"/>
      <c r="AX116" s="391"/>
      <c r="AY116" s="391"/>
      <c r="AZ116" s="391"/>
    </row>
    <row r="117" spans="1:52" s="366" customFormat="1" ht="14.25" customHeight="1">
      <c r="A117" s="391"/>
      <c r="B117" s="457" t="s">
        <v>282</v>
      </c>
      <c r="C117" s="477"/>
      <c r="D117" s="478">
        <f>+_xlfn.XLOOKUP($B117,Inputs!$B:$B,Inputs!Q:Q)</f>
        <v>137175</v>
      </c>
      <c r="E117" s="456">
        <v>55932.4</v>
      </c>
      <c r="F117" s="456">
        <v>25660</v>
      </c>
      <c r="G117" s="663">
        <v>512163</v>
      </c>
      <c r="H117" s="656">
        <v>140976</v>
      </c>
      <c r="I117" s="656">
        <v>71262</v>
      </c>
      <c r="J117" s="656">
        <v>508388</v>
      </c>
      <c r="K117" s="656">
        <v>284787</v>
      </c>
      <c r="L117" s="656"/>
      <c r="M117" s="656"/>
      <c r="N117" s="455"/>
      <c r="O117" s="391"/>
      <c r="P117" s="391"/>
      <c r="Q117" s="391"/>
      <c r="R117" s="391"/>
      <c r="S117" s="391"/>
      <c r="T117" s="391"/>
      <c r="U117" s="391"/>
      <c r="V117" s="391"/>
      <c r="W117" s="391"/>
      <c r="X117" s="391"/>
      <c r="Y117" s="391"/>
      <c r="Z117" s="391"/>
      <c r="AA117" s="391"/>
      <c r="AB117" s="391"/>
      <c r="AC117" s="391"/>
      <c r="AD117" s="391"/>
      <c r="AE117" s="391"/>
      <c r="AF117" s="391"/>
      <c r="AG117" s="391"/>
      <c r="AH117" s="391"/>
      <c r="AI117" s="391"/>
      <c r="AJ117" s="391"/>
      <c r="AK117" s="391"/>
      <c r="AL117" s="391"/>
      <c r="AM117" s="391"/>
      <c r="AN117" s="391"/>
      <c r="AO117" s="391"/>
      <c r="AP117" s="391"/>
      <c r="AQ117" s="391"/>
      <c r="AR117" s="391"/>
      <c r="AS117" s="391"/>
      <c r="AT117" s="391"/>
      <c r="AU117" s="391"/>
      <c r="AV117" s="391"/>
      <c r="AW117" s="391"/>
      <c r="AX117" s="391"/>
      <c r="AY117" s="391"/>
      <c r="AZ117" s="391"/>
    </row>
    <row r="118" spans="1:52" s="366" customFormat="1" ht="14.25" customHeight="1">
      <c r="A118" s="391"/>
      <c r="B118" s="457" t="s">
        <v>283</v>
      </c>
      <c r="C118" s="391"/>
      <c r="D118" s="452">
        <f>+_xlfn.XLOOKUP($B118,Inputs!$B:$B,Inputs!Q:Q)</f>
        <v>4032</v>
      </c>
      <c r="E118" s="456">
        <v>2743.8</v>
      </c>
      <c r="F118" s="462">
        <v>1642</v>
      </c>
      <c r="G118" s="663">
        <v>21996</v>
      </c>
      <c r="H118" s="656">
        <v>2357</v>
      </c>
      <c r="I118" s="656">
        <v>11064</v>
      </c>
      <c r="J118" s="656">
        <v>5230</v>
      </c>
      <c r="K118" s="656">
        <v>1590</v>
      </c>
      <c r="L118" s="656"/>
      <c r="M118" s="656"/>
      <c r="N118" s="455"/>
      <c r="O118" s="391"/>
      <c r="P118" s="391"/>
      <c r="Q118" s="391"/>
      <c r="R118" s="391"/>
      <c r="S118" s="391"/>
      <c r="T118" s="391"/>
      <c r="U118" s="391"/>
      <c r="V118" s="391"/>
      <c r="W118" s="391"/>
      <c r="X118" s="391"/>
      <c r="Y118" s="391"/>
      <c r="Z118" s="391"/>
      <c r="AA118" s="391"/>
      <c r="AB118" s="391"/>
      <c r="AC118" s="391"/>
      <c r="AD118" s="391"/>
      <c r="AE118" s="391"/>
      <c r="AF118" s="391"/>
      <c r="AG118" s="391"/>
      <c r="AH118" s="391"/>
      <c r="AI118" s="391"/>
      <c r="AJ118" s="391"/>
      <c r="AK118" s="391"/>
      <c r="AL118" s="391"/>
      <c r="AM118" s="391"/>
      <c r="AN118" s="391"/>
      <c r="AO118" s="391"/>
      <c r="AP118" s="391"/>
      <c r="AQ118" s="391"/>
      <c r="AR118" s="391"/>
      <c r="AS118" s="391"/>
      <c r="AT118" s="391"/>
      <c r="AU118" s="391"/>
      <c r="AV118" s="391"/>
      <c r="AW118" s="391"/>
      <c r="AX118" s="391"/>
      <c r="AY118" s="391"/>
      <c r="AZ118" s="391"/>
    </row>
    <row r="119" spans="1:52" s="366" customFormat="1" ht="14.25" customHeight="1">
      <c r="A119" s="391"/>
      <c r="B119" s="457" t="s">
        <v>284</v>
      </c>
      <c r="C119" s="391"/>
      <c r="D119" s="452">
        <f>+_xlfn.XLOOKUP($B119,Inputs!$B:$B,Inputs!Q:Q)</f>
        <v>33142</v>
      </c>
      <c r="E119" s="456">
        <v>18976.099999999999</v>
      </c>
      <c r="F119" s="462">
        <v>7709</v>
      </c>
      <c r="G119" s="663">
        <v>125286</v>
      </c>
      <c r="H119" s="656">
        <v>31544</v>
      </c>
      <c r="I119" s="656">
        <v>25973</v>
      </c>
      <c r="J119" s="656">
        <v>36085</v>
      </c>
      <c r="K119" s="656">
        <v>11867</v>
      </c>
      <c r="L119" s="656"/>
      <c r="M119" s="656"/>
      <c r="N119" s="455"/>
      <c r="O119" s="391"/>
      <c r="P119" s="391"/>
      <c r="Q119" s="391"/>
      <c r="R119" s="391"/>
      <c r="S119" s="391"/>
      <c r="T119" s="391"/>
      <c r="U119" s="391"/>
      <c r="V119" s="391"/>
      <c r="W119" s="391"/>
      <c r="X119" s="391"/>
      <c r="Y119" s="391"/>
      <c r="Z119" s="391"/>
      <c r="AA119" s="391"/>
      <c r="AB119" s="391"/>
      <c r="AC119" s="391"/>
      <c r="AD119" s="391"/>
      <c r="AE119" s="391"/>
      <c r="AF119" s="391"/>
      <c r="AG119" s="391"/>
      <c r="AH119" s="391"/>
      <c r="AI119" s="391"/>
      <c r="AJ119" s="391"/>
      <c r="AK119" s="391"/>
      <c r="AL119" s="391"/>
      <c r="AM119" s="391"/>
      <c r="AN119" s="391"/>
      <c r="AO119" s="391"/>
      <c r="AP119" s="391"/>
      <c r="AQ119" s="391"/>
      <c r="AR119" s="391"/>
      <c r="AS119" s="391"/>
      <c r="AT119" s="391"/>
      <c r="AU119" s="391"/>
      <c r="AV119" s="391"/>
      <c r="AW119" s="391"/>
      <c r="AX119" s="391"/>
      <c r="AY119" s="391"/>
      <c r="AZ119" s="391"/>
    </row>
    <row r="120" spans="1:52" s="366" customFormat="1" ht="14.25" customHeight="1">
      <c r="A120" s="391"/>
      <c r="B120" s="457" t="s">
        <v>285</v>
      </c>
      <c r="C120" s="391"/>
      <c r="D120" s="452">
        <f>+_xlfn.XLOOKUP($B120,Inputs!$B:$B,Inputs!Q:Q)</f>
        <v>52539</v>
      </c>
      <c r="E120" s="456">
        <v>2448.1</v>
      </c>
      <c r="F120" s="462">
        <v>4952</v>
      </c>
      <c r="G120" s="663">
        <v>82981</v>
      </c>
      <c r="H120" s="656">
        <v>82564</v>
      </c>
      <c r="I120" s="656">
        <v>14813</v>
      </c>
      <c r="J120" s="656">
        <v>14359</v>
      </c>
      <c r="K120" s="656">
        <v>6641</v>
      </c>
      <c r="L120" s="656"/>
      <c r="M120" s="656"/>
      <c r="N120" s="455"/>
      <c r="O120" s="391"/>
      <c r="P120" s="391"/>
      <c r="Q120" s="391"/>
      <c r="R120" s="391"/>
      <c r="S120" s="391"/>
      <c r="T120" s="391"/>
      <c r="U120" s="391"/>
      <c r="V120" s="391"/>
      <c r="W120" s="391"/>
      <c r="X120" s="391"/>
      <c r="Y120" s="391"/>
      <c r="Z120" s="391"/>
      <c r="AA120" s="391"/>
      <c r="AB120" s="391"/>
      <c r="AC120" s="391"/>
      <c r="AD120" s="391"/>
      <c r="AE120" s="391"/>
      <c r="AF120" s="391"/>
      <c r="AG120" s="391"/>
      <c r="AH120" s="391"/>
      <c r="AI120" s="391"/>
      <c r="AJ120" s="391"/>
      <c r="AK120" s="391"/>
      <c r="AL120" s="391"/>
      <c r="AM120" s="391"/>
      <c r="AN120" s="391"/>
      <c r="AO120" s="391"/>
      <c r="AP120" s="391"/>
      <c r="AQ120" s="391"/>
      <c r="AR120" s="391"/>
      <c r="AS120" s="391"/>
      <c r="AT120" s="391"/>
      <c r="AU120" s="391"/>
      <c r="AV120" s="391"/>
      <c r="AW120" s="391"/>
      <c r="AX120" s="391"/>
      <c r="AY120" s="391"/>
      <c r="AZ120" s="391"/>
    </row>
    <row r="121" spans="1:52" s="366" customFormat="1" ht="14.25" customHeight="1">
      <c r="A121" s="391"/>
      <c r="B121" s="457" t="s">
        <v>286</v>
      </c>
      <c r="C121" s="391"/>
      <c r="D121" s="452">
        <f>+_xlfn.XLOOKUP($B121,Inputs!$B:$B,Inputs!Q:Q,,,-1)</f>
        <v>87973.541559475154</v>
      </c>
      <c r="E121" s="456">
        <v>4120.5</v>
      </c>
      <c r="F121" s="456">
        <v>6077</v>
      </c>
      <c r="G121" s="456">
        <v>97852</v>
      </c>
      <c r="H121" s="456">
        <v>94469</v>
      </c>
      <c r="I121" s="456">
        <v>19816</v>
      </c>
      <c r="J121" s="656">
        <v>17725</v>
      </c>
      <c r="K121" s="656">
        <v>8800</v>
      </c>
      <c r="L121" s="656"/>
      <c r="M121" s="656"/>
      <c r="N121" s="455"/>
      <c r="O121" s="391"/>
      <c r="P121" s="391"/>
      <c r="Q121" s="391"/>
      <c r="R121" s="391"/>
      <c r="S121" s="391"/>
      <c r="T121" s="391"/>
      <c r="U121" s="391"/>
      <c r="V121" s="391"/>
      <c r="W121" s="391"/>
      <c r="X121" s="391"/>
      <c r="Y121" s="391"/>
      <c r="Z121" s="391"/>
      <c r="AA121" s="391"/>
      <c r="AB121" s="391"/>
      <c r="AC121" s="391"/>
      <c r="AD121" s="391"/>
      <c r="AE121" s="391"/>
      <c r="AF121" s="391"/>
      <c r="AG121" s="391"/>
      <c r="AH121" s="391"/>
      <c r="AI121" s="391"/>
      <c r="AJ121" s="391"/>
      <c r="AK121" s="391"/>
      <c r="AL121" s="391"/>
      <c r="AM121" s="391"/>
      <c r="AN121" s="391"/>
      <c r="AO121" s="391"/>
      <c r="AP121" s="391"/>
      <c r="AQ121" s="391"/>
      <c r="AR121" s="391"/>
      <c r="AS121" s="391"/>
      <c r="AT121" s="391"/>
      <c r="AU121" s="391"/>
      <c r="AV121" s="391"/>
      <c r="AW121" s="391"/>
      <c r="AX121" s="391"/>
      <c r="AY121" s="391"/>
      <c r="AZ121" s="391"/>
    </row>
    <row r="122" spans="1:52" s="366" customFormat="1" ht="14.25" customHeight="1">
      <c r="A122" s="391"/>
      <c r="B122" s="457" t="s">
        <v>287</v>
      </c>
      <c r="C122" s="391"/>
      <c r="D122" s="452">
        <f>+_xlfn.XLOOKUP($B122,Inputs!$B:$B,Inputs!Q:Q)</f>
        <v>27392</v>
      </c>
      <c r="E122" s="456">
        <v>29168.2</v>
      </c>
      <c r="F122" s="462">
        <v>11797</v>
      </c>
      <c r="G122" s="663">
        <v>268477</v>
      </c>
      <c r="H122" s="656">
        <v>9239</v>
      </c>
      <c r="I122" s="656">
        <v>24880</v>
      </c>
      <c r="J122" s="656">
        <v>383862</v>
      </c>
      <c r="K122" s="656">
        <v>126589</v>
      </c>
      <c r="L122" s="656"/>
      <c r="M122" s="656"/>
      <c r="N122" s="455"/>
      <c r="O122" s="391"/>
      <c r="P122" s="391"/>
      <c r="Q122" s="391"/>
      <c r="R122" s="391"/>
      <c r="S122" s="391"/>
      <c r="T122" s="391"/>
      <c r="U122" s="391"/>
      <c r="V122" s="391"/>
      <c r="W122" s="391"/>
      <c r="X122" s="391"/>
      <c r="Y122" s="391"/>
      <c r="Z122" s="391"/>
      <c r="AA122" s="391"/>
      <c r="AB122" s="391"/>
      <c r="AC122" s="391"/>
      <c r="AD122" s="391"/>
      <c r="AE122" s="391"/>
      <c r="AF122" s="391"/>
      <c r="AG122" s="391"/>
      <c r="AH122" s="391"/>
      <c r="AI122" s="391"/>
      <c r="AJ122" s="391"/>
      <c r="AK122" s="391"/>
      <c r="AL122" s="391"/>
      <c r="AM122" s="391"/>
      <c r="AN122" s="391"/>
      <c r="AO122" s="391"/>
      <c r="AP122" s="391"/>
      <c r="AQ122" s="391"/>
      <c r="AR122" s="391"/>
      <c r="AS122" s="391"/>
      <c r="AT122" s="391"/>
      <c r="AU122" s="391"/>
      <c r="AV122" s="391"/>
      <c r="AW122" s="391"/>
      <c r="AX122" s="391"/>
      <c r="AY122" s="391"/>
      <c r="AZ122" s="391"/>
    </row>
    <row r="123" spans="1:52" s="366" customFormat="1" ht="3.95" customHeight="1">
      <c r="A123" s="391"/>
      <c r="B123" s="457"/>
      <c r="C123" s="391"/>
      <c r="D123" s="653"/>
      <c r="E123" s="656"/>
      <c r="F123" s="656"/>
      <c r="G123" s="663"/>
      <c r="H123" s="656"/>
      <c r="I123" s="656"/>
      <c r="J123" s="656"/>
      <c r="K123" s="656"/>
      <c r="L123" s="656"/>
      <c r="M123" s="656"/>
      <c r="N123" s="455"/>
      <c r="O123" s="391"/>
      <c r="P123" s="391"/>
      <c r="Q123" s="391"/>
      <c r="R123" s="391"/>
      <c r="S123" s="391"/>
      <c r="T123" s="391"/>
      <c r="U123" s="391"/>
      <c r="V123" s="391"/>
      <c r="W123" s="391"/>
      <c r="X123" s="391"/>
      <c r="Y123" s="391"/>
      <c r="Z123" s="391"/>
      <c r="AA123" s="391"/>
      <c r="AB123" s="391"/>
      <c r="AC123" s="391"/>
      <c r="AD123" s="391"/>
      <c r="AE123" s="391"/>
      <c r="AF123" s="391"/>
      <c r="AG123" s="391"/>
      <c r="AH123" s="391"/>
      <c r="AI123" s="391"/>
      <c r="AJ123" s="391"/>
      <c r="AK123" s="391"/>
      <c r="AL123" s="391"/>
      <c r="AM123" s="391"/>
      <c r="AN123" s="391"/>
      <c r="AO123" s="391"/>
      <c r="AP123" s="391"/>
      <c r="AQ123" s="391"/>
      <c r="AR123" s="391"/>
      <c r="AS123" s="391"/>
      <c r="AT123" s="391"/>
      <c r="AU123" s="391"/>
      <c r="AV123" s="391"/>
      <c r="AW123" s="391"/>
      <c r="AX123" s="391"/>
      <c r="AY123" s="391"/>
      <c r="AZ123" s="391"/>
    </row>
    <row r="124" spans="1:52" s="366" customFormat="1" ht="14.25" customHeight="1">
      <c r="A124" s="391"/>
      <c r="B124" s="443" t="s">
        <v>288</v>
      </c>
      <c r="C124" s="428"/>
      <c r="D124" s="654"/>
      <c r="E124" s="657"/>
      <c r="F124" s="657"/>
      <c r="G124" s="667"/>
      <c r="H124" s="657"/>
      <c r="I124" s="657"/>
      <c r="J124" s="657"/>
      <c r="K124" s="657"/>
      <c r="L124" s="657"/>
      <c r="M124" s="657"/>
      <c r="N124" s="473"/>
      <c r="O124" s="391"/>
      <c r="P124" s="391"/>
      <c r="Q124" s="391"/>
      <c r="R124" s="391"/>
      <c r="S124" s="391"/>
      <c r="T124" s="391"/>
      <c r="U124" s="391"/>
      <c r="V124" s="391"/>
      <c r="W124" s="391"/>
      <c r="X124" s="391"/>
      <c r="Y124" s="391"/>
      <c r="Z124" s="391"/>
      <c r="AA124" s="391"/>
      <c r="AB124" s="391"/>
      <c r="AC124" s="391"/>
      <c r="AD124" s="391"/>
      <c r="AE124" s="391"/>
      <c r="AF124" s="391"/>
      <c r="AG124" s="391"/>
      <c r="AH124" s="391"/>
      <c r="AI124" s="391"/>
      <c r="AJ124" s="391"/>
      <c r="AK124" s="391"/>
      <c r="AL124" s="391"/>
      <c r="AM124" s="391"/>
      <c r="AN124" s="391"/>
      <c r="AO124" s="391"/>
      <c r="AP124" s="391"/>
      <c r="AQ124" s="391"/>
      <c r="AR124" s="391"/>
      <c r="AS124" s="391"/>
      <c r="AT124" s="391"/>
      <c r="AU124" s="391"/>
      <c r="AV124" s="391"/>
      <c r="AW124" s="391"/>
      <c r="AX124" s="391"/>
      <c r="AY124" s="391"/>
      <c r="AZ124" s="391"/>
    </row>
    <row r="125" spans="1:52" s="366" customFormat="1" ht="3.95" customHeight="1">
      <c r="A125" s="391"/>
      <c r="B125" s="444"/>
      <c r="C125" s="432"/>
      <c r="D125" s="655"/>
      <c r="E125" s="655"/>
      <c r="F125" s="658"/>
      <c r="G125" s="655"/>
      <c r="H125" s="658"/>
      <c r="I125" s="658"/>
      <c r="J125" s="658"/>
      <c r="K125" s="658"/>
      <c r="L125" s="658"/>
      <c r="M125" s="658"/>
      <c r="N125" s="437"/>
      <c r="O125" s="391"/>
      <c r="P125" s="391"/>
      <c r="Q125" s="391"/>
      <c r="R125" s="391"/>
      <c r="S125" s="391"/>
      <c r="T125" s="391"/>
      <c r="U125" s="391"/>
      <c r="V125" s="391"/>
      <c r="W125" s="391"/>
      <c r="X125" s="391"/>
      <c r="Y125" s="391"/>
      <c r="Z125" s="391"/>
      <c r="AA125" s="391"/>
      <c r="AB125" s="391"/>
      <c r="AC125" s="391"/>
      <c r="AD125" s="391"/>
      <c r="AE125" s="391"/>
      <c r="AF125" s="391"/>
      <c r="AG125" s="391"/>
      <c r="AH125" s="391"/>
      <c r="AI125" s="391"/>
      <c r="AJ125" s="391"/>
      <c r="AK125" s="391"/>
      <c r="AL125" s="391"/>
      <c r="AM125" s="391"/>
      <c r="AN125" s="391"/>
      <c r="AO125" s="391"/>
      <c r="AP125" s="391"/>
      <c r="AQ125" s="391"/>
      <c r="AR125" s="391"/>
      <c r="AS125" s="391"/>
      <c r="AT125" s="391"/>
      <c r="AU125" s="391"/>
      <c r="AV125" s="391"/>
      <c r="AW125" s="391"/>
      <c r="AX125" s="391"/>
      <c r="AY125" s="391"/>
      <c r="AZ125" s="391"/>
    </row>
    <row r="126" spans="1:52" s="366" customFormat="1" ht="14.25" customHeight="1">
      <c r="A126" s="391"/>
      <c r="B126" s="457" t="s">
        <v>289</v>
      </c>
      <c r="C126" s="391"/>
      <c r="D126" s="452">
        <f>+_xlfn.XLOOKUP($B126,Inputs!$B:$B,Inputs!Q:Q)</f>
        <v>13445</v>
      </c>
      <c r="E126" s="656">
        <v>9131</v>
      </c>
      <c r="F126" s="656">
        <v>2356</v>
      </c>
      <c r="G126" s="663">
        <v>118548</v>
      </c>
      <c r="H126" s="656">
        <v>18673</v>
      </c>
      <c r="I126" s="656">
        <v>4341</v>
      </c>
      <c r="J126" s="656">
        <v>-105683</v>
      </c>
      <c r="K126" s="656">
        <v>-50627</v>
      </c>
      <c r="L126" s="656"/>
      <c r="M126" s="656"/>
      <c r="N126" s="455"/>
      <c r="O126" s="391"/>
      <c r="P126" s="391"/>
      <c r="Q126" s="391"/>
      <c r="R126" s="391"/>
      <c r="S126" s="391"/>
      <c r="T126" s="391"/>
      <c r="U126" s="391"/>
      <c r="V126" s="391"/>
      <c r="W126" s="391"/>
      <c r="X126" s="391"/>
      <c r="Y126" s="391"/>
      <c r="Z126" s="391"/>
      <c r="AA126" s="391"/>
      <c r="AB126" s="391"/>
      <c r="AC126" s="391"/>
      <c r="AD126" s="391"/>
      <c r="AE126" s="391"/>
      <c r="AF126" s="391"/>
      <c r="AG126" s="391"/>
      <c r="AH126" s="391"/>
      <c r="AI126" s="391"/>
      <c r="AJ126" s="391"/>
      <c r="AK126" s="391"/>
      <c r="AL126" s="391"/>
      <c r="AM126" s="391"/>
      <c r="AN126" s="391"/>
      <c r="AO126" s="391"/>
      <c r="AP126" s="391"/>
      <c r="AQ126" s="391"/>
      <c r="AR126" s="391"/>
      <c r="AS126" s="391"/>
      <c r="AT126" s="391"/>
      <c r="AU126" s="391"/>
      <c r="AV126" s="391"/>
      <c r="AW126" s="391"/>
      <c r="AX126" s="391"/>
      <c r="AY126" s="391"/>
      <c r="AZ126" s="391"/>
    </row>
    <row r="127" spans="1:52" s="366" customFormat="1" ht="14.25" customHeight="1">
      <c r="A127" s="391"/>
      <c r="B127" s="457" t="s">
        <v>32</v>
      </c>
      <c r="C127" s="391"/>
      <c r="D127" s="452">
        <f>+_xlfn.XLOOKUP($B127,Inputs!$B:$B,Inputs!Q:Q)</f>
        <v>-491</v>
      </c>
      <c r="E127" s="656">
        <v>-516.5</v>
      </c>
      <c r="F127" s="656">
        <v>-310</v>
      </c>
      <c r="G127" s="663">
        <v>-44477</v>
      </c>
      <c r="H127" s="656">
        <v>-6866</v>
      </c>
      <c r="I127" s="656">
        <v>-1997</v>
      </c>
      <c r="J127" s="656">
        <v>-23569</v>
      </c>
      <c r="K127" s="656">
        <v>-11098</v>
      </c>
      <c r="L127" s="656"/>
      <c r="M127" s="656"/>
      <c r="N127" s="455"/>
      <c r="O127" s="391"/>
      <c r="P127" s="391"/>
      <c r="Q127" s="391"/>
      <c r="R127" s="391"/>
      <c r="S127" s="391"/>
      <c r="T127" s="391"/>
      <c r="U127" s="391"/>
      <c r="V127" s="391"/>
      <c r="W127" s="391"/>
      <c r="X127" s="391"/>
      <c r="Y127" s="391"/>
      <c r="Z127" s="391"/>
      <c r="AA127" s="391"/>
      <c r="AB127" s="391"/>
      <c r="AC127" s="391"/>
      <c r="AD127" s="391"/>
      <c r="AE127" s="391"/>
      <c r="AF127" s="391"/>
      <c r="AG127" s="391"/>
      <c r="AH127" s="391"/>
      <c r="AI127" s="391"/>
      <c r="AJ127" s="391"/>
      <c r="AK127" s="391"/>
      <c r="AL127" s="391"/>
      <c r="AM127" s="391"/>
      <c r="AN127" s="391"/>
      <c r="AO127" s="391"/>
      <c r="AP127" s="391"/>
      <c r="AQ127" s="391"/>
      <c r="AR127" s="391"/>
      <c r="AS127" s="391"/>
      <c r="AT127" s="391"/>
      <c r="AU127" s="391"/>
      <c r="AV127" s="391"/>
      <c r="AW127" s="391"/>
      <c r="AX127" s="391"/>
      <c r="AY127" s="391"/>
      <c r="AZ127" s="391"/>
    </row>
    <row r="128" spans="1:52" s="366" customFormat="1" ht="14.25" customHeight="1">
      <c r="A128" s="391"/>
      <c r="B128" s="457" t="s">
        <v>290</v>
      </c>
      <c r="C128" s="391"/>
      <c r="D128" s="452">
        <f>+_xlfn.XLOOKUP($B128,Inputs!$B:$B,Inputs!Q:Q)</f>
        <v>-4937</v>
      </c>
      <c r="E128" s="656">
        <v>-7061.8</v>
      </c>
      <c r="F128" s="656">
        <v>-1337</v>
      </c>
      <c r="G128" s="663">
        <v>-96970</v>
      </c>
      <c r="H128" s="656">
        <v>-7360</v>
      </c>
      <c r="I128" s="656">
        <v>-53</v>
      </c>
      <c r="J128" s="656">
        <v>82730</v>
      </c>
      <c r="K128" s="656">
        <v>-78362</v>
      </c>
      <c r="L128" s="656"/>
      <c r="M128" s="656"/>
      <c r="N128" s="455"/>
      <c r="O128" s="391"/>
      <c r="P128" s="391"/>
      <c r="Q128" s="391"/>
      <c r="R128" s="391"/>
      <c r="S128" s="391"/>
      <c r="T128" s="391"/>
      <c r="U128" s="391"/>
      <c r="V128" s="391"/>
      <c r="W128" s="391"/>
      <c r="X128" s="391"/>
      <c r="Y128" s="391"/>
      <c r="Z128" s="391"/>
      <c r="AA128" s="391"/>
      <c r="AB128" s="391"/>
      <c r="AC128" s="391"/>
      <c r="AD128" s="391"/>
      <c r="AE128" s="391"/>
      <c r="AF128" s="391"/>
      <c r="AG128" s="391"/>
      <c r="AH128" s="391"/>
      <c r="AI128" s="391"/>
      <c r="AJ128" s="391"/>
      <c r="AK128" s="391"/>
      <c r="AL128" s="391"/>
      <c r="AM128" s="391"/>
      <c r="AN128" s="391"/>
      <c r="AO128" s="391"/>
      <c r="AP128" s="391"/>
      <c r="AQ128" s="391"/>
      <c r="AR128" s="391"/>
      <c r="AS128" s="391"/>
      <c r="AT128" s="391"/>
      <c r="AU128" s="391"/>
      <c r="AV128" s="391"/>
      <c r="AW128" s="391"/>
      <c r="AX128" s="391"/>
      <c r="AY128" s="391"/>
      <c r="AZ128" s="391"/>
    </row>
    <row r="129" spans="1:52" s="366" customFormat="1" ht="14.25" customHeight="1">
      <c r="A129" s="391"/>
      <c r="B129" s="457" t="s">
        <v>291</v>
      </c>
      <c r="C129" s="391"/>
      <c r="D129" s="452">
        <f>+_xlfn.XLOOKUP($B129,Inputs!$B:$B,Inputs!Q:Q)</f>
        <v>5735</v>
      </c>
      <c r="E129" s="656">
        <v>78.599999999999994</v>
      </c>
      <c r="F129" s="656">
        <f>4281+863</f>
        <v>5144</v>
      </c>
      <c r="G129" s="663">
        <f>6693+42688</f>
        <v>49381</v>
      </c>
      <c r="H129" s="656">
        <v>76264</v>
      </c>
      <c r="I129" s="656">
        <f>13472+767</f>
        <v>14239</v>
      </c>
      <c r="J129" s="656">
        <v>0</v>
      </c>
      <c r="K129" s="656">
        <v>0</v>
      </c>
      <c r="L129" s="656"/>
      <c r="M129" s="656"/>
      <c r="N129" s="455"/>
      <c r="O129" s="391"/>
      <c r="P129" s="391"/>
      <c r="Q129" s="391"/>
      <c r="R129" s="391"/>
      <c r="S129" s="391"/>
      <c r="T129" s="391"/>
      <c r="U129" s="391"/>
      <c r="V129" s="391"/>
      <c r="W129" s="391"/>
      <c r="X129" s="391"/>
      <c r="Y129" s="391"/>
      <c r="Z129" s="391"/>
      <c r="AA129" s="391"/>
      <c r="AB129" s="391"/>
      <c r="AC129" s="391"/>
      <c r="AD129" s="391"/>
      <c r="AE129" s="391"/>
      <c r="AF129" s="391"/>
      <c r="AG129" s="391"/>
      <c r="AH129" s="391"/>
      <c r="AI129" s="391"/>
      <c r="AJ129" s="391"/>
      <c r="AK129" s="391"/>
      <c r="AL129" s="391"/>
      <c r="AM129" s="391"/>
      <c r="AN129" s="391"/>
      <c r="AO129" s="391"/>
      <c r="AP129" s="391"/>
      <c r="AQ129" s="391"/>
      <c r="AR129" s="391"/>
      <c r="AS129" s="391"/>
      <c r="AT129" s="391"/>
      <c r="AU129" s="391"/>
      <c r="AV129" s="391"/>
      <c r="AW129" s="391"/>
      <c r="AX129" s="391"/>
      <c r="AY129" s="391"/>
      <c r="AZ129" s="391"/>
    </row>
    <row r="130" spans="1:52" s="366" customFormat="1" ht="14.25" customHeight="1">
      <c r="A130" s="391"/>
      <c r="B130" s="457" t="s">
        <v>292</v>
      </c>
      <c r="C130" s="391"/>
      <c r="D130" s="452">
        <f>+_xlfn.XLOOKUP($B130,Inputs!$B:$B,Inputs!Q:Q)</f>
        <v>-6615</v>
      </c>
      <c r="E130" s="656">
        <v>-771.2</v>
      </c>
      <c r="F130" s="656">
        <v>-1740</v>
      </c>
      <c r="G130" s="663">
        <v>-29070</v>
      </c>
      <c r="H130" s="656">
        <v>-3667</v>
      </c>
      <c r="I130" s="656">
        <v>-5506</v>
      </c>
      <c r="J130" s="656">
        <v>0</v>
      </c>
      <c r="K130" s="656">
        <v>-23328</v>
      </c>
      <c r="L130" s="656"/>
      <c r="M130" s="656"/>
      <c r="N130" s="455"/>
      <c r="O130" s="391"/>
      <c r="P130" s="391"/>
      <c r="Q130" s="391"/>
      <c r="R130" s="391"/>
      <c r="S130" s="391"/>
      <c r="T130" s="391"/>
      <c r="U130" s="391"/>
      <c r="V130" s="391"/>
      <c r="W130" s="391"/>
      <c r="X130" s="391"/>
      <c r="Y130" s="391"/>
      <c r="Z130" s="391"/>
      <c r="AA130" s="391"/>
      <c r="AB130" s="391"/>
      <c r="AC130" s="391"/>
      <c r="AD130" s="391"/>
      <c r="AE130" s="391"/>
      <c r="AF130" s="391"/>
      <c r="AG130" s="391"/>
      <c r="AH130" s="391"/>
      <c r="AI130" s="391"/>
      <c r="AJ130" s="391"/>
      <c r="AK130" s="391"/>
      <c r="AL130" s="391"/>
      <c r="AM130" s="391"/>
      <c r="AN130" s="391"/>
      <c r="AO130" s="391"/>
      <c r="AP130" s="391"/>
      <c r="AQ130" s="391"/>
      <c r="AR130" s="391"/>
      <c r="AS130" s="391"/>
      <c r="AT130" s="391"/>
      <c r="AU130" s="391"/>
      <c r="AV130" s="391"/>
      <c r="AW130" s="391"/>
      <c r="AX130" s="391"/>
      <c r="AY130" s="391"/>
      <c r="AZ130" s="391"/>
    </row>
    <row r="131" spans="1:52" s="366" customFormat="1" ht="14.25" customHeight="1">
      <c r="A131" s="391"/>
      <c r="B131" s="457" t="s">
        <v>293</v>
      </c>
      <c r="C131" s="391"/>
      <c r="D131" s="452">
        <f>+_xlfn.XLOOKUP($B131,Inputs!$B:$B,Inputs!Q:Q)</f>
        <v>-7079</v>
      </c>
      <c r="E131" s="656">
        <v>-6063.5</v>
      </c>
      <c r="F131" s="656">
        <v>-1846</v>
      </c>
      <c r="G131" s="663">
        <v>-37757</v>
      </c>
      <c r="H131" s="656">
        <v>-10554</v>
      </c>
      <c r="I131" s="656">
        <v>6283</v>
      </c>
      <c r="J131" s="656">
        <v>41687</v>
      </c>
      <c r="K131" s="656">
        <v>175459</v>
      </c>
      <c r="L131" s="656"/>
      <c r="M131" s="656"/>
      <c r="N131" s="455"/>
      <c r="O131" s="391"/>
      <c r="P131" s="391"/>
      <c r="Q131" s="391"/>
      <c r="R131" s="391"/>
      <c r="S131" s="391"/>
      <c r="T131" s="391"/>
      <c r="U131" s="391"/>
      <c r="V131" s="391"/>
      <c r="W131" s="391"/>
      <c r="X131" s="391"/>
      <c r="Y131" s="391"/>
      <c r="Z131" s="391"/>
      <c r="AA131" s="391"/>
      <c r="AB131" s="391"/>
      <c r="AC131" s="391"/>
      <c r="AD131" s="391"/>
      <c r="AE131" s="391"/>
      <c r="AF131" s="391"/>
      <c r="AG131" s="391"/>
      <c r="AH131" s="391"/>
      <c r="AI131" s="391"/>
      <c r="AJ131" s="391"/>
      <c r="AK131" s="391"/>
      <c r="AL131" s="391"/>
      <c r="AM131" s="391"/>
      <c r="AN131" s="391"/>
      <c r="AO131" s="391"/>
      <c r="AP131" s="391"/>
      <c r="AQ131" s="391"/>
      <c r="AR131" s="391"/>
      <c r="AS131" s="391"/>
      <c r="AT131" s="391"/>
      <c r="AU131" s="391"/>
      <c r="AV131" s="391"/>
      <c r="AW131" s="391"/>
      <c r="AX131" s="391"/>
      <c r="AY131" s="391"/>
      <c r="AZ131" s="391"/>
    </row>
    <row r="132" spans="1:52" s="366" customFormat="1" ht="14.25" customHeight="1">
      <c r="A132" s="391"/>
      <c r="B132" s="457" t="s">
        <v>294</v>
      </c>
      <c r="C132" s="391"/>
      <c r="D132" s="452">
        <f>+_xlfn.XLOOKUP($B132,Inputs!$B:$B,Inputs!Q:Q)</f>
        <v>1071</v>
      </c>
      <c r="E132" s="656">
        <v>-4040.6</v>
      </c>
      <c r="F132" s="656">
        <v>-730</v>
      </c>
      <c r="G132" s="663">
        <v>-16389</v>
      </c>
      <c r="H132" s="656">
        <v>689</v>
      </c>
      <c r="I132" s="656">
        <v>10524</v>
      </c>
      <c r="J132" s="656">
        <v>18759</v>
      </c>
      <c r="K132" s="656">
        <v>46470</v>
      </c>
      <c r="L132" s="656"/>
      <c r="M132" s="656"/>
      <c r="N132" s="455"/>
      <c r="O132" s="391"/>
      <c r="P132" s="391"/>
      <c r="Q132" s="391"/>
      <c r="R132" s="391"/>
      <c r="S132" s="391"/>
      <c r="T132" s="391"/>
      <c r="U132" s="391"/>
      <c r="V132" s="391"/>
      <c r="W132" s="391"/>
      <c r="X132" s="391"/>
      <c r="Y132" s="391"/>
      <c r="Z132" s="391"/>
      <c r="AA132" s="391"/>
      <c r="AB132" s="391"/>
      <c r="AC132" s="391"/>
      <c r="AD132" s="391"/>
      <c r="AE132" s="391"/>
      <c r="AF132" s="391"/>
      <c r="AG132" s="391"/>
      <c r="AH132" s="391"/>
      <c r="AI132" s="391"/>
      <c r="AJ132" s="391"/>
      <c r="AK132" s="391"/>
      <c r="AL132" s="391"/>
      <c r="AM132" s="391"/>
      <c r="AN132" s="391"/>
      <c r="AO132" s="391"/>
      <c r="AP132" s="391"/>
      <c r="AQ132" s="391"/>
      <c r="AR132" s="391"/>
      <c r="AS132" s="391"/>
      <c r="AT132" s="391"/>
      <c r="AU132" s="391"/>
      <c r="AV132" s="391"/>
      <c r="AW132" s="391"/>
      <c r="AX132" s="391"/>
      <c r="AY132" s="391"/>
      <c r="AZ132" s="391"/>
    </row>
    <row r="133" spans="1:52" s="366" customFormat="1" ht="3.95" customHeight="1">
      <c r="A133" s="391"/>
      <c r="B133" s="458"/>
      <c r="C133" s="391"/>
      <c r="D133" s="650"/>
      <c r="E133" s="651"/>
      <c r="F133" s="651"/>
      <c r="G133" s="651"/>
      <c r="H133" s="651"/>
      <c r="I133" s="651"/>
      <c r="J133" s="651"/>
      <c r="K133" s="651"/>
      <c r="L133" s="651"/>
      <c r="M133" s="651"/>
      <c r="N133" s="652"/>
      <c r="O133" s="391"/>
      <c r="P133" s="391"/>
      <c r="Q133" s="391"/>
      <c r="R133" s="391"/>
      <c r="S133" s="391"/>
      <c r="T133" s="391"/>
      <c r="U133" s="391"/>
      <c r="V133" s="391"/>
      <c r="W133" s="391"/>
      <c r="X133" s="391"/>
      <c r="Y133" s="391"/>
      <c r="Z133" s="391"/>
      <c r="AA133" s="391"/>
      <c r="AB133" s="391"/>
      <c r="AC133" s="391"/>
      <c r="AD133" s="391"/>
      <c r="AE133" s="391"/>
      <c r="AF133" s="391"/>
      <c r="AG133" s="391"/>
      <c r="AH133" s="391"/>
      <c r="AI133" s="391"/>
      <c r="AJ133" s="391"/>
      <c r="AK133" s="391"/>
      <c r="AL133" s="391"/>
      <c r="AM133" s="391"/>
      <c r="AN133" s="391"/>
      <c r="AO133" s="391"/>
      <c r="AP133" s="391"/>
      <c r="AQ133" s="391"/>
      <c r="AR133" s="391"/>
      <c r="AS133" s="391"/>
      <c r="AT133" s="391"/>
      <c r="AU133" s="391"/>
      <c r="AV133" s="391"/>
      <c r="AW133" s="391"/>
      <c r="AX133" s="391"/>
      <c r="AY133" s="391"/>
      <c r="AZ133" s="391"/>
    </row>
    <row r="134" spans="1:52" ht="14.25" customHeight="1">
      <c r="B134" s="61" t="s">
        <v>111</v>
      </c>
      <c r="C134" s="62"/>
      <c r="D134" s="61"/>
      <c r="E134" s="62"/>
      <c r="F134" s="62"/>
      <c r="G134" s="62"/>
      <c r="H134" s="62"/>
      <c r="I134" s="62"/>
      <c r="J134" s="92"/>
      <c r="K134" s="93"/>
      <c r="L134" s="93"/>
      <c r="M134" s="93"/>
      <c r="N134" s="93"/>
      <c r="O134" s="93"/>
    </row>
    <row r="135" spans="1:52" ht="3.75" customHeight="1">
      <c r="B135" s="63"/>
      <c r="C135" s="63"/>
      <c r="D135" s="63"/>
      <c r="E135" s="63"/>
      <c r="F135" s="63"/>
      <c r="G135" s="63"/>
      <c r="H135" s="63"/>
      <c r="I135" s="63"/>
      <c r="J135" s="94"/>
      <c r="K135" s="94"/>
      <c r="L135" s="94"/>
      <c r="M135" s="94"/>
      <c r="N135" s="94"/>
      <c r="O135" s="94"/>
    </row>
    <row r="142" spans="1:52" ht="14.25" customHeight="1">
      <c r="B142" s="61" t="s">
        <v>124</v>
      </c>
      <c r="C142" s="62"/>
      <c r="D142" s="61"/>
      <c r="E142" s="62"/>
      <c r="F142" s="62"/>
      <c r="G142" s="62"/>
      <c r="H142" s="62"/>
      <c r="I142" s="62"/>
      <c r="J142" s="92"/>
      <c r="K142" s="93"/>
      <c r="L142" s="93"/>
      <c r="M142" s="93"/>
      <c r="N142" s="93"/>
      <c r="O142" s="93"/>
    </row>
    <row r="143" spans="1:52" ht="4.1500000000000004" customHeight="1">
      <c r="B143" s="712"/>
      <c r="C143" s="712"/>
      <c r="D143" s="712"/>
      <c r="E143" s="712"/>
      <c r="F143" s="712"/>
      <c r="G143" s="712"/>
      <c r="H143" s="712"/>
      <c r="I143" s="712"/>
      <c r="J143" s="712"/>
      <c r="K143" s="712"/>
      <c r="L143" s="712"/>
      <c r="M143" s="712"/>
      <c r="N143" s="712"/>
      <c r="O143" s="712"/>
    </row>
  </sheetData>
  <mergeCells count="10">
    <mergeCell ref="D21:F21"/>
    <mergeCell ref="J21:L21"/>
    <mergeCell ref="M21:O21"/>
    <mergeCell ref="D2:E2"/>
    <mergeCell ref="H3:I3"/>
    <mergeCell ref="J3:K3"/>
    <mergeCell ref="F3:G3"/>
    <mergeCell ref="N3:O3"/>
    <mergeCell ref="D3:E3"/>
    <mergeCell ref="L3:M3"/>
  </mergeCells>
  <phoneticPr fontId="74" type="noConversion"/>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6:K6 J8:K17">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9"/>
  <sheetViews>
    <sheetView showGridLines="0" topLeftCell="J1" zoomScale="40" zoomScaleNormal="40" workbookViewId="0">
      <selection activeCell="H15" sqref="H15"/>
    </sheetView>
  </sheetViews>
  <sheetFormatPr defaultColWidth="7.75" defaultRowHeight="12.75" customHeight="1"/>
  <cols>
    <col min="1" max="1" width="2" style="40" customWidth="1"/>
    <col min="2" max="2" width="26.375" style="40" customWidth="1"/>
    <col min="3" max="3" width="24" style="39" customWidth="1"/>
    <col min="4" max="4" width="4.125" style="40" customWidth="1"/>
    <col min="5" max="5" width="44.5" style="40" customWidth="1"/>
    <col min="6" max="6" width="3.375" style="40" customWidth="1"/>
    <col min="7" max="9" width="11.25" style="40" customWidth="1"/>
    <col min="10" max="10" width="17.875" style="40" customWidth="1"/>
    <col min="11" max="12" width="11.25" style="40" customWidth="1"/>
    <col min="13" max="13" width="4.25" style="40" customWidth="1"/>
    <col min="14" max="14" width="14" style="40" customWidth="1"/>
    <col min="15" max="21" width="11.125" style="40" customWidth="1"/>
    <col min="22" max="22" width="12.5" style="40" customWidth="1"/>
    <col min="23" max="23" width="9.875" style="40" customWidth="1"/>
    <col min="24" max="24" width="14" style="40" customWidth="1"/>
    <col min="25" max="25" width="11.375" style="40" customWidth="1"/>
    <col min="26" max="26" width="14.25" style="40" customWidth="1"/>
    <col min="27" max="27" width="8" style="40" customWidth="1"/>
    <col min="28" max="28" width="8.75" style="40" bestFit="1" customWidth="1"/>
    <col min="29" max="29" width="6.375" style="40" customWidth="1"/>
    <col min="30" max="30" width="7.25" style="40" customWidth="1"/>
    <col min="31" max="31" width="8.75" style="40" customWidth="1"/>
    <col min="32" max="32" width="8.5" style="40" customWidth="1"/>
    <col min="33" max="33" width="9.75" style="40" customWidth="1"/>
    <col min="34" max="34" width="8.875" style="40" customWidth="1"/>
    <col min="35" max="35" width="7.75" style="40" customWidth="1"/>
    <col min="36" max="36" width="7.125" style="40" customWidth="1"/>
    <col min="37" max="37" width="7.25" style="40" customWidth="1"/>
    <col min="38" max="38" width="8.125" style="40" customWidth="1"/>
    <col min="39" max="39" width="7.625" style="40" customWidth="1"/>
    <col min="40" max="16384" width="7.75" style="40"/>
  </cols>
  <sheetData>
    <row r="1" spans="2:30" customFormat="1" ht="14.1">
      <c r="Q1" s="6"/>
    </row>
    <row r="2" spans="2:30" s="37" customFormat="1" ht="20.100000000000001" customHeight="1">
      <c r="B2" s="36" t="s">
        <v>295</v>
      </c>
      <c r="Q2" s="38"/>
    </row>
    <row r="3" spans="2:30" customFormat="1" ht="14.1">
      <c r="Q3" s="6"/>
      <c r="Z3" s="40"/>
      <c r="AA3" s="40"/>
      <c r="AB3" s="40"/>
      <c r="AC3" s="40"/>
      <c r="AD3" s="40"/>
    </row>
    <row r="4" spans="2:30" ht="14.45" thickBot="1">
      <c r="B4" s="1" t="s">
        <v>296</v>
      </c>
      <c r="C4" s="39" t="s">
        <v>26</v>
      </c>
      <c r="E4" s="1" t="s">
        <v>297</v>
      </c>
      <c r="F4" s="1"/>
      <c r="G4" s="1"/>
      <c r="H4" s="1"/>
      <c r="I4" s="1"/>
      <c r="J4" s="1"/>
      <c r="N4" s="1" t="s">
        <v>298</v>
      </c>
      <c r="O4" s="1"/>
      <c r="P4" s="1"/>
      <c r="Q4" s="1"/>
      <c r="R4" s="1"/>
      <c r="S4" s="1"/>
    </row>
    <row r="5" spans="2:30" ht="14.1">
      <c r="B5" s="41"/>
      <c r="C5" s="42"/>
      <c r="E5" s="43" t="s">
        <v>299</v>
      </c>
      <c r="F5" s="43"/>
      <c r="G5" s="958" t="s">
        <v>300</v>
      </c>
      <c r="H5" s="958"/>
      <c r="I5" s="958"/>
      <c r="J5" s="958"/>
      <c r="K5" s="958"/>
      <c r="L5" s="958"/>
      <c r="N5" s="959"/>
      <c r="O5" s="959"/>
      <c r="P5" s="959"/>
      <c r="Q5" s="959"/>
      <c r="R5" s="959"/>
      <c r="S5" s="959"/>
      <c r="T5" s="959"/>
      <c r="U5" s="959"/>
    </row>
    <row r="6" spans="2:30" ht="14.45" thickBot="1">
      <c r="B6" s="1" t="s">
        <v>301</v>
      </c>
      <c r="C6" s="40"/>
      <c r="D6" s="40" t="s">
        <v>81</v>
      </c>
      <c r="G6" s="947"/>
      <c r="H6" s="947"/>
      <c r="I6" s="947"/>
      <c r="J6" s="947"/>
      <c r="K6" s="947"/>
      <c r="L6" s="947"/>
      <c r="N6" s="960"/>
      <c r="O6" s="960"/>
      <c r="P6" s="960"/>
      <c r="Q6" s="960"/>
      <c r="R6" s="960"/>
      <c r="S6" s="960"/>
      <c r="T6" s="960"/>
      <c r="U6" s="960"/>
    </row>
    <row r="7" spans="2:30" ht="14.1">
      <c r="B7" s="41" t="s">
        <v>302</v>
      </c>
      <c r="C7" s="44">
        <v>45772</v>
      </c>
      <c r="D7" s="40" t="s">
        <v>81</v>
      </c>
      <c r="E7" s="20" t="s">
        <v>303</v>
      </c>
      <c r="G7" s="947" t="s">
        <v>304</v>
      </c>
      <c r="H7" s="947"/>
      <c r="I7" s="947"/>
      <c r="J7" s="947"/>
      <c r="K7" s="947"/>
      <c r="L7" s="947"/>
      <c r="N7" s="960"/>
      <c r="O7" s="960"/>
      <c r="P7" s="960"/>
      <c r="Q7" s="960"/>
      <c r="R7" s="960"/>
      <c r="S7" s="960"/>
      <c r="T7" s="960"/>
      <c r="U7" s="960"/>
    </row>
    <row r="8" spans="2:30" ht="28.15" customHeight="1">
      <c r="B8" s="914" t="s">
        <v>305</v>
      </c>
      <c r="C8" s="913">
        <v>2023</v>
      </c>
      <c r="G8" s="947"/>
      <c r="H8" s="947"/>
      <c r="I8" s="947"/>
      <c r="J8" s="947"/>
      <c r="K8" s="947"/>
      <c r="L8" s="947"/>
      <c r="N8" s="960"/>
      <c r="O8" s="960"/>
      <c r="P8" s="960"/>
      <c r="Q8" s="960"/>
      <c r="R8" s="960"/>
      <c r="S8" s="960"/>
      <c r="T8" s="960"/>
      <c r="U8" s="960"/>
    </row>
    <row r="9" spans="2:30" ht="15" customHeight="1">
      <c r="B9" s="22" t="s">
        <v>306</v>
      </c>
      <c r="C9" s="23" t="s">
        <v>307</v>
      </c>
      <c r="E9" s="20" t="s">
        <v>308</v>
      </c>
      <c r="G9" s="947" t="s">
        <v>309</v>
      </c>
      <c r="H9" s="947"/>
      <c r="I9" s="947"/>
      <c r="J9" s="947"/>
      <c r="K9" s="947"/>
      <c r="L9" s="947"/>
      <c r="N9" s="960"/>
      <c r="O9" s="960"/>
      <c r="P9" s="960"/>
      <c r="Q9" s="960"/>
      <c r="R9" s="960"/>
      <c r="S9" s="960"/>
      <c r="T9" s="960"/>
      <c r="U9" s="960"/>
    </row>
    <row r="10" spans="2:30" ht="13.9" customHeight="1">
      <c r="B10" s="22" t="s">
        <v>310</v>
      </c>
      <c r="C10" s="23" t="s">
        <v>311</v>
      </c>
      <c r="G10" s="947"/>
      <c r="H10" s="947"/>
      <c r="I10" s="947"/>
      <c r="J10" s="947"/>
      <c r="K10" s="947"/>
      <c r="L10" s="947"/>
      <c r="N10" s="960"/>
      <c r="O10" s="960"/>
      <c r="P10" s="960"/>
      <c r="Q10" s="960"/>
      <c r="R10" s="960"/>
      <c r="S10" s="960"/>
      <c r="T10" s="960"/>
      <c r="U10" s="960"/>
    </row>
    <row r="11" spans="2:30" ht="15" customHeight="1">
      <c r="B11" s="20" t="s">
        <v>312</v>
      </c>
      <c r="C11" s="870" t="s">
        <v>313</v>
      </c>
      <c r="E11" s="20" t="s">
        <v>314</v>
      </c>
      <c r="G11" s="947" t="s">
        <v>315</v>
      </c>
      <c r="H11" s="947"/>
      <c r="I11" s="947"/>
      <c r="J11" s="947"/>
      <c r="K11" s="947"/>
      <c r="L11" s="947"/>
      <c r="N11" s="960"/>
      <c r="O11" s="960"/>
      <c r="P11" s="960"/>
      <c r="Q11" s="960"/>
      <c r="R11" s="960"/>
      <c r="S11" s="960"/>
      <c r="T11" s="960"/>
      <c r="U11" s="960"/>
    </row>
    <row r="12" spans="2:30" ht="13.9" customHeight="1">
      <c r="B12" s="22"/>
      <c r="G12" s="947"/>
      <c r="H12" s="947"/>
      <c r="I12" s="947"/>
      <c r="J12" s="947"/>
      <c r="K12" s="947"/>
      <c r="L12" s="947"/>
      <c r="N12" s="960"/>
      <c r="O12" s="960"/>
      <c r="P12" s="960"/>
      <c r="Q12" s="960"/>
      <c r="R12" s="960"/>
      <c r="S12" s="960"/>
      <c r="T12" s="960"/>
      <c r="U12" s="960"/>
    </row>
    <row r="13" spans="2:30" ht="14.45" thickBot="1">
      <c r="B13" s="1" t="s">
        <v>316</v>
      </c>
      <c r="C13" s="40"/>
      <c r="E13" s="20"/>
      <c r="G13" s="947"/>
      <c r="H13" s="947"/>
      <c r="I13" s="947"/>
      <c r="J13" s="947"/>
      <c r="K13" s="947"/>
      <c r="L13" s="947"/>
      <c r="N13" s="960"/>
      <c r="O13" s="960"/>
      <c r="P13" s="960"/>
      <c r="Q13" s="960"/>
      <c r="R13" s="960"/>
      <c r="S13" s="960"/>
      <c r="T13" s="960"/>
      <c r="U13" s="960"/>
    </row>
    <row r="14" spans="2:30" ht="14.45" thickTop="1">
      <c r="B14" s="43" t="s">
        <v>98</v>
      </c>
      <c r="C14" s="867">
        <v>72</v>
      </c>
      <c r="G14" s="947"/>
      <c r="H14" s="947"/>
      <c r="I14" s="947"/>
      <c r="J14" s="947"/>
      <c r="K14" s="947"/>
      <c r="L14" s="947"/>
      <c r="N14" s="960"/>
      <c r="O14" s="960"/>
      <c r="P14" s="960"/>
      <c r="Q14" s="960"/>
      <c r="R14" s="960"/>
      <c r="S14" s="960"/>
      <c r="T14" s="960"/>
      <c r="U14" s="960"/>
    </row>
    <row r="15" spans="2:30" ht="14.1">
      <c r="B15" s="22" t="s">
        <v>99</v>
      </c>
      <c r="C15" s="855">
        <v>79</v>
      </c>
    </row>
    <row r="16" spans="2:30" ht="14.45" thickBot="1">
      <c r="B16" s="22" t="s">
        <v>100</v>
      </c>
      <c r="C16" s="855">
        <v>94</v>
      </c>
      <c r="E16" s="1" t="s">
        <v>317</v>
      </c>
      <c r="F16" s="1"/>
      <c r="G16" s="1"/>
      <c r="H16" s="1"/>
      <c r="I16" s="1"/>
      <c r="J16" s="1"/>
      <c r="N16" s="1" t="s">
        <v>318</v>
      </c>
      <c r="O16" s="1"/>
      <c r="P16" s="1"/>
      <c r="Q16" s="1"/>
      <c r="R16" s="1"/>
      <c r="S16" s="1"/>
    </row>
    <row r="17" spans="2:22" ht="14.45" thickTop="1">
      <c r="B17" s="22" t="s">
        <v>101</v>
      </c>
      <c r="C17" s="855">
        <v>52</v>
      </c>
      <c r="E17" s="43"/>
      <c r="F17" s="43"/>
      <c r="G17" s="958"/>
      <c r="H17" s="958"/>
      <c r="I17" s="958"/>
      <c r="J17" s="958"/>
      <c r="K17" s="958"/>
      <c r="L17" s="958"/>
      <c r="N17" s="43"/>
      <c r="O17" s="43"/>
      <c r="P17" s="43"/>
      <c r="Q17" s="43"/>
      <c r="R17" s="43"/>
      <c r="S17" s="43"/>
      <c r="T17" s="43"/>
      <c r="U17" s="43"/>
      <c r="V17" s="43"/>
    </row>
    <row r="18" spans="2:22" ht="14.1">
      <c r="B18" s="20" t="s">
        <v>102</v>
      </c>
      <c r="C18" s="856">
        <v>60</v>
      </c>
      <c r="G18" s="947"/>
      <c r="H18" s="947"/>
      <c r="I18" s="947"/>
      <c r="J18" s="947"/>
      <c r="K18" s="947"/>
      <c r="L18" s="947"/>
      <c r="O18" s="640"/>
      <c r="P18" s="640"/>
      <c r="Q18" s="640"/>
      <c r="R18" s="640"/>
      <c r="S18" s="640"/>
      <c r="T18" s="640"/>
      <c r="U18" s="640"/>
      <c r="V18" s="640"/>
    </row>
    <row r="19" spans="2:22" ht="14.1">
      <c r="B19" s="22" t="s">
        <v>103</v>
      </c>
      <c r="C19" s="855">
        <v>76</v>
      </c>
      <c r="E19" s="20"/>
      <c r="G19" s="947"/>
      <c r="H19" s="947"/>
      <c r="I19" s="947"/>
      <c r="J19" s="947"/>
      <c r="K19" s="947"/>
      <c r="L19" s="947"/>
      <c r="N19" s="20"/>
      <c r="P19" s="640"/>
      <c r="Q19" s="640"/>
      <c r="R19" s="640"/>
      <c r="S19" s="640"/>
      <c r="T19" s="640"/>
      <c r="U19" s="640"/>
      <c r="V19" s="640"/>
    </row>
    <row r="20" spans="2:22" ht="14.1">
      <c r="B20" s="22" t="s">
        <v>104</v>
      </c>
      <c r="C20" s="855">
        <v>49</v>
      </c>
      <c r="G20" s="947"/>
      <c r="H20" s="947"/>
      <c r="I20" s="947"/>
      <c r="J20" s="947"/>
      <c r="K20" s="947"/>
      <c r="L20" s="947"/>
      <c r="P20" s="640"/>
      <c r="Q20" s="640"/>
      <c r="R20" s="640"/>
      <c r="S20" s="640"/>
      <c r="T20" s="640"/>
      <c r="U20" s="640"/>
    </row>
    <row r="21" spans="2:22" ht="14.1">
      <c r="B21" s="22" t="s">
        <v>105</v>
      </c>
      <c r="C21" s="855">
        <v>60</v>
      </c>
      <c r="E21" s="20"/>
      <c r="G21" s="947"/>
      <c r="H21" s="947"/>
      <c r="I21" s="947"/>
      <c r="J21" s="947"/>
      <c r="K21" s="947"/>
      <c r="L21" s="947"/>
      <c r="N21" s="20"/>
      <c r="P21" s="947"/>
      <c r="Q21" s="947"/>
      <c r="R21" s="947"/>
      <c r="S21" s="947"/>
      <c r="T21" s="947"/>
      <c r="U21" s="947"/>
    </row>
    <row r="22" spans="2:22" ht="14.1">
      <c r="B22" s="20" t="s">
        <v>106</v>
      </c>
      <c r="C22" s="868" t="s">
        <v>319</v>
      </c>
      <c r="G22" s="947"/>
      <c r="H22" s="947"/>
      <c r="I22" s="947"/>
      <c r="J22" s="947"/>
      <c r="K22" s="947"/>
      <c r="L22" s="947"/>
      <c r="P22" s="947"/>
      <c r="Q22" s="947"/>
      <c r="R22" s="947"/>
      <c r="S22" s="947"/>
      <c r="T22" s="947"/>
      <c r="U22" s="947"/>
    </row>
    <row r="23" spans="2:22" ht="14.1">
      <c r="B23" s="20" t="s">
        <v>107</v>
      </c>
      <c r="C23" s="872" t="s">
        <v>320</v>
      </c>
      <c r="E23" s="20"/>
      <c r="G23" s="947"/>
      <c r="H23" s="947"/>
      <c r="I23" s="947"/>
      <c r="J23" s="947"/>
      <c r="K23" s="947"/>
      <c r="L23" s="947"/>
      <c r="N23" s="20"/>
      <c r="P23" s="947"/>
      <c r="Q23" s="947"/>
      <c r="R23" s="947"/>
      <c r="S23" s="947"/>
      <c r="T23" s="947"/>
      <c r="U23" s="947"/>
    </row>
    <row r="24" spans="2:22" ht="14.1">
      <c r="B24" s="22" t="s">
        <v>108</v>
      </c>
      <c r="C24" s="855">
        <v>4.2</v>
      </c>
    </row>
    <row r="25" spans="2:22" ht="14.1">
      <c r="B25" s="22" t="s">
        <v>109</v>
      </c>
      <c r="C25" s="855">
        <v>7</v>
      </c>
    </row>
    <row r="26" spans="2:22" ht="14.1">
      <c r="B26" s="20" t="s">
        <v>110</v>
      </c>
      <c r="C26" s="869" t="s">
        <v>321</v>
      </c>
    </row>
    <row r="29" spans="2:22" ht="14.45" thickBot="1">
      <c r="B29" s="1" t="s">
        <v>322</v>
      </c>
    </row>
    <row r="30" spans="2:22" ht="14.45" customHeight="1">
      <c r="B30" s="961" t="s">
        <v>323</v>
      </c>
      <c r="C30" s="961"/>
    </row>
    <row r="31" spans="2:22" ht="12.6">
      <c r="B31" s="962"/>
      <c r="C31" s="962"/>
    </row>
    <row r="32" spans="2:22" ht="12.6">
      <c r="B32" s="962"/>
      <c r="C32" s="962"/>
    </row>
    <row r="33" spans="2:22" ht="15.6">
      <c r="B33" s="962"/>
      <c r="C33" s="962"/>
      <c r="E33" s="45" t="s">
        <v>324</v>
      </c>
      <c r="F33" s="45"/>
      <c r="G33" s="45"/>
      <c r="H33" s="45"/>
      <c r="I33" s="45"/>
      <c r="J33" s="45"/>
      <c r="K33" s="45"/>
      <c r="L33" s="45"/>
      <c r="M33" s="45"/>
      <c r="N33" s="45"/>
      <c r="O33" s="45"/>
      <c r="P33" s="45"/>
      <c r="Q33" s="45"/>
      <c r="R33" s="45"/>
      <c r="S33" s="45"/>
      <c r="T33" s="45"/>
      <c r="U33" s="45"/>
      <c r="V33" s="45"/>
    </row>
    <row r="34" spans="2:22" customFormat="1" ht="3.95" customHeight="1">
      <c r="B34" s="962"/>
      <c r="C34" s="962"/>
      <c r="D34" s="40"/>
      <c r="E34" s="46"/>
      <c r="F34" s="46"/>
      <c r="G34" s="46"/>
      <c r="H34" s="46"/>
      <c r="I34" s="46"/>
      <c r="J34" s="46"/>
      <c r="K34" s="46"/>
      <c r="L34" s="46"/>
      <c r="M34" s="46"/>
      <c r="N34" s="46"/>
      <c r="O34" s="46"/>
      <c r="P34" s="46"/>
      <c r="Q34" s="46"/>
      <c r="R34" s="46"/>
      <c r="S34" s="46"/>
      <c r="T34" s="46"/>
      <c r="U34" s="46"/>
      <c r="V34" s="46"/>
    </row>
    <row r="35" spans="2:22" ht="13.5" thickBot="1">
      <c r="B35" s="962"/>
      <c r="C35" s="962"/>
      <c r="E35" s="47"/>
      <c r="F35" s="47"/>
      <c r="G35" s="48" t="s">
        <v>301</v>
      </c>
      <c r="H35" s="48" t="s">
        <v>325</v>
      </c>
      <c r="I35" s="48"/>
      <c r="J35" s="48"/>
      <c r="K35" s="48" t="s">
        <v>326</v>
      </c>
      <c r="L35" s="48"/>
      <c r="M35" s="48"/>
      <c r="N35" s="48"/>
      <c r="O35" s="48" t="s">
        <v>327</v>
      </c>
      <c r="P35" s="47"/>
      <c r="Q35" s="47"/>
      <c r="R35" s="47"/>
      <c r="S35" s="47"/>
      <c r="T35" s="47"/>
      <c r="U35" s="47"/>
      <c r="V35" s="47"/>
    </row>
    <row r="36" spans="2:22" ht="20.25" customHeight="1" thickTop="1">
      <c r="B36" s="962"/>
      <c r="C36" s="962"/>
      <c r="E36" s="20" t="s">
        <v>328</v>
      </c>
      <c r="G36" s="1001" t="s">
        <v>329</v>
      </c>
      <c r="H36" s="963" t="s">
        <v>330</v>
      </c>
      <c r="I36" s="963"/>
      <c r="J36" s="963"/>
      <c r="K36" s="964" t="s">
        <v>331</v>
      </c>
      <c r="L36" s="963"/>
      <c r="M36" s="963"/>
      <c r="N36" s="963"/>
      <c r="O36" s="965" t="s">
        <v>332</v>
      </c>
      <c r="P36" s="965"/>
      <c r="Q36" s="965"/>
      <c r="R36" s="965"/>
      <c r="S36" s="965"/>
      <c r="T36" s="965"/>
      <c r="U36" s="965"/>
      <c r="V36" s="965"/>
    </row>
    <row r="37" spans="2:22" ht="20.25" customHeight="1">
      <c r="B37" s="962"/>
      <c r="C37" s="962"/>
      <c r="G37" s="1001"/>
      <c r="H37" s="963"/>
      <c r="I37" s="963"/>
      <c r="J37" s="963"/>
      <c r="K37" s="963"/>
      <c r="L37" s="963"/>
      <c r="M37" s="963"/>
      <c r="N37" s="963"/>
      <c r="O37" s="965"/>
      <c r="P37" s="965"/>
      <c r="Q37" s="965"/>
      <c r="R37" s="965"/>
      <c r="S37" s="965"/>
      <c r="T37" s="965"/>
      <c r="U37" s="965"/>
      <c r="V37" s="965"/>
    </row>
    <row r="38" spans="2:22" ht="22.5" customHeight="1">
      <c r="B38" s="962"/>
      <c r="C38" s="962"/>
      <c r="E38" s="20" t="s">
        <v>333</v>
      </c>
      <c r="G38" s="1002" t="s">
        <v>329</v>
      </c>
      <c r="H38" s="963" t="s">
        <v>334</v>
      </c>
      <c r="I38" s="963"/>
      <c r="J38" s="963"/>
      <c r="K38" s="963" t="s">
        <v>335</v>
      </c>
      <c r="L38" s="963"/>
      <c r="M38" s="963"/>
      <c r="N38" s="963"/>
      <c r="O38" s="965" t="s">
        <v>336</v>
      </c>
      <c r="P38" s="965"/>
      <c r="Q38" s="965"/>
      <c r="R38" s="965"/>
      <c r="S38" s="965"/>
      <c r="T38" s="965"/>
      <c r="U38" s="965"/>
      <c r="V38" s="965"/>
    </row>
    <row r="39" spans="2:22" ht="19.5" customHeight="1">
      <c r="B39" s="962"/>
      <c r="C39" s="962"/>
      <c r="G39" s="1002"/>
      <c r="H39" s="963"/>
      <c r="I39" s="963"/>
      <c r="J39" s="963"/>
      <c r="K39" s="963"/>
      <c r="L39" s="963"/>
      <c r="M39" s="963"/>
      <c r="N39" s="963"/>
      <c r="O39" s="965"/>
      <c r="P39" s="965"/>
      <c r="Q39" s="965"/>
      <c r="R39" s="965"/>
      <c r="S39" s="965"/>
      <c r="T39" s="965"/>
      <c r="U39" s="965"/>
      <c r="V39" s="965"/>
    </row>
    <row r="40" spans="2:22" ht="14.1">
      <c r="B40" s="962"/>
      <c r="C40" s="962"/>
      <c r="E40" s="20" t="s">
        <v>337</v>
      </c>
      <c r="G40" s="1001" t="s">
        <v>329</v>
      </c>
      <c r="H40" s="963" t="s">
        <v>338</v>
      </c>
      <c r="I40" s="963"/>
      <c r="J40" s="963"/>
      <c r="K40" s="967" t="s">
        <v>339</v>
      </c>
      <c r="L40" s="963"/>
      <c r="M40" s="963"/>
      <c r="N40" s="963"/>
      <c r="O40" s="966" t="s">
        <v>340</v>
      </c>
      <c r="P40" s="966"/>
      <c r="Q40" s="966"/>
      <c r="R40" s="966"/>
      <c r="S40" s="966"/>
      <c r="T40" s="966"/>
      <c r="U40" s="966"/>
      <c r="V40" s="966"/>
    </row>
    <row r="41" spans="2:22" ht="46.9" customHeight="1">
      <c r="B41" s="962"/>
      <c r="C41" s="962"/>
      <c r="G41" s="1001"/>
      <c r="H41" s="963"/>
      <c r="I41" s="963"/>
      <c r="J41" s="963"/>
      <c r="K41" s="963"/>
      <c r="L41" s="963"/>
      <c r="M41" s="963"/>
      <c r="N41" s="963"/>
      <c r="O41" s="966"/>
      <c r="P41" s="966"/>
      <c r="Q41" s="966"/>
      <c r="R41" s="966"/>
      <c r="S41" s="966"/>
      <c r="T41" s="966"/>
      <c r="U41" s="966"/>
      <c r="V41" s="966"/>
    </row>
    <row r="42" spans="2:22" ht="14.1">
      <c r="B42" s="962"/>
      <c r="C42" s="962"/>
      <c r="E42" s="20" t="s">
        <v>341</v>
      </c>
      <c r="G42" s="1003" t="s">
        <v>329</v>
      </c>
      <c r="H42" s="967" t="s">
        <v>342</v>
      </c>
      <c r="I42" s="963"/>
      <c r="J42" s="963"/>
      <c r="K42" s="963" t="s">
        <v>335</v>
      </c>
      <c r="L42" s="963"/>
      <c r="M42" s="963"/>
      <c r="N42" s="963"/>
      <c r="O42" s="965" t="s">
        <v>343</v>
      </c>
      <c r="P42" s="965"/>
      <c r="Q42" s="965"/>
      <c r="R42" s="965"/>
      <c r="S42" s="965"/>
      <c r="T42" s="965"/>
      <c r="U42" s="965"/>
      <c r="V42" s="965"/>
    </row>
    <row r="43" spans="2:22" ht="25.5" customHeight="1">
      <c r="B43" s="962"/>
      <c r="C43" s="962"/>
      <c r="G43" s="1003"/>
      <c r="H43" s="963"/>
      <c r="I43" s="963"/>
      <c r="J43" s="963"/>
      <c r="K43" s="963"/>
      <c r="L43" s="963"/>
      <c r="M43" s="963"/>
      <c r="N43" s="963"/>
      <c r="O43" s="965"/>
      <c r="P43" s="965"/>
      <c r="Q43" s="965"/>
      <c r="R43" s="965"/>
      <c r="S43" s="965"/>
      <c r="T43" s="965"/>
      <c r="U43" s="965"/>
      <c r="V43" s="965"/>
    </row>
    <row r="44" spans="2:22" ht="14.1">
      <c r="B44" s="962"/>
      <c r="C44" s="962"/>
      <c r="E44" s="20" t="s">
        <v>344</v>
      </c>
      <c r="G44" s="1004"/>
      <c r="H44" s="963" t="s">
        <v>335</v>
      </c>
      <c r="I44" s="963"/>
      <c r="J44" s="963"/>
      <c r="K44" s="963" t="s">
        <v>335</v>
      </c>
      <c r="L44" s="963"/>
      <c r="M44" s="963"/>
      <c r="N44" s="963"/>
      <c r="O44" s="966" t="s">
        <v>345</v>
      </c>
      <c r="P44" s="966"/>
      <c r="Q44" s="966"/>
      <c r="R44" s="966"/>
      <c r="S44" s="966"/>
      <c r="T44" s="966"/>
      <c r="U44" s="966"/>
      <c r="V44" s="966"/>
    </row>
    <row r="45" spans="2:22" ht="12.6">
      <c r="B45" s="962"/>
      <c r="C45" s="962"/>
      <c r="G45" s="1004"/>
      <c r="H45" s="963"/>
      <c r="I45" s="963"/>
      <c r="J45" s="963"/>
      <c r="K45" s="963"/>
      <c r="L45" s="963"/>
      <c r="M45" s="963"/>
      <c r="N45" s="963"/>
      <c r="O45" s="966"/>
      <c r="P45" s="966"/>
      <c r="Q45" s="966"/>
      <c r="R45" s="966"/>
      <c r="S45" s="966"/>
      <c r="T45" s="966"/>
      <c r="U45" s="966"/>
      <c r="V45" s="966"/>
    </row>
    <row r="46" spans="2:22" ht="15.6">
      <c r="E46" s="45" t="s">
        <v>346</v>
      </c>
      <c r="F46" s="45"/>
      <c r="G46" s="45"/>
      <c r="H46" s="45"/>
      <c r="I46" s="45"/>
      <c r="J46" s="45"/>
      <c r="K46" s="45"/>
      <c r="L46" s="45"/>
      <c r="M46" s="45"/>
      <c r="N46" s="45"/>
      <c r="O46" s="45"/>
      <c r="P46" s="45"/>
      <c r="Q46" s="45"/>
      <c r="R46" s="45"/>
      <c r="S46" s="45"/>
      <c r="T46" s="45"/>
      <c r="U46" s="45"/>
      <c r="V46" s="45"/>
    </row>
    <row r="47" spans="2:22" customFormat="1" ht="3.95" customHeight="1">
      <c r="B47" s="40"/>
      <c r="C47" s="39"/>
      <c r="D47" s="40"/>
      <c r="E47" s="46"/>
      <c r="F47" s="46"/>
      <c r="G47" s="46"/>
      <c r="H47" s="46"/>
      <c r="I47" s="46"/>
      <c r="J47" s="46"/>
      <c r="K47" s="46"/>
      <c r="L47" s="46"/>
      <c r="M47" s="46"/>
      <c r="N47" s="46"/>
      <c r="O47" s="46"/>
      <c r="P47" s="46"/>
      <c r="Q47" s="46"/>
      <c r="R47" s="46"/>
      <c r="S47" s="46"/>
      <c r="T47" s="46"/>
      <c r="U47" s="46"/>
      <c r="V47" s="46"/>
    </row>
    <row r="48" spans="2:22" ht="14.45" thickBot="1">
      <c r="B48" s="1" t="s">
        <v>347</v>
      </c>
      <c r="C48" s="40"/>
      <c r="E48" s="47"/>
      <c r="F48" s="47"/>
      <c r="G48" s="48" t="s">
        <v>301</v>
      </c>
      <c r="H48" s="48" t="s">
        <v>325</v>
      </c>
      <c r="I48" s="48"/>
      <c r="J48" s="48"/>
      <c r="K48" s="48" t="s">
        <v>326</v>
      </c>
      <c r="L48" s="48"/>
      <c r="M48" s="48"/>
      <c r="N48" s="48"/>
      <c r="O48" s="48" t="s">
        <v>327</v>
      </c>
      <c r="P48" s="47"/>
      <c r="Q48" s="47"/>
      <c r="R48" s="47"/>
      <c r="S48" s="47"/>
      <c r="T48" s="47"/>
      <c r="U48" s="47"/>
      <c r="V48" s="47"/>
    </row>
    <row r="49" spans="2:22" ht="22.15" customHeight="1" thickTop="1">
      <c r="B49" s="41" t="s">
        <v>348</v>
      </c>
      <c r="C49" s="911" t="s">
        <v>349</v>
      </c>
      <c r="E49" s="20" t="s">
        <v>350</v>
      </c>
      <c r="G49" s="1005" t="s">
        <v>329</v>
      </c>
      <c r="H49" s="968" t="s">
        <v>351</v>
      </c>
      <c r="I49" s="968"/>
      <c r="J49" s="968"/>
      <c r="K49" s="968" t="s">
        <v>352</v>
      </c>
      <c r="L49" s="968"/>
      <c r="M49" s="968"/>
      <c r="N49" s="968"/>
      <c r="O49" s="968" t="s">
        <v>353</v>
      </c>
      <c r="P49" s="968"/>
      <c r="Q49" s="968"/>
      <c r="R49" s="968"/>
      <c r="S49" s="968"/>
      <c r="T49" s="968"/>
      <c r="U49" s="968"/>
      <c r="V49" s="968"/>
    </row>
    <row r="50" spans="2:22" ht="19.149999999999999" customHeight="1">
      <c r="B50" s="22" t="s">
        <v>354</v>
      </c>
      <c r="C50" s="912" t="s">
        <v>355</v>
      </c>
      <c r="D50" s="40" t="s">
        <v>81</v>
      </c>
      <c r="G50" s="1005"/>
      <c r="H50" s="966"/>
      <c r="I50" s="966"/>
      <c r="J50" s="966"/>
      <c r="K50" s="966"/>
      <c r="L50" s="966"/>
      <c r="M50" s="966"/>
      <c r="N50" s="966"/>
      <c r="O50" s="966"/>
      <c r="P50" s="966"/>
      <c r="Q50" s="966"/>
      <c r="R50" s="966"/>
      <c r="S50" s="966"/>
      <c r="T50" s="966"/>
      <c r="U50" s="966"/>
      <c r="V50" s="966"/>
    </row>
    <row r="51" spans="2:22" ht="18.600000000000001" customHeight="1">
      <c r="B51" s="22" t="s">
        <v>356</v>
      </c>
      <c r="C51" s="912" t="s">
        <v>357</v>
      </c>
      <c r="D51" s="40" t="s">
        <v>81</v>
      </c>
      <c r="E51" s="20" t="s">
        <v>358</v>
      </c>
      <c r="G51" s="1002" t="s">
        <v>329</v>
      </c>
      <c r="H51" s="966" t="s">
        <v>359</v>
      </c>
      <c r="I51" s="966"/>
      <c r="J51" s="966"/>
      <c r="K51" s="966" t="s">
        <v>335</v>
      </c>
      <c r="L51" s="966"/>
      <c r="M51" s="966"/>
      <c r="N51" s="966"/>
      <c r="O51" s="966" t="s">
        <v>360</v>
      </c>
      <c r="P51" s="966"/>
      <c r="Q51" s="966"/>
      <c r="R51" s="966"/>
      <c r="S51" s="966"/>
      <c r="T51" s="966"/>
      <c r="U51" s="966"/>
      <c r="V51" s="966"/>
    </row>
    <row r="52" spans="2:22" ht="14.25" customHeight="1">
      <c r="B52" s="920" t="s">
        <v>361</v>
      </c>
      <c r="C52" s="921" t="s">
        <v>362</v>
      </c>
      <c r="G52" s="1002"/>
      <c r="H52" s="966"/>
      <c r="I52" s="966"/>
      <c r="J52" s="966"/>
      <c r="K52" s="966"/>
      <c r="L52" s="966"/>
      <c r="M52" s="966"/>
      <c r="N52" s="966"/>
      <c r="O52" s="966"/>
      <c r="P52" s="966"/>
      <c r="Q52" s="966"/>
      <c r="R52" s="966"/>
      <c r="S52" s="966"/>
      <c r="T52" s="966"/>
      <c r="U52" s="966"/>
      <c r="V52" s="966"/>
    </row>
    <row r="53" spans="2:22" ht="23.1">
      <c r="B53" s="40" t="s">
        <v>363</v>
      </c>
      <c r="C53" s="922" t="s">
        <v>364</v>
      </c>
      <c r="E53" s="20" t="s">
        <v>365</v>
      </c>
      <c r="G53" s="1003" t="s">
        <v>329</v>
      </c>
      <c r="H53" s="966" t="s">
        <v>335</v>
      </c>
      <c r="I53" s="966"/>
      <c r="J53" s="966"/>
      <c r="K53" s="966" t="s">
        <v>366</v>
      </c>
      <c r="L53" s="966"/>
      <c r="M53" s="966"/>
      <c r="N53" s="966"/>
      <c r="O53" s="966" t="s">
        <v>367</v>
      </c>
      <c r="P53" s="966"/>
      <c r="Q53" s="966"/>
      <c r="R53" s="966"/>
      <c r="S53" s="966"/>
      <c r="T53" s="966"/>
      <c r="U53" s="966"/>
      <c r="V53" s="966"/>
    </row>
    <row r="54" spans="2:22" ht="14.25" customHeight="1">
      <c r="G54" s="1003"/>
      <c r="H54" s="966"/>
      <c r="I54" s="966"/>
      <c r="J54" s="966"/>
      <c r="K54" s="966"/>
      <c r="L54" s="966"/>
      <c r="M54" s="966"/>
      <c r="N54" s="966"/>
      <c r="O54" s="966"/>
      <c r="P54" s="966"/>
      <c r="Q54" s="966"/>
      <c r="R54" s="966"/>
      <c r="S54" s="966"/>
      <c r="T54" s="966"/>
      <c r="U54" s="966"/>
      <c r="V54" s="966"/>
    </row>
    <row r="55" spans="2:22" ht="14.1">
      <c r="E55" s="20" t="s">
        <v>368</v>
      </c>
      <c r="G55" s="1003" t="s">
        <v>329</v>
      </c>
      <c r="H55" s="966" t="s">
        <v>369</v>
      </c>
      <c r="I55" s="966"/>
      <c r="J55" s="966"/>
      <c r="K55" s="966" t="s">
        <v>370</v>
      </c>
      <c r="L55" s="966"/>
      <c r="M55" s="966"/>
      <c r="N55" s="966"/>
      <c r="O55" s="966" t="s">
        <v>371</v>
      </c>
      <c r="P55" s="966"/>
      <c r="Q55" s="966"/>
      <c r="R55" s="966"/>
      <c r="S55" s="966"/>
      <c r="T55" s="966"/>
      <c r="U55" s="966"/>
      <c r="V55" s="966"/>
    </row>
    <row r="56" spans="2:22" ht="14.25" customHeight="1">
      <c r="G56" s="1003"/>
      <c r="H56" s="966"/>
      <c r="I56" s="966"/>
      <c r="J56" s="966"/>
      <c r="K56" s="966"/>
      <c r="L56" s="966"/>
      <c r="M56" s="966"/>
      <c r="N56" s="966"/>
      <c r="O56" s="966"/>
      <c r="P56" s="966"/>
      <c r="Q56" s="966"/>
      <c r="R56" s="966"/>
      <c r="S56" s="966"/>
      <c r="T56" s="966"/>
      <c r="U56" s="966"/>
      <c r="V56" s="966"/>
    </row>
    <row r="57" spans="2:22" ht="32.25" customHeight="1">
      <c r="E57" s="20" t="s">
        <v>372</v>
      </c>
      <c r="G57" s="1002" t="s">
        <v>329</v>
      </c>
      <c r="H57" s="966" t="s">
        <v>335</v>
      </c>
      <c r="I57" s="966"/>
      <c r="J57" s="966"/>
      <c r="K57" s="966" t="s">
        <v>335</v>
      </c>
      <c r="L57" s="966"/>
      <c r="M57" s="966"/>
      <c r="N57" s="966"/>
      <c r="O57" s="966" t="s">
        <v>373</v>
      </c>
      <c r="P57" s="966"/>
      <c r="Q57" s="966"/>
      <c r="R57" s="966"/>
      <c r="S57" s="966"/>
      <c r="T57" s="966"/>
      <c r="U57" s="966"/>
      <c r="V57" s="966"/>
    </row>
    <row r="58" spans="2:22" ht="14.25" customHeight="1">
      <c r="G58" s="1002"/>
      <c r="H58" s="966"/>
      <c r="I58" s="966"/>
      <c r="J58" s="966"/>
      <c r="K58" s="966"/>
      <c r="L58" s="966"/>
      <c r="M58" s="966"/>
      <c r="N58" s="966"/>
      <c r="O58" s="966"/>
      <c r="P58" s="966"/>
      <c r="Q58" s="966"/>
      <c r="R58" s="966"/>
      <c r="S58" s="966"/>
      <c r="T58" s="966"/>
      <c r="U58" s="966"/>
      <c r="V58" s="966"/>
    </row>
    <row r="59" spans="2:22" ht="20.25" customHeight="1">
      <c r="E59" s="20" t="s">
        <v>374</v>
      </c>
      <c r="G59" s="1002" t="s">
        <v>329</v>
      </c>
      <c r="H59" s="966" t="s">
        <v>335</v>
      </c>
      <c r="I59" s="966"/>
      <c r="J59" s="966"/>
      <c r="K59" s="966" t="s">
        <v>335</v>
      </c>
      <c r="L59" s="966"/>
      <c r="M59" s="966"/>
      <c r="N59" s="966"/>
      <c r="O59" s="966" t="s">
        <v>375</v>
      </c>
      <c r="P59" s="966"/>
      <c r="Q59" s="966"/>
      <c r="R59" s="966"/>
      <c r="S59" s="966"/>
      <c r="T59" s="966"/>
      <c r="U59" s="966"/>
      <c r="V59" s="966"/>
    </row>
    <row r="60" spans="2:22" ht="20.25" customHeight="1">
      <c r="G60" s="1002"/>
      <c r="H60" s="966"/>
      <c r="I60" s="966"/>
      <c r="J60" s="966"/>
      <c r="K60" s="966"/>
      <c r="L60" s="966"/>
      <c r="M60" s="966"/>
      <c r="N60" s="966"/>
      <c r="O60" s="966"/>
      <c r="P60" s="966"/>
      <c r="Q60" s="966"/>
      <c r="R60" s="966"/>
      <c r="S60" s="966"/>
      <c r="T60" s="966"/>
      <c r="U60" s="966"/>
      <c r="V60" s="966"/>
    </row>
    <row r="61" spans="2:22" ht="15" customHeight="1">
      <c r="E61" s="20" t="s">
        <v>376</v>
      </c>
      <c r="G61" s="1001" t="s">
        <v>329</v>
      </c>
      <c r="H61" s="966" t="s">
        <v>377</v>
      </c>
      <c r="I61" s="966"/>
      <c r="J61" s="966"/>
      <c r="K61" s="966" t="s">
        <v>378</v>
      </c>
      <c r="L61" s="966"/>
      <c r="M61" s="966"/>
      <c r="N61" s="966"/>
      <c r="O61" s="966" t="s">
        <v>379</v>
      </c>
      <c r="P61" s="966"/>
      <c r="Q61" s="966"/>
      <c r="R61" s="966"/>
      <c r="S61" s="966"/>
      <c r="T61" s="966"/>
      <c r="U61" s="966"/>
      <c r="V61" s="966"/>
    </row>
    <row r="62" spans="2:22" ht="16.149999999999999" customHeight="1">
      <c r="G62" s="1001"/>
      <c r="H62" s="966"/>
      <c r="I62" s="966"/>
      <c r="J62" s="966"/>
      <c r="K62" s="966"/>
      <c r="L62" s="966"/>
      <c r="M62" s="966"/>
      <c r="N62" s="966"/>
      <c r="O62" s="966"/>
      <c r="P62" s="966"/>
      <c r="Q62" s="966"/>
      <c r="R62" s="966"/>
      <c r="S62" s="966"/>
      <c r="T62" s="966"/>
      <c r="U62" s="966"/>
      <c r="V62" s="966"/>
    </row>
    <row r="63" spans="2:22" ht="27.75" customHeight="1">
      <c r="E63" s="20" t="s">
        <v>380</v>
      </c>
      <c r="G63" s="1002" t="s">
        <v>329</v>
      </c>
      <c r="H63" s="966" t="s">
        <v>381</v>
      </c>
      <c r="I63" s="966"/>
      <c r="J63" s="966"/>
      <c r="K63" s="966" t="s">
        <v>335</v>
      </c>
      <c r="L63" s="966"/>
      <c r="M63" s="966"/>
      <c r="N63" s="966"/>
      <c r="O63" s="966" t="s">
        <v>382</v>
      </c>
      <c r="P63" s="966"/>
      <c r="Q63" s="966"/>
      <c r="R63" s="966"/>
      <c r="S63" s="966"/>
      <c r="T63" s="966"/>
      <c r="U63" s="966"/>
      <c r="V63" s="966"/>
    </row>
    <row r="64" spans="2:22" ht="27.75" customHeight="1">
      <c r="G64" s="1002"/>
      <c r="H64" s="966"/>
      <c r="I64" s="966"/>
      <c r="J64" s="966"/>
      <c r="K64" s="966"/>
      <c r="L64" s="966"/>
      <c r="M64" s="966"/>
      <c r="N64" s="966"/>
      <c r="O64" s="966"/>
      <c r="P64" s="966"/>
      <c r="Q64" s="966"/>
      <c r="R64" s="966"/>
      <c r="S64" s="966"/>
      <c r="T64" s="966"/>
      <c r="U64" s="966"/>
      <c r="V64" s="966"/>
    </row>
    <row r="65" spans="2:22" ht="24" customHeight="1">
      <c r="E65" s="20" t="s">
        <v>383</v>
      </c>
      <c r="G65" s="1002" t="s">
        <v>329</v>
      </c>
      <c r="H65" s="966" t="s">
        <v>384</v>
      </c>
      <c r="I65" s="966"/>
      <c r="J65" s="966"/>
      <c r="K65" s="966" t="s">
        <v>385</v>
      </c>
      <c r="L65" s="966"/>
      <c r="M65" s="966"/>
      <c r="N65" s="966"/>
      <c r="O65" s="966" t="s">
        <v>386</v>
      </c>
      <c r="P65" s="966"/>
      <c r="Q65" s="966"/>
      <c r="R65" s="966"/>
      <c r="S65" s="966"/>
      <c r="T65" s="966"/>
      <c r="U65" s="966"/>
      <c r="V65" s="966"/>
    </row>
    <row r="66" spans="2:22" ht="32.25" customHeight="1">
      <c r="G66" s="1002"/>
      <c r="H66" s="966"/>
      <c r="I66" s="966"/>
      <c r="J66" s="966"/>
      <c r="K66" s="966"/>
      <c r="L66" s="966"/>
      <c r="M66" s="966"/>
      <c r="N66" s="966"/>
      <c r="O66" s="966"/>
      <c r="P66" s="966"/>
      <c r="Q66" s="966"/>
      <c r="R66" s="966"/>
      <c r="S66" s="966"/>
      <c r="T66" s="966"/>
      <c r="U66" s="966"/>
      <c r="V66" s="966"/>
    </row>
    <row r="67" spans="2:22" ht="14.1">
      <c r="E67" s="20" t="s">
        <v>387</v>
      </c>
      <c r="G67" s="1006"/>
      <c r="H67" s="966" t="s">
        <v>388</v>
      </c>
      <c r="I67" s="966"/>
      <c r="J67" s="966"/>
      <c r="K67" s="966" t="s">
        <v>389</v>
      </c>
      <c r="L67" s="966"/>
      <c r="M67" s="966"/>
      <c r="N67" s="966"/>
      <c r="O67" s="969" t="s">
        <v>390</v>
      </c>
      <c r="P67" s="966"/>
      <c r="Q67" s="966"/>
      <c r="R67" s="966"/>
      <c r="S67" s="966"/>
      <c r="T67" s="966"/>
      <c r="U67" s="966"/>
      <c r="V67" s="966"/>
    </row>
    <row r="68" spans="2:22" ht="24.75" customHeight="1">
      <c r="E68" s="20"/>
      <c r="G68" s="1006"/>
      <c r="H68" s="966"/>
      <c r="I68" s="966"/>
      <c r="J68" s="966"/>
      <c r="K68" s="966"/>
      <c r="L68" s="966"/>
      <c r="M68" s="966"/>
      <c r="N68" s="966"/>
      <c r="O68" s="966"/>
      <c r="P68" s="966"/>
      <c r="Q68" s="966"/>
      <c r="R68" s="966"/>
      <c r="S68" s="966"/>
      <c r="T68" s="966"/>
      <c r="U68" s="966"/>
      <c r="V68" s="966"/>
    </row>
    <row r="69" spans="2:22" ht="33" customHeight="1">
      <c r="E69" s="20" t="s">
        <v>391</v>
      </c>
      <c r="G69" s="1004"/>
      <c r="H69" s="966" t="s">
        <v>392</v>
      </c>
      <c r="I69" s="966"/>
      <c r="J69" s="966"/>
      <c r="K69" s="966" t="s">
        <v>335</v>
      </c>
      <c r="L69" s="966"/>
      <c r="M69" s="966"/>
      <c r="N69" s="966"/>
      <c r="O69" s="966" t="s">
        <v>393</v>
      </c>
      <c r="P69" s="966"/>
      <c r="Q69" s="966"/>
      <c r="R69" s="966"/>
      <c r="S69" s="966"/>
      <c r="T69" s="966"/>
      <c r="U69" s="966"/>
      <c r="V69" s="966"/>
    </row>
    <row r="70" spans="2:22" ht="14.25" customHeight="1">
      <c r="G70" s="1004"/>
      <c r="H70" s="966"/>
      <c r="I70" s="966"/>
      <c r="J70" s="966"/>
      <c r="K70" s="966"/>
      <c r="L70" s="966"/>
      <c r="M70" s="966"/>
      <c r="N70" s="966"/>
      <c r="O70" s="966"/>
      <c r="P70" s="966"/>
      <c r="Q70" s="966"/>
      <c r="R70" s="966"/>
      <c r="S70" s="966"/>
      <c r="T70" s="966"/>
      <c r="U70" s="966"/>
      <c r="V70" s="966"/>
    </row>
    <row r="71" spans="2:22" ht="15.6">
      <c r="E71" s="45" t="s">
        <v>394</v>
      </c>
      <c r="F71" s="45"/>
      <c r="G71" s="45"/>
      <c r="H71" s="45"/>
      <c r="I71" s="45"/>
      <c r="J71" s="45"/>
      <c r="K71" s="45"/>
      <c r="L71" s="45"/>
      <c r="M71" s="45"/>
      <c r="N71" s="45"/>
      <c r="O71" s="45"/>
      <c r="P71" s="45"/>
      <c r="Q71" s="45"/>
      <c r="R71" s="45"/>
      <c r="S71" s="45"/>
      <c r="T71" s="45"/>
      <c r="U71" s="45"/>
      <c r="V71" s="45"/>
    </row>
    <row r="72" spans="2:22" customFormat="1" ht="3.95" customHeight="1">
      <c r="B72" s="40"/>
      <c r="C72" s="39"/>
      <c r="D72" s="40"/>
      <c r="E72" s="46"/>
      <c r="F72" s="46"/>
      <c r="G72" s="46"/>
      <c r="H72" s="46"/>
      <c r="I72" s="46"/>
      <c r="J72" s="46"/>
      <c r="K72" s="46"/>
      <c r="L72" s="46"/>
      <c r="M72" s="46"/>
      <c r="N72" s="46"/>
      <c r="O72" s="46"/>
      <c r="P72" s="46"/>
      <c r="Q72" s="46"/>
      <c r="R72" s="46"/>
      <c r="S72" s="46"/>
      <c r="T72" s="46"/>
      <c r="U72" s="46"/>
      <c r="V72" s="46"/>
    </row>
    <row r="73" spans="2:22" ht="13.15" customHeight="1" thickBot="1">
      <c r="E73" s="47"/>
      <c r="F73" s="47"/>
      <c r="G73" s="48" t="s">
        <v>301</v>
      </c>
      <c r="H73" s="48" t="s">
        <v>325</v>
      </c>
      <c r="I73" s="48"/>
      <c r="J73" s="48"/>
      <c r="K73" s="48" t="s">
        <v>326</v>
      </c>
      <c r="L73" s="48"/>
      <c r="M73" s="48"/>
      <c r="N73" s="48"/>
      <c r="O73" s="48" t="s">
        <v>327</v>
      </c>
      <c r="P73" s="47"/>
      <c r="Q73" s="47"/>
      <c r="R73" s="47"/>
      <c r="S73" s="47"/>
      <c r="T73" s="47"/>
      <c r="U73" s="47"/>
      <c r="V73" s="47"/>
    </row>
    <row r="74" spans="2:22" ht="16.149999999999999" customHeight="1" thickTop="1">
      <c r="E74" s="20" t="s">
        <v>395</v>
      </c>
      <c r="G74" s="1007" t="s">
        <v>329</v>
      </c>
      <c r="H74" s="968" t="s">
        <v>335</v>
      </c>
      <c r="I74" s="968"/>
      <c r="J74" s="968"/>
      <c r="K74" s="968" t="s">
        <v>335</v>
      </c>
      <c r="L74" s="968"/>
      <c r="M74" s="968"/>
      <c r="N74" s="968"/>
      <c r="O74" s="968" t="s">
        <v>396</v>
      </c>
      <c r="P74" s="968"/>
      <c r="Q74" s="968"/>
      <c r="R74" s="968"/>
      <c r="S74" s="968"/>
      <c r="T74" s="968"/>
      <c r="U74" s="968"/>
      <c r="V74" s="968"/>
    </row>
    <row r="75" spans="2:22" ht="13.15" customHeight="1">
      <c r="G75" s="1001"/>
      <c r="H75" s="966"/>
      <c r="I75" s="966"/>
      <c r="J75" s="966"/>
      <c r="K75" s="966"/>
      <c r="L75" s="966"/>
      <c r="M75" s="966"/>
      <c r="N75" s="966"/>
      <c r="O75" s="966"/>
      <c r="P75" s="966"/>
      <c r="Q75" s="966"/>
      <c r="R75" s="966"/>
      <c r="S75" s="966"/>
      <c r="T75" s="966"/>
      <c r="U75" s="966"/>
      <c r="V75" s="966"/>
    </row>
    <row r="76" spans="2:22" ht="14.1" customHeight="1">
      <c r="E76" s="20" t="s">
        <v>397</v>
      </c>
      <c r="G76" s="1005" t="s">
        <v>329</v>
      </c>
      <c r="H76" s="966" t="s">
        <v>335</v>
      </c>
      <c r="I76" s="966"/>
      <c r="J76" s="966"/>
      <c r="K76" s="966" t="s">
        <v>335</v>
      </c>
      <c r="L76" s="966"/>
      <c r="M76" s="966"/>
      <c r="N76" s="966"/>
      <c r="O76" s="966" t="s">
        <v>398</v>
      </c>
      <c r="P76" s="966"/>
      <c r="Q76" s="966"/>
      <c r="R76" s="966"/>
      <c r="S76" s="966"/>
      <c r="T76" s="966"/>
      <c r="U76" s="966"/>
      <c r="V76" s="966"/>
    </row>
    <row r="77" spans="2:22" ht="12.4" customHeight="1">
      <c r="G77" s="1005"/>
      <c r="H77" s="966"/>
      <c r="I77" s="966"/>
      <c r="J77" s="966"/>
      <c r="K77" s="966"/>
      <c r="L77" s="966"/>
      <c r="M77" s="966"/>
      <c r="N77" s="966"/>
      <c r="O77" s="966"/>
      <c r="P77" s="966"/>
      <c r="Q77" s="966"/>
      <c r="R77" s="966"/>
      <c r="S77" s="966"/>
      <c r="T77" s="966"/>
      <c r="U77" s="966"/>
      <c r="V77" s="966"/>
    </row>
    <row r="78" spans="2:22" ht="14.1" customHeight="1">
      <c r="E78" s="20" t="s">
        <v>399</v>
      </c>
      <c r="G78" s="1006"/>
      <c r="H78" s="966" t="s">
        <v>335</v>
      </c>
      <c r="I78" s="966"/>
      <c r="J78" s="966"/>
      <c r="K78" s="966" t="s">
        <v>335</v>
      </c>
      <c r="L78" s="966"/>
      <c r="M78" s="966"/>
      <c r="N78" s="966"/>
      <c r="O78" s="965" t="s">
        <v>400</v>
      </c>
      <c r="P78" s="965"/>
      <c r="Q78" s="965"/>
      <c r="R78" s="965"/>
      <c r="S78" s="965"/>
      <c r="T78" s="965"/>
      <c r="U78" s="965"/>
      <c r="V78" s="965"/>
    </row>
    <row r="79" spans="2:22" ht="12.4" customHeight="1">
      <c r="G79" s="1006"/>
      <c r="H79" s="966"/>
      <c r="I79" s="966"/>
      <c r="J79" s="966"/>
      <c r="K79" s="966"/>
      <c r="L79" s="966"/>
      <c r="M79" s="966"/>
      <c r="N79" s="966"/>
      <c r="O79" s="965"/>
      <c r="P79" s="965"/>
      <c r="Q79" s="965"/>
      <c r="R79" s="965"/>
      <c r="S79" s="965"/>
      <c r="T79" s="965"/>
      <c r="U79" s="965"/>
      <c r="V79" s="965"/>
    </row>
    <row r="80" spans="2:22" ht="14.1" customHeight="1">
      <c r="E80" s="20" t="s">
        <v>401</v>
      </c>
      <c r="G80" s="1004"/>
      <c r="H80" s="966" t="s">
        <v>335</v>
      </c>
      <c r="I80" s="966"/>
      <c r="J80" s="966"/>
      <c r="K80" s="966" t="s">
        <v>335</v>
      </c>
      <c r="L80" s="966"/>
      <c r="M80" s="966"/>
      <c r="N80" s="966"/>
      <c r="O80" s="965" t="s">
        <v>402</v>
      </c>
      <c r="P80" s="965"/>
      <c r="Q80" s="965"/>
      <c r="R80" s="965"/>
      <c r="S80" s="965"/>
      <c r="T80" s="965"/>
      <c r="U80" s="965"/>
      <c r="V80" s="965"/>
    </row>
    <row r="81" spans="5:22" ht="12.4" customHeight="1">
      <c r="G81" s="1004"/>
      <c r="H81" s="966"/>
      <c r="I81" s="966"/>
      <c r="J81" s="966"/>
      <c r="K81" s="966"/>
      <c r="L81" s="966"/>
      <c r="M81" s="966"/>
      <c r="N81" s="966"/>
      <c r="O81" s="965"/>
      <c r="P81" s="965"/>
      <c r="Q81" s="965"/>
      <c r="R81" s="965"/>
      <c r="S81" s="965"/>
      <c r="T81" s="965"/>
      <c r="U81" s="965"/>
      <c r="V81" s="965"/>
    </row>
    <row r="82" spans="5:22" ht="14.1">
      <c r="E82" s="20" t="s">
        <v>403</v>
      </c>
      <c r="G82" s="1008" t="s">
        <v>329</v>
      </c>
      <c r="H82" s="966" t="s">
        <v>335</v>
      </c>
      <c r="I82" s="966"/>
      <c r="J82" s="966"/>
      <c r="K82" s="966" t="s">
        <v>335</v>
      </c>
      <c r="L82" s="966"/>
      <c r="M82" s="966"/>
      <c r="N82" s="966"/>
      <c r="O82" s="965" t="s">
        <v>335</v>
      </c>
      <c r="P82" s="965"/>
      <c r="Q82" s="965"/>
      <c r="R82" s="965"/>
      <c r="S82" s="965"/>
      <c r="T82" s="965"/>
      <c r="U82" s="965"/>
      <c r="V82" s="965"/>
    </row>
    <row r="83" spans="5:22" ht="14.25" customHeight="1">
      <c r="G83" s="1008"/>
      <c r="H83" s="966"/>
      <c r="I83" s="966"/>
      <c r="J83" s="966"/>
      <c r="K83" s="966"/>
      <c r="L83" s="966"/>
      <c r="M83" s="966"/>
      <c r="N83" s="966"/>
      <c r="O83" s="965"/>
      <c r="P83" s="965"/>
      <c r="Q83" s="965"/>
      <c r="R83" s="965"/>
      <c r="S83" s="965"/>
      <c r="T83" s="965"/>
      <c r="U83" s="965"/>
      <c r="V83" s="965"/>
    </row>
    <row r="84" spans="5:22" ht="14.1" customHeight="1">
      <c r="E84" s="20" t="s">
        <v>404</v>
      </c>
      <c r="G84" s="1006"/>
      <c r="H84" s="966" t="s">
        <v>335</v>
      </c>
      <c r="I84" s="966"/>
      <c r="J84" s="966"/>
      <c r="K84" s="966" t="s">
        <v>335</v>
      </c>
      <c r="L84" s="966"/>
      <c r="M84" s="966"/>
      <c r="N84" s="966"/>
      <c r="O84" s="966" t="s">
        <v>405</v>
      </c>
      <c r="P84" s="966"/>
      <c r="Q84" s="966"/>
      <c r="R84" s="966"/>
      <c r="S84" s="966"/>
      <c r="T84" s="966"/>
      <c r="U84" s="966"/>
      <c r="V84" s="966"/>
    </row>
    <row r="85" spans="5:22" ht="12.4" customHeight="1">
      <c r="G85" s="1006"/>
      <c r="H85" s="966"/>
      <c r="I85" s="966"/>
      <c r="J85" s="966"/>
      <c r="K85" s="966"/>
      <c r="L85" s="966"/>
      <c r="M85" s="966"/>
      <c r="N85" s="966"/>
      <c r="O85" s="966"/>
      <c r="P85" s="966"/>
      <c r="Q85" s="966"/>
      <c r="R85" s="966"/>
      <c r="S85" s="966"/>
      <c r="T85" s="966"/>
      <c r="U85" s="966"/>
      <c r="V85" s="966"/>
    </row>
    <row r="86" spans="5:22" ht="14.1" customHeight="1">
      <c r="E86" s="20" t="s">
        <v>406</v>
      </c>
      <c r="G86" s="1004" t="s">
        <v>329</v>
      </c>
      <c r="H86" s="966" t="s">
        <v>335</v>
      </c>
      <c r="I86" s="966"/>
      <c r="J86" s="966"/>
      <c r="K86" s="966" t="s">
        <v>335</v>
      </c>
      <c r="L86" s="966"/>
      <c r="M86" s="966"/>
      <c r="N86" s="966"/>
      <c r="O86" s="965" t="s">
        <v>407</v>
      </c>
      <c r="P86" s="965"/>
      <c r="Q86" s="965"/>
      <c r="R86" s="965"/>
      <c r="S86" s="965"/>
      <c r="T86" s="965"/>
      <c r="U86" s="965"/>
      <c r="V86" s="965"/>
    </row>
    <row r="87" spans="5:22" ht="12.4" customHeight="1">
      <c r="G87" s="1004"/>
      <c r="H87" s="966"/>
      <c r="I87" s="966"/>
      <c r="J87" s="966"/>
      <c r="K87" s="966"/>
      <c r="L87" s="966"/>
      <c r="M87" s="966"/>
      <c r="N87" s="966"/>
      <c r="O87" s="965"/>
      <c r="P87" s="965"/>
      <c r="Q87" s="965"/>
      <c r="R87" s="965"/>
      <c r="S87" s="965"/>
      <c r="T87" s="965"/>
      <c r="U87" s="965"/>
      <c r="V87" s="965"/>
    </row>
    <row r="88" spans="5:22" ht="13.9" customHeight="1">
      <c r="E88" s="20" t="s">
        <v>408</v>
      </c>
      <c r="G88" s="1005"/>
      <c r="H88" s="966" t="s">
        <v>335</v>
      </c>
      <c r="I88" s="966"/>
      <c r="J88" s="966"/>
      <c r="K88" s="966" t="s">
        <v>335</v>
      </c>
      <c r="L88" s="966"/>
      <c r="M88" s="966"/>
      <c r="N88" s="966"/>
      <c r="O88" s="966" t="s">
        <v>409</v>
      </c>
      <c r="P88" s="966"/>
      <c r="Q88" s="966"/>
      <c r="R88" s="966"/>
      <c r="S88" s="966"/>
      <c r="T88" s="966"/>
      <c r="U88" s="966"/>
      <c r="V88" s="966"/>
    </row>
    <row r="89" spans="5:22" ht="13.15" customHeight="1">
      <c r="E89" s="20"/>
      <c r="G89" s="1005"/>
      <c r="H89" s="966"/>
      <c r="I89" s="966"/>
      <c r="J89" s="966"/>
      <c r="K89" s="966"/>
      <c r="L89" s="966"/>
      <c r="M89" s="966"/>
      <c r="N89" s="966"/>
      <c r="O89" s="966"/>
      <c r="P89" s="966"/>
      <c r="Q89" s="966"/>
      <c r="R89" s="966"/>
      <c r="S89" s="966"/>
      <c r="T89" s="966"/>
      <c r="U89" s="966"/>
      <c r="V89" s="966"/>
    </row>
    <row r="90" spans="5:22" ht="14.1" customHeight="1">
      <c r="E90" s="20" t="s">
        <v>410</v>
      </c>
      <c r="G90" s="1002" t="s">
        <v>329</v>
      </c>
      <c r="H90" s="966" t="s">
        <v>335</v>
      </c>
      <c r="I90" s="966"/>
      <c r="J90" s="966"/>
      <c r="K90" s="966" t="s">
        <v>335</v>
      </c>
      <c r="L90" s="966"/>
      <c r="M90" s="966"/>
      <c r="N90" s="966"/>
      <c r="O90" s="966" t="s">
        <v>411</v>
      </c>
      <c r="P90" s="966"/>
      <c r="Q90" s="966"/>
      <c r="R90" s="966"/>
      <c r="S90" s="966"/>
      <c r="T90" s="966"/>
      <c r="U90" s="966"/>
      <c r="V90" s="966"/>
    </row>
    <row r="91" spans="5:22" ht="23.45" customHeight="1">
      <c r="E91" s="20"/>
      <c r="G91" s="1002"/>
      <c r="H91" s="966"/>
      <c r="I91" s="966"/>
      <c r="J91" s="966"/>
      <c r="K91" s="966"/>
      <c r="L91" s="966"/>
      <c r="M91" s="966"/>
      <c r="N91" s="966"/>
      <c r="O91" s="966"/>
      <c r="P91" s="966"/>
      <c r="Q91" s="966"/>
      <c r="R91" s="966"/>
      <c r="S91" s="966"/>
      <c r="T91" s="966"/>
      <c r="U91" s="966"/>
      <c r="V91" s="966"/>
    </row>
    <row r="92" spans="5:22" ht="26.25" customHeight="1">
      <c r="E92" s="20" t="s">
        <v>412</v>
      </c>
      <c r="G92" s="1005"/>
      <c r="H92" s="966" t="s">
        <v>335</v>
      </c>
      <c r="I92" s="966"/>
      <c r="J92" s="966"/>
      <c r="K92" s="966" t="s">
        <v>335</v>
      </c>
      <c r="L92" s="966"/>
      <c r="M92" s="966"/>
      <c r="N92" s="966"/>
      <c r="O92" s="969" t="s">
        <v>413</v>
      </c>
      <c r="P92" s="966"/>
      <c r="Q92" s="966"/>
      <c r="R92" s="966"/>
      <c r="S92" s="966"/>
      <c r="T92" s="966"/>
      <c r="U92" s="966"/>
      <c r="V92" s="966"/>
    </row>
    <row r="93" spans="5:22" ht="18.600000000000001" customHeight="1">
      <c r="G93" s="1005"/>
      <c r="H93" s="966"/>
      <c r="I93" s="966"/>
      <c r="J93" s="966"/>
      <c r="K93" s="966"/>
      <c r="L93" s="966"/>
      <c r="M93" s="966"/>
      <c r="N93" s="966"/>
      <c r="O93" s="966"/>
      <c r="P93" s="966"/>
      <c r="Q93" s="966"/>
      <c r="R93" s="966"/>
      <c r="S93" s="966"/>
      <c r="T93" s="966"/>
      <c r="U93" s="966"/>
      <c r="V93" s="966"/>
    </row>
    <row r="94" spans="5:22" ht="27.75" customHeight="1">
      <c r="E94" s="20" t="s">
        <v>414</v>
      </c>
      <c r="G94" s="1002" t="s">
        <v>329</v>
      </c>
      <c r="H94" s="966" t="s">
        <v>335</v>
      </c>
      <c r="I94" s="966"/>
      <c r="J94" s="966"/>
      <c r="K94" s="966" t="s">
        <v>335</v>
      </c>
      <c r="L94" s="966"/>
      <c r="M94" s="966"/>
      <c r="N94" s="966"/>
      <c r="O94" s="966" t="s">
        <v>415</v>
      </c>
      <c r="P94" s="966"/>
      <c r="Q94" s="966"/>
      <c r="R94" s="966"/>
      <c r="S94" s="966"/>
      <c r="T94" s="966"/>
      <c r="U94" s="966"/>
      <c r="V94" s="966"/>
    </row>
    <row r="95" spans="5:22" ht="12.4" customHeight="1">
      <c r="G95" s="1002"/>
      <c r="H95" s="966"/>
      <c r="I95" s="966"/>
      <c r="J95" s="966"/>
      <c r="K95" s="966"/>
      <c r="L95" s="966"/>
      <c r="M95" s="966"/>
      <c r="N95" s="966"/>
      <c r="O95" s="966"/>
      <c r="P95" s="966"/>
      <c r="Q95" s="966"/>
      <c r="R95" s="966"/>
      <c r="S95" s="966"/>
      <c r="T95" s="966"/>
      <c r="U95" s="966"/>
      <c r="V95" s="966"/>
    </row>
    <row r="96" spans="5:22" ht="12.75" customHeight="1">
      <c r="G96" s="855"/>
      <c r="H96" s="855"/>
      <c r="I96" s="855"/>
      <c r="J96" s="855"/>
      <c r="K96" s="855"/>
      <c r="L96" s="855"/>
      <c r="M96" s="855"/>
      <c r="N96" s="855"/>
      <c r="O96" s="855"/>
      <c r="P96" s="855"/>
      <c r="Q96" s="855"/>
      <c r="R96" s="855"/>
      <c r="S96" s="855"/>
      <c r="T96" s="855"/>
      <c r="U96" s="855"/>
      <c r="V96" s="855"/>
    </row>
    <row r="97" spans="7:22" ht="12.75" customHeight="1">
      <c r="G97" s="855"/>
      <c r="H97" s="855"/>
      <c r="I97" s="855"/>
      <c r="J97" s="855"/>
      <c r="K97" s="855"/>
      <c r="L97" s="855"/>
      <c r="M97" s="855"/>
      <c r="N97" s="855"/>
      <c r="O97" s="855"/>
      <c r="P97" s="855"/>
      <c r="Q97" s="855"/>
      <c r="R97" s="855"/>
      <c r="S97" s="855"/>
      <c r="T97" s="855"/>
      <c r="U97" s="855"/>
      <c r="V97" s="855"/>
    </row>
    <row r="98" spans="7:22" ht="12.75" customHeight="1">
      <c r="G98" s="855"/>
      <c r="H98" s="855"/>
      <c r="I98" s="855"/>
      <c r="J98" s="855"/>
      <c r="K98" s="855"/>
      <c r="L98" s="855"/>
      <c r="M98" s="855"/>
      <c r="N98" s="855"/>
      <c r="O98" s="855"/>
      <c r="P98" s="855"/>
      <c r="Q98" s="855"/>
      <c r="R98" s="855"/>
      <c r="S98" s="855"/>
      <c r="T98" s="855"/>
      <c r="U98" s="855"/>
      <c r="V98" s="855"/>
    </row>
    <row r="99" spans="7:22" ht="12.75" customHeight="1">
      <c r="G99" s="855"/>
      <c r="H99" s="855"/>
      <c r="I99" s="855"/>
      <c r="J99" s="855"/>
      <c r="K99" s="855"/>
      <c r="L99" s="855"/>
      <c r="M99" s="855"/>
      <c r="N99" s="855"/>
      <c r="O99" s="855"/>
      <c r="P99" s="855"/>
      <c r="Q99" s="855"/>
      <c r="R99" s="855"/>
      <c r="S99" s="855"/>
      <c r="T99" s="855"/>
      <c r="U99" s="855"/>
      <c r="V99" s="855"/>
    </row>
  </sheetData>
  <mergeCells count="122">
    <mergeCell ref="G94:G95"/>
    <mergeCell ref="H94:J95"/>
    <mergeCell ref="K94:N95"/>
    <mergeCell ref="O94:V95"/>
    <mergeCell ref="G90:G91"/>
    <mergeCell ref="H90:J91"/>
    <mergeCell ref="K90:N91"/>
    <mergeCell ref="O90:V91"/>
    <mergeCell ref="G92:G93"/>
    <mergeCell ref="H92:J93"/>
    <mergeCell ref="K92:N93"/>
    <mergeCell ref="O92:V93"/>
    <mergeCell ref="G86:G87"/>
    <mergeCell ref="H86:J87"/>
    <mergeCell ref="K86:N87"/>
    <mergeCell ref="O86:V87"/>
    <mergeCell ref="G88:G89"/>
    <mergeCell ref="H88:J89"/>
    <mergeCell ref="K88:N89"/>
    <mergeCell ref="O88:V89"/>
    <mergeCell ref="G82:G83"/>
    <mergeCell ref="H82:J83"/>
    <mergeCell ref="K82:N83"/>
    <mergeCell ref="O82:V83"/>
    <mergeCell ref="G84:G85"/>
    <mergeCell ref="H84:J85"/>
    <mergeCell ref="K84:N85"/>
    <mergeCell ref="O84:V85"/>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G5:L6"/>
    <mergeCell ref="N5:Q14"/>
    <mergeCell ref="R5:U14"/>
    <mergeCell ref="G7:L8"/>
    <mergeCell ref="G9:L10"/>
    <mergeCell ref="G11:L12"/>
    <mergeCell ref="G13:L14"/>
  </mergeCells>
  <phoneticPr fontId="74" type="noConversion"/>
  <dataValidations count="1">
    <dataValidation type="list" allowBlank="1" showInputMessage="1" showErrorMessage="1" sqref="F6" xr:uid="{00000000-0002-0000-0400-000000000000}">
      <formula1>#REF!</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AB86"/>
  <sheetViews>
    <sheetView showGridLines="0" topLeftCell="A66" zoomScale="83" zoomScaleNormal="100" workbookViewId="0">
      <selection activeCell="E90" sqref="E90"/>
    </sheetView>
  </sheetViews>
  <sheetFormatPr defaultRowHeight="14.1"/>
  <cols>
    <col min="1" max="1" width="2.625" customWidth="1"/>
    <col min="5" max="5" width="30.625" customWidth="1"/>
    <col min="6" max="6" width="13.125" customWidth="1"/>
    <col min="7" max="17" width="11.125" customWidth="1"/>
    <col min="18" max="18" width="20.625" style="6" customWidth="1"/>
  </cols>
  <sheetData>
    <row r="2" spans="1:18" s="35" customFormat="1" ht="20.25" customHeight="1">
      <c r="B2" s="641" t="s">
        <v>416</v>
      </c>
      <c r="R2" s="681"/>
    </row>
    <row r="4" spans="1:18" ht="15.6">
      <c r="A4" t="s">
        <v>417</v>
      </c>
      <c r="B4" s="210" t="s">
        <v>418</v>
      </c>
      <c r="C4" s="49"/>
      <c r="D4" s="49"/>
      <c r="E4" s="49"/>
      <c r="F4" s="49"/>
      <c r="G4" s="211">
        <v>2014</v>
      </c>
      <c r="H4" s="211">
        <f>+G4+1</f>
        <v>2015</v>
      </c>
      <c r="I4" s="211">
        <f t="shared" ref="I4:M4" si="0">+H4+1</f>
        <v>2016</v>
      </c>
      <c r="J4" s="211">
        <f t="shared" si="0"/>
        <v>2017</v>
      </c>
      <c r="K4" s="211">
        <f t="shared" si="0"/>
        <v>2018</v>
      </c>
      <c r="L4" s="211">
        <f t="shared" si="0"/>
        <v>2019</v>
      </c>
      <c r="M4" s="211">
        <f t="shared" si="0"/>
        <v>2020</v>
      </c>
      <c r="N4" s="211">
        <f>+M4+1</f>
        <v>2021</v>
      </c>
      <c r="O4" s="211">
        <f>+N4+1</f>
        <v>2022</v>
      </c>
      <c r="P4" s="211">
        <f t="shared" ref="P4" si="1">+O4+1</f>
        <v>2023</v>
      </c>
      <c r="Q4" s="211">
        <f>+P4+1</f>
        <v>2024</v>
      </c>
      <c r="R4" s="51" t="str">
        <f>"CAGR "&amp;$G$4&amp;" - "&amp;$Q$4</f>
        <v>CAGR 2014 - 2024</v>
      </c>
    </row>
    <row r="5" spans="1:18" ht="3.75" customHeight="1">
      <c r="B5" s="46"/>
      <c r="C5" s="46"/>
      <c r="D5" s="46"/>
      <c r="E5" s="46"/>
      <c r="F5" s="46"/>
      <c r="G5" s="212"/>
      <c r="H5" s="212"/>
      <c r="I5" s="212"/>
      <c r="J5" s="212"/>
      <c r="K5" s="212"/>
      <c r="L5" s="212"/>
      <c r="M5" s="212"/>
      <c r="N5" s="212"/>
      <c r="O5" s="212"/>
      <c r="P5" s="212"/>
      <c r="Q5" s="212"/>
      <c r="R5" s="53"/>
    </row>
    <row r="6" spans="1:18">
      <c r="B6" t="str">
        <f ca="1">+Peers!B6</f>
        <v>INTERNATIONAL BUSINESS MACHINES CORPORATION</v>
      </c>
      <c r="G6" s="190">
        <v>556.65300000000002</v>
      </c>
      <c r="H6" s="190">
        <v>354.04599999999999</v>
      </c>
      <c r="I6" s="190">
        <v>133.66300000000001</v>
      </c>
      <c r="J6" s="190">
        <v>124.901</v>
      </c>
      <c r="K6" s="190">
        <v>105</v>
      </c>
      <c r="L6" s="190">
        <v>98</v>
      </c>
      <c r="M6" s="190">
        <v>73</v>
      </c>
      <c r="N6" s="190">
        <v>78</v>
      </c>
      <c r="O6" s="190">
        <v>78</v>
      </c>
      <c r="P6" s="190">
        <v>71</v>
      </c>
      <c r="Q6" s="190"/>
      <c r="R6" s="682">
        <f t="shared" ref="R6:R16" si="2">IFERROR((Q6/G6)^(1/COUNT($G$4:$Q$4))-1,"")</f>
        <v>-1</v>
      </c>
    </row>
    <row r="7" spans="1:18">
      <c r="B7" s="645" t="e" vm="3">
        <f>+Peers!A8</f>
        <v>#VALUE!</v>
      </c>
      <c r="C7" s="645"/>
      <c r="D7" s="645"/>
      <c r="E7" s="645"/>
      <c r="F7" s="645"/>
      <c r="G7" s="646"/>
      <c r="H7" s="646">
        <v>26.29</v>
      </c>
      <c r="I7" s="646">
        <v>27.202999999999999</v>
      </c>
      <c r="J7" s="646">
        <v>24.094999999999999</v>
      </c>
      <c r="K7" s="646">
        <v>22.183</v>
      </c>
      <c r="L7" s="646">
        <v>19.992000000000001</v>
      </c>
      <c r="M7" s="646">
        <v>13.945</v>
      </c>
      <c r="N7" s="646">
        <v>9.25</v>
      </c>
      <c r="O7" s="646">
        <v>17.803999999999998</v>
      </c>
      <c r="P7" s="646">
        <v>22.038</v>
      </c>
      <c r="Q7" s="646">
        <v>22.395</v>
      </c>
      <c r="R7" s="683" t="str">
        <f t="shared" si="2"/>
        <v/>
      </c>
    </row>
    <row r="8" spans="1:18">
      <c r="B8" t="e" vm="5">
        <f>+Peers!A9</f>
        <v>#VALUE!</v>
      </c>
      <c r="G8" s="190"/>
      <c r="H8" s="190">
        <v>9.6210000000000004</v>
      </c>
      <c r="I8" s="190">
        <v>6.2249999999999996</v>
      </c>
      <c r="J8" s="190">
        <v>6.7990000000000004</v>
      </c>
      <c r="K8" s="190">
        <v>8.0410000000000004</v>
      </c>
      <c r="L8" s="190">
        <v>13.08</v>
      </c>
      <c r="M8" s="190">
        <v>8.5289999999999999</v>
      </c>
      <c r="N8" s="190">
        <v>10.972</v>
      </c>
      <c r="O8" s="190">
        <v>8.4589999999999996</v>
      </c>
      <c r="P8" s="190">
        <v>8.83</v>
      </c>
      <c r="Q8" s="190">
        <v>7.8929999999999998</v>
      </c>
      <c r="R8" s="682" t="str">
        <f t="shared" si="2"/>
        <v/>
      </c>
    </row>
    <row r="9" spans="1:18">
      <c r="B9" t="e" vm="7">
        <f>+Peers!A10</f>
        <v>#VALUE!</v>
      </c>
      <c r="C9" s="645"/>
      <c r="D9" s="645"/>
      <c r="E9" s="645"/>
      <c r="F9" s="645"/>
      <c r="G9" s="646">
        <v>85.188000000000002</v>
      </c>
      <c r="H9" s="646">
        <v>90.567999999999998</v>
      </c>
      <c r="I9" s="646">
        <v>88.486000000000004</v>
      </c>
      <c r="J9" s="646">
        <v>107.452</v>
      </c>
      <c r="K9" s="646">
        <v>99.007999999999996</v>
      </c>
      <c r="L9" s="646">
        <v>117.956</v>
      </c>
      <c r="M9" s="646">
        <v>118.1</v>
      </c>
      <c r="N9" s="646">
        <v>123.70399999999999</v>
      </c>
      <c r="O9" s="646">
        <v>139.41300000000001</v>
      </c>
      <c r="P9" s="646">
        <v>144.96</v>
      </c>
      <c r="Q9" s="646"/>
      <c r="R9" s="683">
        <f t="shared" si="2"/>
        <v>-1</v>
      </c>
    </row>
    <row r="10" spans="1:18">
      <c r="B10" t="e" vm="8">
        <f>+Peers!A11</f>
        <v>#VALUE!</v>
      </c>
      <c r="G10" s="190"/>
      <c r="H10" s="190">
        <v>11.741</v>
      </c>
      <c r="I10" s="190">
        <v>14.952999999999999</v>
      </c>
      <c r="J10" s="190">
        <v>11.292999999999999</v>
      </c>
      <c r="K10" s="190">
        <v>14.763</v>
      </c>
      <c r="L10" s="190">
        <v>17.084</v>
      </c>
      <c r="M10" s="190">
        <v>16.52</v>
      </c>
      <c r="N10" s="190">
        <v>10.3</v>
      </c>
      <c r="O10" s="190">
        <v>9.4890000000000008</v>
      </c>
      <c r="P10" s="190">
        <v>10.237</v>
      </c>
      <c r="Q10" s="190">
        <v>15.2</v>
      </c>
      <c r="R10" s="682" t="str">
        <f t="shared" si="2"/>
        <v/>
      </c>
    </row>
    <row r="11" spans="1:18">
      <c r="B11" t="e" vm="9">
        <f>+Peers!A12</f>
        <v>#VALUE!</v>
      </c>
      <c r="C11" s="645"/>
      <c r="D11" s="645"/>
      <c r="E11" s="645"/>
      <c r="F11" s="645"/>
      <c r="G11" s="646"/>
      <c r="H11" s="646"/>
      <c r="I11" s="646">
        <v>37.299999999999997</v>
      </c>
      <c r="J11" s="646">
        <v>79.963999999999999</v>
      </c>
      <c r="K11" s="646">
        <v>74.105999999999995</v>
      </c>
      <c r="L11" s="646">
        <v>56.576999999999998</v>
      </c>
      <c r="M11" s="646">
        <v>36.795999999999999</v>
      </c>
      <c r="N11" s="646">
        <v>29.016999999999999</v>
      </c>
      <c r="O11" s="646">
        <v>31.908000000000001</v>
      </c>
      <c r="P11" s="646">
        <v>40.494999999999997</v>
      </c>
      <c r="Q11" s="646"/>
      <c r="R11" s="683" t="str">
        <f t="shared" si="2"/>
        <v/>
      </c>
    </row>
    <row r="12" spans="1:18">
      <c r="G12" s="190"/>
      <c r="H12" s="190"/>
      <c r="I12" s="190"/>
      <c r="J12" s="190"/>
      <c r="K12" s="190"/>
      <c r="L12" s="190"/>
      <c r="M12" s="190"/>
      <c r="N12" s="190"/>
      <c r="O12" s="190"/>
      <c r="P12" s="190"/>
      <c r="Q12" s="190"/>
      <c r="R12" s="682" t="str">
        <f t="shared" si="2"/>
        <v/>
      </c>
    </row>
    <row r="13" spans="1:18">
      <c r="B13" s="645"/>
      <c r="C13" s="645"/>
      <c r="D13" s="645"/>
      <c r="E13" s="645"/>
      <c r="F13" s="645"/>
      <c r="G13" s="646"/>
      <c r="H13" s="646"/>
      <c r="I13" s="646"/>
      <c r="J13" s="646"/>
      <c r="K13" s="646"/>
      <c r="L13" s="646"/>
      <c r="M13" s="646"/>
      <c r="N13" s="646"/>
      <c r="O13" s="646"/>
      <c r="P13" s="646"/>
      <c r="Q13" s="646"/>
      <c r="R13" s="683" t="str">
        <f t="shared" si="2"/>
        <v/>
      </c>
    </row>
    <row r="14" spans="1:18">
      <c r="G14" s="190"/>
      <c r="H14" s="190"/>
      <c r="I14" s="190"/>
      <c r="J14" s="190"/>
      <c r="K14" s="190"/>
      <c r="L14" s="190"/>
      <c r="M14" s="190"/>
      <c r="N14" s="190"/>
      <c r="O14" s="190"/>
      <c r="P14" s="190"/>
      <c r="Q14" s="190"/>
      <c r="R14" s="682" t="str">
        <f t="shared" si="2"/>
        <v/>
      </c>
    </row>
    <row r="15" spans="1:18">
      <c r="B15" s="645"/>
      <c r="C15" s="645"/>
      <c r="D15" s="645"/>
      <c r="E15" s="645"/>
      <c r="F15" s="645"/>
      <c r="G15" s="646"/>
      <c r="H15" s="646"/>
      <c r="I15" s="646"/>
      <c r="J15" s="646"/>
      <c r="K15" s="646"/>
      <c r="L15" s="646"/>
      <c r="M15" s="646"/>
      <c r="N15" s="646"/>
      <c r="O15" s="646"/>
      <c r="P15" s="646"/>
      <c r="Q15" s="646"/>
      <c r="R15" s="683" t="str">
        <f t="shared" si="2"/>
        <v/>
      </c>
    </row>
    <row r="16" spans="1:18">
      <c r="G16" s="190"/>
      <c r="H16" s="190"/>
      <c r="I16" s="190"/>
      <c r="J16" s="190"/>
      <c r="K16" s="190"/>
      <c r="L16" s="190"/>
      <c r="M16" s="190"/>
      <c r="N16" s="190"/>
      <c r="O16" s="190"/>
      <c r="P16" s="190"/>
      <c r="Q16" s="190"/>
      <c r="R16" s="682" t="str">
        <f t="shared" si="2"/>
        <v/>
      </c>
    </row>
    <row r="17" spans="1:18">
      <c r="G17" s="190"/>
      <c r="H17" s="190"/>
      <c r="I17" s="190"/>
      <c r="J17" s="190"/>
      <c r="K17" s="190"/>
      <c r="L17" s="190"/>
      <c r="M17" s="190"/>
      <c r="N17" s="190"/>
      <c r="O17" s="190"/>
      <c r="P17" s="190"/>
      <c r="Q17" s="190"/>
    </row>
    <row r="18" spans="1:18" ht="15.6">
      <c r="A18" t="s">
        <v>417</v>
      </c>
      <c r="B18" s="210" t="s">
        <v>419</v>
      </c>
      <c r="C18" s="49"/>
      <c r="D18" s="49"/>
      <c r="E18" s="49"/>
      <c r="F18" s="49"/>
      <c r="G18" s="211">
        <v>2014</v>
      </c>
      <c r="H18" s="211">
        <f t="shared" ref="H18:Q18" si="3">+G18+1</f>
        <v>2015</v>
      </c>
      <c r="I18" s="211">
        <f t="shared" si="3"/>
        <v>2016</v>
      </c>
      <c r="J18" s="211">
        <f t="shared" si="3"/>
        <v>2017</v>
      </c>
      <c r="K18" s="211">
        <f t="shared" si="3"/>
        <v>2018</v>
      </c>
      <c r="L18" s="211">
        <f t="shared" si="3"/>
        <v>2019</v>
      </c>
      <c r="M18" s="211">
        <f t="shared" si="3"/>
        <v>2020</v>
      </c>
      <c r="N18" s="211">
        <f t="shared" si="3"/>
        <v>2021</v>
      </c>
      <c r="O18" s="211">
        <f t="shared" si="3"/>
        <v>2022</v>
      </c>
      <c r="P18" s="211">
        <f t="shared" si="3"/>
        <v>2023</v>
      </c>
      <c r="Q18" s="211">
        <f t="shared" si="3"/>
        <v>2024</v>
      </c>
      <c r="R18" s="51" t="str">
        <f>"CAGR "&amp;$G$4&amp;" - "&amp;$Q$4</f>
        <v>CAGR 2014 - 2024</v>
      </c>
    </row>
    <row r="19" spans="1:18" s="90" customFormat="1" ht="3.75" customHeight="1">
      <c r="B19" s="642"/>
      <c r="C19" s="642"/>
      <c r="D19" s="642"/>
      <c r="E19" s="642"/>
      <c r="F19" s="642"/>
      <c r="G19" s="643"/>
      <c r="H19" s="643"/>
      <c r="I19" s="643"/>
      <c r="J19" s="643"/>
      <c r="K19" s="643"/>
      <c r="L19" s="643"/>
      <c r="M19" s="643"/>
      <c r="N19" s="643"/>
      <c r="O19" s="643"/>
      <c r="P19" s="643"/>
      <c r="Q19" s="643"/>
      <c r="R19" s="644"/>
    </row>
    <row r="20" spans="1:18">
      <c r="B20" t="str">
        <f ca="1">+$B$6</f>
        <v>INTERNATIONAL BUSINESS MACHINES CORPORATION</v>
      </c>
      <c r="G20" s="190">
        <v>1882.01</v>
      </c>
      <c r="H20" s="190">
        <v>1433.46</v>
      </c>
      <c r="I20" s="190">
        <v>1155.83</v>
      </c>
      <c r="J20" s="190">
        <v>1076.8800000000001</v>
      </c>
      <c r="K20" s="190">
        <v>505</v>
      </c>
      <c r="L20" s="190">
        <v>460</v>
      </c>
      <c r="M20" s="190">
        <v>262</v>
      </c>
      <c r="N20" s="190">
        <v>221</v>
      </c>
      <c r="O20" s="190">
        <v>183</v>
      </c>
      <c r="P20" s="190">
        <v>150</v>
      </c>
      <c r="Q20" s="190"/>
      <c r="R20" s="682">
        <f t="shared" ref="R20:R30" si="4">IFERROR((Q20/G20)^(1/COUNT($G$4:$Q$4))-1,"")</f>
        <v>-1</v>
      </c>
    </row>
    <row r="21" spans="1:18">
      <c r="B21" s="645" t="e" vm="3">
        <f>+$B$7</f>
        <v>#VALUE!</v>
      </c>
      <c r="C21" s="645"/>
      <c r="D21" s="645"/>
      <c r="E21" s="645"/>
      <c r="F21" s="645"/>
      <c r="G21" s="646"/>
      <c r="H21" s="646">
        <v>237.239</v>
      </c>
      <c r="I21" s="646">
        <v>263.05</v>
      </c>
      <c r="J21" s="646">
        <v>243.773</v>
      </c>
      <c r="K21" s="646">
        <v>218.85499999999999</v>
      </c>
      <c r="L21" s="646">
        <v>226.01300000000001</v>
      </c>
      <c r="M21" s="646">
        <v>162.983</v>
      </c>
      <c r="N21" s="646">
        <v>70.659000000000006</v>
      </c>
      <c r="O21" s="646">
        <v>8.3559999999999999</v>
      </c>
      <c r="P21" s="646">
        <v>4.7859999999999996</v>
      </c>
      <c r="Q21" s="646">
        <v>3.5840000000000001</v>
      </c>
      <c r="R21" s="683" t="str">
        <f t="shared" si="4"/>
        <v/>
      </c>
    </row>
    <row r="22" spans="1:18">
      <c r="B22" t="e" vm="5">
        <f>+$B$8</f>
        <v>#VALUE!</v>
      </c>
      <c r="G22" s="190"/>
      <c r="H22" s="190">
        <v>187.06700000000001</v>
      </c>
      <c r="I22" s="190">
        <v>158.28200000000001</v>
      </c>
      <c r="J22" s="190">
        <v>137.798</v>
      </c>
      <c r="K22" s="190">
        <v>127.914</v>
      </c>
      <c r="L22" s="190">
        <v>140.797</v>
      </c>
      <c r="M22" s="190">
        <v>69.804000000000002</v>
      </c>
      <c r="N22" s="190">
        <v>52.871000000000002</v>
      </c>
      <c r="O22" s="190">
        <v>10.457000000000001</v>
      </c>
      <c r="P22" s="190">
        <v>4.7649999999999997</v>
      </c>
      <c r="Q22" s="190">
        <v>3.2669999999999999</v>
      </c>
      <c r="R22" s="682" t="str">
        <f t="shared" si="4"/>
        <v/>
      </c>
    </row>
    <row r="23" spans="1:18">
      <c r="B23" s="645" t="e" vm="7">
        <f>+$B$9</f>
        <v>#VALUE!</v>
      </c>
      <c r="C23" s="645"/>
      <c r="D23" s="645"/>
      <c r="E23" s="645"/>
      <c r="F23" s="645"/>
      <c r="G23" s="647">
        <v>496.161</v>
      </c>
      <c r="H23" s="647">
        <v>153.773</v>
      </c>
      <c r="I23" s="647">
        <v>37.087000000000003</v>
      </c>
      <c r="J23" s="646">
        <v>139.066</v>
      </c>
      <c r="K23" s="646">
        <v>183.32900000000001</v>
      </c>
      <c r="L23" s="646">
        <v>275.42</v>
      </c>
      <c r="M23" s="646">
        <v>456.11900000000003</v>
      </c>
      <c r="N23" s="646">
        <v>429.40499999999997</v>
      </c>
      <c r="O23" s="646">
        <v>288.029</v>
      </c>
      <c r="P23" s="646">
        <v>393.13400000000001</v>
      </c>
      <c r="Q23" s="645"/>
      <c r="R23" s="683">
        <f t="shared" si="4"/>
        <v>-1</v>
      </c>
    </row>
    <row r="24" spans="1:18">
      <c r="B24" t="e" vm="8">
        <f>+$B$10</f>
        <v>#VALUE!</v>
      </c>
      <c r="G24" s="190"/>
      <c r="H24" s="190">
        <v>374.97899999999998</v>
      </c>
      <c r="I24" s="190">
        <v>444.56299999999999</v>
      </c>
      <c r="J24" s="190">
        <v>354.428</v>
      </c>
      <c r="K24" s="190">
        <v>403.16</v>
      </c>
      <c r="L24" s="190">
        <v>362.44799999999998</v>
      </c>
      <c r="M24" s="190">
        <v>349.02199999999999</v>
      </c>
      <c r="N24" s="190">
        <v>419.27699999999999</v>
      </c>
      <c r="O24" s="190">
        <v>450.7</v>
      </c>
      <c r="P24" s="190">
        <v>262.339</v>
      </c>
      <c r="Q24" s="190">
        <v>368</v>
      </c>
      <c r="R24" s="682" t="str">
        <f t="shared" si="4"/>
        <v/>
      </c>
    </row>
    <row r="25" spans="1:18">
      <c r="B25" s="645" t="e" vm="9">
        <f>+$B$11</f>
        <v>#VALUE!</v>
      </c>
      <c r="C25" s="645"/>
      <c r="D25" s="645"/>
      <c r="E25" s="645"/>
      <c r="F25" s="645"/>
      <c r="G25" s="646"/>
      <c r="H25" s="646"/>
      <c r="I25" s="646">
        <v>397.48</v>
      </c>
      <c r="J25" s="646">
        <v>297.40300000000002</v>
      </c>
      <c r="K25" s="646">
        <v>231.60599999999999</v>
      </c>
      <c r="L25" s="646">
        <v>194.07900000000001</v>
      </c>
      <c r="M25" s="646">
        <v>162.07499999999999</v>
      </c>
      <c r="N25" s="646">
        <v>139.40299999999999</v>
      </c>
      <c r="O25" s="646">
        <v>132.328</v>
      </c>
      <c r="P25" s="646">
        <v>122.101</v>
      </c>
      <c r="Q25" s="646"/>
      <c r="R25" s="683" t="str">
        <f t="shared" si="4"/>
        <v/>
      </c>
    </row>
    <row r="26" spans="1:18">
      <c r="G26" s="190"/>
      <c r="H26" s="190"/>
      <c r="I26" s="190"/>
      <c r="J26" s="190"/>
      <c r="K26" s="190"/>
      <c r="L26" s="190"/>
      <c r="M26" s="190"/>
      <c r="N26" s="190"/>
      <c r="O26" s="190"/>
      <c r="P26" s="190"/>
      <c r="Q26" s="190"/>
      <c r="R26" s="682" t="str">
        <f t="shared" si="4"/>
        <v/>
      </c>
    </row>
    <row r="27" spans="1:18">
      <c r="B27" s="645"/>
      <c r="C27" s="645"/>
      <c r="D27" s="645"/>
      <c r="E27" s="645"/>
      <c r="F27" s="645"/>
      <c r="G27" s="646"/>
      <c r="H27" s="646"/>
      <c r="I27" s="646"/>
      <c r="J27" s="646"/>
      <c r="K27" s="646"/>
      <c r="L27" s="646"/>
      <c r="M27" s="646"/>
      <c r="N27" s="646"/>
      <c r="O27" s="646"/>
      <c r="P27" s="646"/>
      <c r="Q27" s="646"/>
      <c r="R27" s="683" t="str">
        <f t="shared" si="4"/>
        <v/>
      </c>
    </row>
    <row r="28" spans="1:18">
      <c r="G28" s="190"/>
      <c r="H28" s="190"/>
      <c r="I28" s="190"/>
      <c r="J28" s="190"/>
      <c r="K28" s="190"/>
      <c r="L28" s="190"/>
      <c r="M28" s="190"/>
      <c r="N28" s="190"/>
      <c r="O28" s="190"/>
      <c r="P28" s="190"/>
      <c r="Q28" s="190"/>
      <c r="R28" s="682" t="str">
        <f t="shared" si="4"/>
        <v/>
      </c>
    </row>
    <row r="29" spans="1:18">
      <c r="B29" s="645"/>
      <c r="C29" s="645"/>
      <c r="D29" s="645"/>
      <c r="E29" s="645"/>
      <c r="F29" s="645"/>
      <c r="G29" s="646"/>
      <c r="H29" s="646"/>
      <c r="I29" s="646"/>
      <c r="J29" s="646"/>
      <c r="K29" s="646"/>
      <c r="L29" s="646"/>
      <c r="M29" s="646"/>
      <c r="N29" s="646"/>
      <c r="O29" s="646"/>
      <c r="P29" s="646"/>
      <c r="Q29" s="646"/>
      <c r="R29" s="683" t="str">
        <f t="shared" si="4"/>
        <v/>
      </c>
    </row>
    <row r="30" spans="1:18">
      <c r="G30" s="190"/>
      <c r="H30" s="190"/>
      <c r="I30" s="190"/>
      <c r="J30" s="190"/>
      <c r="K30" s="190"/>
      <c r="L30" s="190"/>
      <c r="M30" s="190"/>
      <c r="N30" s="190"/>
      <c r="O30" s="190"/>
      <c r="P30" s="190"/>
      <c r="Q30" s="190"/>
      <c r="R30" s="682" t="str">
        <f t="shared" si="4"/>
        <v/>
      </c>
    </row>
    <row r="31" spans="1:18">
      <c r="G31" s="190"/>
      <c r="H31" s="190"/>
      <c r="I31" s="190"/>
      <c r="J31" s="190"/>
      <c r="K31" s="190"/>
      <c r="L31" s="190"/>
      <c r="M31" s="190"/>
      <c r="N31" s="190"/>
      <c r="O31" s="190"/>
      <c r="P31" s="190"/>
      <c r="Q31" s="190"/>
    </row>
    <row r="32" spans="1:18" ht="15.6">
      <c r="A32" t="s">
        <v>417</v>
      </c>
      <c r="B32" s="210" t="s">
        <v>420</v>
      </c>
      <c r="C32" s="49"/>
      <c r="D32" s="49"/>
      <c r="E32" s="49"/>
      <c r="F32" s="49"/>
      <c r="G32" s="211">
        <v>2014</v>
      </c>
      <c r="H32" s="211">
        <f t="shared" ref="H32:Q32" si="5">+G32+1</f>
        <v>2015</v>
      </c>
      <c r="I32" s="211">
        <f t="shared" si="5"/>
        <v>2016</v>
      </c>
      <c r="J32" s="211">
        <f t="shared" si="5"/>
        <v>2017</v>
      </c>
      <c r="K32" s="211">
        <f t="shared" si="5"/>
        <v>2018</v>
      </c>
      <c r="L32" s="211">
        <f t="shared" si="5"/>
        <v>2019</v>
      </c>
      <c r="M32" s="211">
        <f t="shared" si="5"/>
        <v>2020</v>
      </c>
      <c r="N32" s="211">
        <f t="shared" si="5"/>
        <v>2021</v>
      </c>
      <c r="O32" s="211">
        <f t="shared" si="5"/>
        <v>2022</v>
      </c>
      <c r="P32" s="211">
        <f t="shared" si="5"/>
        <v>2023</v>
      </c>
      <c r="Q32" s="211">
        <f t="shared" si="5"/>
        <v>2024</v>
      </c>
      <c r="R32" s="51" t="str">
        <f>"CAGR "&amp;$G$4&amp;" - "&amp;$Q$4</f>
        <v>CAGR 2014 - 2024</v>
      </c>
    </row>
    <row r="33" spans="1:18" ht="3.75" customHeight="1">
      <c r="B33" s="46"/>
      <c r="C33" s="46"/>
      <c r="D33" s="46"/>
      <c r="E33" s="46"/>
      <c r="F33" s="46"/>
      <c r="G33" s="212"/>
      <c r="H33" s="212"/>
      <c r="I33" s="212"/>
      <c r="J33" s="212"/>
      <c r="K33" s="212"/>
      <c r="L33" s="212"/>
      <c r="M33" s="212"/>
      <c r="N33" s="212"/>
      <c r="O33" s="212"/>
      <c r="P33" s="212"/>
      <c r="Q33" s="212"/>
      <c r="R33" s="53"/>
    </row>
    <row r="34" spans="1:18">
      <c r="B34" t="str">
        <f ca="1">+$B$6</f>
        <v>INTERNATIONAL BUSINESS MACHINES CORPORATION</v>
      </c>
      <c r="G34" s="190"/>
      <c r="H34" s="190">
        <v>5375.73</v>
      </c>
      <c r="I34" s="190">
        <v>4912.71</v>
      </c>
      <c r="J34" s="190">
        <v>4845.6899999999996</v>
      </c>
      <c r="K34" s="190">
        <v>4666.51</v>
      </c>
      <c r="L34" s="190">
        <v>2837</v>
      </c>
      <c r="M34" s="190">
        <v>2529</v>
      </c>
      <c r="N34" s="190">
        <v>2486</v>
      </c>
      <c r="O34" s="190">
        <v>2248</v>
      </c>
      <c r="P34" s="190">
        <v>2287</v>
      </c>
      <c r="Q34" s="190"/>
      <c r="R34" s="682" t="str">
        <f t="shared" ref="R34:R44" si="6">IFERROR((Q34/G34)^(1/COUNT($G$4:$Q$4))-1,"")</f>
        <v/>
      </c>
    </row>
    <row r="35" spans="1:18">
      <c r="B35" s="645" t="e" vm="3">
        <f>+$B$7</f>
        <v>#VALUE!</v>
      </c>
      <c r="C35" s="645"/>
      <c r="D35" s="645"/>
      <c r="E35" s="645"/>
      <c r="F35" s="645"/>
      <c r="G35" s="646"/>
      <c r="H35" s="646">
        <v>469.31</v>
      </c>
      <c r="I35" s="646">
        <v>512.29</v>
      </c>
      <c r="J35" s="646">
        <v>499.05</v>
      </c>
      <c r="K35" s="646">
        <v>489.08</v>
      </c>
      <c r="L35" s="646">
        <v>492.82</v>
      </c>
      <c r="M35" s="646">
        <v>405.93</v>
      </c>
      <c r="N35" s="646">
        <v>299.42</v>
      </c>
      <c r="O35" s="646">
        <v>330.39</v>
      </c>
      <c r="P35" s="646">
        <v>360.97</v>
      </c>
      <c r="Q35" s="646">
        <v>345.86</v>
      </c>
      <c r="R35" s="683" t="str">
        <f t="shared" si="6"/>
        <v/>
      </c>
    </row>
    <row r="36" spans="1:18">
      <c r="B36" t="e" vm="5">
        <f>+$B$8</f>
        <v>#VALUE!</v>
      </c>
      <c r="G36" s="190"/>
      <c r="H36" s="190">
        <v>481.97</v>
      </c>
      <c r="I36" s="190">
        <v>418.43</v>
      </c>
      <c r="J36" s="190">
        <v>412.31</v>
      </c>
      <c r="K36" s="190">
        <v>380.15</v>
      </c>
      <c r="L36" s="190">
        <v>337.12</v>
      </c>
      <c r="M36" s="190">
        <v>229.94</v>
      </c>
      <c r="N36" s="190">
        <v>193.39</v>
      </c>
      <c r="O36" s="190">
        <v>205.92</v>
      </c>
      <c r="P36" s="190">
        <v>201.05</v>
      </c>
      <c r="Q36" s="190"/>
      <c r="R36" s="682" t="str">
        <f t="shared" si="6"/>
        <v/>
      </c>
    </row>
    <row r="37" spans="1:18">
      <c r="B37" s="645" t="e" vm="7">
        <f>+$B$9</f>
        <v>#VALUE!</v>
      </c>
      <c r="C37" s="645"/>
      <c r="D37" s="645"/>
      <c r="E37" s="645"/>
      <c r="F37" s="645"/>
      <c r="G37" s="647"/>
      <c r="H37" s="647">
        <v>4194.7</v>
      </c>
      <c r="I37" s="647">
        <v>5187.18</v>
      </c>
      <c r="J37" s="647">
        <v>6756.78</v>
      </c>
      <c r="K37" s="646">
        <v>7781.38</v>
      </c>
      <c r="L37" s="646">
        <v>9249.36</v>
      </c>
      <c r="M37" s="646">
        <v>11283.5</v>
      </c>
      <c r="N37" s="646">
        <v>14134</v>
      </c>
      <c r="O37" s="646">
        <v>18644.900000000001</v>
      </c>
      <c r="P37" s="646">
        <v>24007.9</v>
      </c>
      <c r="Q37" s="646"/>
      <c r="R37" s="683" t="str">
        <f t="shared" si="6"/>
        <v/>
      </c>
    </row>
    <row r="38" spans="1:18">
      <c r="B38" t="e" vm="8">
        <f>+$B$10</f>
        <v>#VALUE!</v>
      </c>
      <c r="G38" s="190"/>
      <c r="H38" s="190"/>
      <c r="I38" s="190">
        <v>1067.1099999999999</v>
      </c>
      <c r="J38" s="190">
        <v>1100.43</v>
      </c>
      <c r="K38" s="190">
        <v>1224.31</v>
      </c>
      <c r="L38" s="190">
        <v>1202.31</v>
      </c>
      <c r="M38" s="190">
        <v>1471.52</v>
      </c>
      <c r="N38" s="190">
        <v>1631.25</v>
      </c>
      <c r="O38" s="190">
        <v>1907.06</v>
      </c>
      <c r="P38" s="190">
        <v>2343.7600000000002</v>
      </c>
      <c r="Q38" s="190">
        <v>3623.17</v>
      </c>
      <c r="R38" s="682" t="str">
        <f t="shared" si="6"/>
        <v/>
      </c>
    </row>
    <row r="39" spans="1:18">
      <c r="B39" s="645" t="e" vm="9">
        <f>+$B$11</f>
        <v>#VALUE!</v>
      </c>
      <c r="C39" s="645"/>
      <c r="D39" s="645"/>
      <c r="E39" s="645"/>
      <c r="F39" s="645"/>
      <c r="G39" s="646"/>
      <c r="H39" s="646"/>
      <c r="I39" s="646"/>
      <c r="J39" s="646"/>
      <c r="K39" s="646"/>
      <c r="L39" s="646"/>
      <c r="M39" s="646"/>
      <c r="N39" s="646"/>
      <c r="O39" s="646"/>
      <c r="P39" s="646"/>
      <c r="Q39" s="646"/>
      <c r="R39" s="683" t="str">
        <f t="shared" si="6"/>
        <v/>
      </c>
    </row>
    <row r="40" spans="1:18">
      <c r="G40" s="190"/>
      <c r="H40" s="190"/>
      <c r="I40" s="190"/>
      <c r="J40" s="190"/>
      <c r="K40" s="190"/>
      <c r="L40" s="190"/>
      <c r="M40" s="190"/>
      <c r="N40" s="190"/>
      <c r="O40" s="190"/>
      <c r="P40" s="190"/>
      <c r="Q40" s="190"/>
      <c r="R40" s="682" t="str">
        <f t="shared" si="6"/>
        <v/>
      </c>
    </row>
    <row r="41" spans="1:18">
      <c r="B41" s="645"/>
      <c r="C41" s="645"/>
      <c r="D41" s="645"/>
      <c r="E41" s="645"/>
      <c r="F41" s="645"/>
      <c r="G41" s="646"/>
      <c r="H41" s="646"/>
      <c r="I41" s="646"/>
      <c r="J41" s="646"/>
      <c r="K41" s="646"/>
      <c r="L41" s="646"/>
      <c r="M41" s="646"/>
      <c r="N41" s="646"/>
      <c r="O41" s="646"/>
      <c r="P41" s="646"/>
      <c r="Q41" s="646"/>
      <c r="R41" s="683" t="str">
        <f t="shared" si="6"/>
        <v/>
      </c>
    </row>
    <row r="42" spans="1:18">
      <c r="G42" s="190"/>
      <c r="H42" s="190"/>
      <c r="I42" s="190"/>
      <c r="J42" s="190"/>
      <c r="K42" s="190"/>
      <c r="L42" s="190"/>
      <c r="M42" s="190"/>
      <c r="N42" s="190"/>
      <c r="O42" s="190"/>
      <c r="P42" s="190"/>
      <c r="Q42" s="190"/>
      <c r="R42" s="682" t="str">
        <f t="shared" si="6"/>
        <v/>
      </c>
    </row>
    <row r="43" spans="1:18">
      <c r="B43" s="645"/>
      <c r="C43" s="645"/>
      <c r="D43" s="645"/>
      <c r="E43" s="645"/>
      <c r="F43" s="645"/>
      <c r="G43" s="646"/>
      <c r="H43" s="646"/>
      <c r="I43" s="646"/>
      <c r="J43" s="646"/>
      <c r="K43" s="646"/>
      <c r="L43" s="646"/>
      <c r="M43" s="646"/>
      <c r="N43" s="646"/>
      <c r="O43" s="646"/>
      <c r="P43" s="646"/>
      <c r="Q43" s="646"/>
      <c r="R43" s="683" t="str">
        <f t="shared" si="6"/>
        <v/>
      </c>
    </row>
    <row r="44" spans="1:18">
      <c r="G44" s="190"/>
      <c r="H44" s="190"/>
      <c r="I44" s="190"/>
      <c r="J44" s="190"/>
      <c r="K44" s="190"/>
      <c r="L44" s="190"/>
      <c r="M44" s="190"/>
      <c r="N44" s="190"/>
      <c r="O44" s="190"/>
      <c r="P44" s="190"/>
      <c r="Q44" s="190"/>
      <c r="R44" s="682" t="str">
        <f t="shared" si="6"/>
        <v/>
      </c>
    </row>
    <row r="45" spans="1:18">
      <c r="G45" s="190"/>
      <c r="H45" s="190"/>
      <c r="I45" s="190"/>
      <c r="J45" s="190"/>
      <c r="K45" s="190"/>
      <c r="L45" s="190"/>
      <c r="M45" s="190"/>
      <c r="N45" s="190"/>
      <c r="O45" s="190"/>
      <c r="P45" s="190"/>
      <c r="Q45" s="190"/>
    </row>
    <row r="46" spans="1:18" ht="15.6">
      <c r="A46" t="s">
        <v>417</v>
      </c>
      <c r="B46" s="210" t="s">
        <v>421</v>
      </c>
      <c r="C46" s="49"/>
      <c r="D46" s="49"/>
      <c r="E46" s="49"/>
      <c r="F46" s="49"/>
      <c r="G46" s="211">
        <v>2014</v>
      </c>
      <c r="H46" s="211">
        <f t="shared" ref="H46:Q46" si="7">+G46+1</f>
        <v>2015</v>
      </c>
      <c r="I46" s="211">
        <f t="shared" si="7"/>
        <v>2016</v>
      </c>
      <c r="J46" s="211">
        <f t="shared" si="7"/>
        <v>2017</v>
      </c>
      <c r="K46" s="211">
        <f t="shared" si="7"/>
        <v>2018</v>
      </c>
      <c r="L46" s="211">
        <f t="shared" si="7"/>
        <v>2019</v>
      </c>
      <c r="M46" s="211">
        <f t="shared" si="7"/>
        <v>2020</v>
      </c>
      <c r="N46" s="211">
        <f t="shared" si="7"/>
        <v>2021</v>
      </c>
      <c r="O46" s="211">
        <f t="shared" si="7"/>
        <v>2022</v>
      </c>
      <c r="P46" s="211">
        <f t="shared" si="7"/>
        <v>2023</v>
      </c>
      <c r="Q46" s="211">
        <f t="shared" si="7"/>
        <v>2024</v>
      </c>
      <c r="R46" s="51" t="str">
        <f>"CAGR "&amp;$G$4&amp;" - "&amp;$Q$4</f>
        <v>CAGR 2014 - 2024</v>
      </c>
    </row>
    <row r="47" spans="1:18" ht="3.75" customHeight="1">
      <c r="B47" s="46"/>
      <c r="C47" s="46"/>
      <c r="D47" s="46"/>
      <c r="E47" s="46"/>
      <c r="F47" s="46"/>
      <c r="G47" s="212"/>
      <c r="H47" s="212"/>
      <c r="I47" s="212"/>
      <c r="J47" s="212"/>
      <c r="K47" s="212"/>
      <c r="L47" s="212"/>
      <c r="M47" s="212"/>
      <c r="N47" s="212"/>
      <c r="O47" s="212"/>
      <c r="P47" s="212"/>
      <c r="Q47" s="212"/>
      <c r="R47" s="53"/>
    </row>
    <row r="48" spans="1:18">
      <c r="B48" t="str">
        <f ca="1">+$B$6</f>
        <v>INTERNATIONAL BUSINESS MACHINES CORPORATION</v>
      </c>
      <c r="G48" s="190"/>
      <c r="H48" s="190">
        <v>1607.38</v>
      </c>
      <c r="I48" s="190">
        <v>1612.78</v>
      </c>
      <c r="J48" s="190">
        <v>1528.13</v>
      </c>
      <c r="K48" s="190">
        <v>1521.92</v>
      </c>
      <c r="L48" s="190">
        <v>1492.5</v>
      </c>
      <c r="M48" s="190">
        <v>1305.8</v>
      </c>
      <c r="N48" s="190">
        <v>1253</v>
      </c>
      <c r="O48" s="190">
        <v>494</v>
      </c>
      <c r="P48" s="190">
        <v>756</v>
      </c>
      <c r="Q48" s="190"/>
      <c r="R48" s="682" t="str">
        <f t="shared" ref="R48:R58" si="8">IFERROR((Q48/G48)^(1/COUNT($G$4:$Q$4))-1,"")</f>
        <v/>
      </c>
    </row>
    <row r="49" spans="1:28">
      <c r="B49" s="645" t="e" vm="3">
        <f>+$B$7</f>
        <v>#VALUE!</v>
      </c>
      <c r="C49" s="645"/>
      <c r="D49" s="645"/>
      <c r="E49" s="645"/>
      <c r="F49" s="645"/>
      <c r="G49" s="646"/>
      <c r="H49" s="646">
        <v>1934</v>
      </c>
      <c r="I49" s="646">
        <v>2191</v>
      </c>
      <c r="J49" s="646">
        <v>2179</v>
      </c>
      <c r="K49" s="646">
        <v>2518</v>
      </c>
      <c r="L49" s="646">
        <v>2639.44</v>
      </c>
      <c r="M49" s="646">
        <v>1997.04</v>
      </c>
      <c r="N49" s="646">
        <v>1019.07</v>
      </c>
      <c r="O49" s="646">
        <v>1100.71</v>
      </c>
      <c r="P49" s="646">
        <v>1442.86</v>
      </c>
      <c r="Q49" s="854">
        <v>1495.73</v>
      </c>
      <c r="R49" s="683" t="str">
        <f t="shared" si="8"/>
        <v/>
      </c>
    </row>
    <row r="50" spans="1:28">
      <c r="B50" t="e" vm="5">
        <f>+$B$8</f>
        <v>#VALUE!</v>
      </c>
      <c r="G50" s="190"/>
      <c r="H50" s="190">
        <v>1899.6</v>
      </c>
      <c r="I50" s="190">
        <v>1236.69</v>
      </c>
      <c r="J50" s="190">
        <v>1281.1400000000001</v>
      </c>
      <c r="K50" s="190">
        <v>1407.23</v>
      </c>
      <c r="L50" s="190">
        <v>1873.05</v>
      </c>
      <c r="M50" s="190">
        <v>882.62</v>
      </c>
      <c r="N50" s="190">
        <v>622.17999999999995</v>
      </c>
      <c r="O50" s="190">
        <v>773.63</v>
      </c>
      <c r="P50" s="190">
        <v>834.39</v>
      </c>
      <c r="Q50" s="190"/>
      <c r="R50" s="682" t="str">
        <f t="shared" si="8"/>
        <v/>
      </c>
    </row>
    <row r="51" spans="1:28">
      <c r="B51" s="645" t="e" vm="7">
        <f>+$B$9</f>
        <v>#VALUE!</v>
      </c>
      <c r="C51" s="645"/>
      <c r="D51" s="645"/>
      <c r="E51" s="645"/>
      <c r="F51" s="645"/>
      <c r="G51" s="646"/>
      <c r="H51" s="646">
        <v>4633.49</v>
      </c>
      <c r="I51" s="646">
        <v>4687.75</v>
      </c>
      <c r="J51" s="646">
        <v>5148.45</v>
      </c>
      <c r="K51" s="646">
        <v>6718.98</v>
      </c>
      <c r="L51" s="646">
        <v>7505.08</v>
      </c>
      <c r="M51" s="646">
        <v>7936</v>
      </c>
      <c r="N51" s="646">
        <v>8068</v>
      </c>
      <c r="O51" s="646">
        <v>10706</v>
      </c>
      <c r="P51" s="646">
        <v>12951</v>
      </c>
      <c r="Q51" s="646"/>
      <c r="R51" s="683" t="str">
        <f t="shared" si="8"/>
        <v/>
      </c>
    </row>
    <row r="52" spans="1:28">
      <c r="B52" t="e" vm="8">
        <f>+$B$10</f>
        <v>#VALUE!</v>
      </c>
      <c r="G52" s="190"/>
      <c r="H52" s="190"/>
      <c r="I52" s="190">
        <v>959.59</v>
      </c>
      <c r="J52" s="190">
        <v>929.67</v>
      </c>
      <c r="K52" s="190">
        <v>893.18</v>
      </c>
      <c r="L52" s="190">
        <v>852.12</v>
      </c>
      <c r="M52" s="190">
        <v>832.69</v>
      </c>
      <c r="N52" s="190">
        <v>741.73</v>
      </c>
      <c r="O52" s="190">
        <v>583.44000000000005</v>
      </c>
      <c r="P52" s="190">
        <v>708.36</v>
      </c>
      <c r="Q52" s="190">
        <v>866.07</v>
      </c>
      <c r="R52" s="682" t="str">
        <f t="shared" si="8"/>
        <v/>
      </c>
    </row>
    <row r="53" spans="1:28">
      <c r="B53" s="645" t="e" vm="9">
        <f>+$B$11</f>
        <v>#VALUE!</v>
      </c>
      <c r="C53" s="645"/>
      <c r="D53" s="645"/>
      <c r="E53" s="645"/>
      <c r="F53" s="645"/>
      <c r="G53" s="646"/>
      <c r="H53" s="646"/>
      <c r="I53" s="646"/>
      <c r="J53" s="646"/>
      <c r="K53" s="646"/>
      <c r="L53" s="647"/>
      <c r="M53" s="647"/>
      <c r="N53" s="647"/>
      <c r="O53" s="647"/>
      <c r="P53" s="646"/>
      <c r="Q53" s="646"/>
      <c r="R53" s="683" t="str">
        <f t="shared" si="8"/>
        <v/>
      </c>
    </row>
    <row r="54" spans="1:28">
      <c r="G54" s="190"/>
      <c r="H54" s="190"/>
      <c r="I54" s="190"/>
      <c r="J54" s="190"/>
      <c r="K54" s="190"/>
      <c r="L54" s="190"/>
      <c r="M54" s="190"/>
      <c r="N54" s="190"/>
      <c r="O54" s="190"/>
      <c r="P54" s="190"/>
      <c r="Q54" s="190"/>
      <c r="R54" s="682" t="str">
        <f t="shared" si="8"/>
        <v/>
      </c>
    </row>
    <row r="55" spans="1:28">
      <c r="B55" s="645"/>
      <c r="C55" s="645"/>
      <c r="D55" s="645"/>
      <c r="E55" s="645"/>
      <c r="F55" s="645"/>
      <c r="G55" s="646"/>
      <c r="H55" s="646"/>
      <c r="I55" s="646"/>
      <c r="J55" s="646"/>
      <c r="K55" s="646"/>
      <c r="L55" s="646"/>
      <c r="M55" s="646"/>
      <c r="N55" s="646"/>
      <c r="O55" s="646"/>
      <c r="P55" s="646"/>
      <c r="Q55" s="646"/>
      <c r="R55" s="683" t="str">
        <f t="shared" si="8"/>
        <v/>
      </c>
    </row>
    <row r="56" spans="1:28">
      <c r="G56" s="190"/>
      <c r="H56" s="190"/>
      <c r="I56" s="190"/>
      <c r="J56" s="190"/>
      <c r="K56" s="190"/>
      <c r="L56" s="190"/>
      <c r="M56" s="190"/>
      <c r="N56" s="190"/>
      <c r="O56" s="190"/>
      <c r="P56" s="190"/>
      <c r="Q56" s="190"/>
      <c r="R56" s="682" t="str">
        <f t="shared" si="8"/>
        <v/>
      </c>
    </row>
    <row r="57" spans="1:28">
      <c r="B57" s="645"/>
      <c r="C57" s="645"/>
      <c r="D57" s="645"/>
      <c r="E57" s="645"/>
      <c r="F57" s="645"/>
      <c r="G57" s="646"/>
      <c r="H57" s="646"/>
      <c r="I57" s="646"/>
      <c r="J57" s="646"/>
      <c r="K57" s="646"/>
      <c r="L57" s="646"/>
      <c r="M57" s="646"/>
      <c r="N57" s="646"/>
      <c r="O57" s="646"/>
      <c r="P57" s="646"/>
      <c r="Q57" s="646"/>
      <c r="R57" s="683" t="str">
        <f t="shared" si="8"/>
        <v/>
      </c>
    </row>
    <row r="58" spans="1:28">
      <c r="G58" s="190"/>
      <c r="H58" s="190"/>
      <c r="I58" s="190"/>
      <c r="J58" s="190"/>
      <c r="K58" s="190"/>
      <c r="L58" s="190"/>
      <c r="M58" s="190"/>
      <c r="N58" s="190"/>
      <c r="O58" s="190"/>
      <c r="P58" s="190"/>
      <c r="Q58" s="190"/>
      <c r="R58" s="682" t="str">
        <f t="shared" si="8"/>
        <v/>
      </c>
    </row>
    <row r="60" spans="1:28" ht="15.6">
      <c r="A60" t="s">
        <v>417</v>
      </c>
      <c r="B60" s="210" t="s">
        <v>422</v>
      </c>
      <c r="C60" s="49"/>
      <c r="D60" s="49"/>
      <c r="E60" s="49"/>
      <c r="F60" s="49"/>
      <c r="G60" s="211">
        <v>2014</v>
      </c>
      <c r="H60" s="211">
        <f t="shared" ref="H60:Q60" si="9">+G60+1</f>
        <v>2015</v>
      </c>
      <c r="I60" s="211">
        <f t="shared" si="9"/>
        <v>2016</v>
      </c>
      <c r="J60" s="211">
        <f t="shared" si="9"/>
        <v>2017</v>
      </c>
      <c r="K60" s="211">
        <f t="shared" si="9"/>
        <v>2018</v>
      </c>
      <c r="L60" s="211">
        <f t="shared" si="9"/>
        <v>2019</v>
      </c>
      <c r="M60" s="211">
        <f t="shared" si="9"/>
        <v>2020</v>
      </c>
      <c r="N60" s="211">
        <f t="shared" si="9"/>
        <v>2021</v>
      </c>
      <c r="O60" s="211">
        <f t="shared" si="9"/>
        <v>2022</v>
      </c>
      <c r="P60" s="211">
        <f t="shared" si="9"/>
        <v>2023</v>
      </c>
      <c r="Q60" s="211">
        <f t="shared" si="9"/>
        <v>2024</v>
      </c>
      <c r="R60" s="51" t="str">
        <f>"CAGR "&amp;$G$4&amp;" - "&amp;$Q$4</f>
        <v>CAGR 2014 - 2024</v>
      </c>
    </row>
    <row r="61" spans="1:28" ht="3.75" customHeight="1">
      <c r="B61" s="46"/>
      <c r="C61" s="46"/>
      <c r="D61" s="46"/>
      <c r="E61" s="46"/>
      <c r="F61" s="46"/>
      <c r="G61" s="212"/>
      <c r="H61" s="212"/>
      <c r="I61" s="212"/>
      <c r="J61" s="212"/>
      <c r="K61" s="212"/>
      <c r="L61" s="212"/>
      <c r="M61" s="212"/>
      <c r="N61" s="212"/>
      <c r="O61" s="212"/>
      <c r="P61" s="212"/>
      <c r="Q61" s="212"/>
      <c r="R61" s="53"/>
    </row>
    <row r="62" spans="1:28">
      <c r="B62" t="str">
        <f ca="1">+$B$6</f>
        <v>INTERNATIONAL BUSINESS MACHINES CORPORATION</v>
      </c>
      <c r="G62" s="190">
        <v>107</v>
      </c>
      <c r="H62" s="190">
        <v>53</v>
      </c>
      <c r="I62" s="190">
        <v>44.5</v>
      </c>
      <c r="J62" s="190">
        <v>36.9</v>
      </c>
      <c r="K62" s="190">
        <v>28.3</v>
      </c>
      <c r="L62" s="190">
        <v>31.5</v>
      </c>
      <c r="M62" s="190">
        <v>22.1</v>
      </c>
      <c r="N62" s="190">
        <v>20.7</v>
      </c>
      <c r="O62" s="190">
        <v>14.8</v>
      </c>
      <c r="P62" s="190">
        <v>16.5</v>
      </c>
      <c r="Q62" s="190"/>
      <c r="R62" s="682">
        <f t="shared" ref="R62:R72" si="10">IFERROR((Q62/G62)^(1/COUNT($G$4:$Q$4))-1,"")</f>
        <v>-1</v>
      </c>
    </row>
    <row r="63" spans="1:28">
      <c r="B63" s="645" t="e" vm="3">
        <f>+$B$7</f>
        <v>#VALUE!</v>
      </c>
      <c r="C63" s="645"/>
      <c r="D63" s="645"/>
      <c r="E63" s="645"/>
      <c r="F63" s="645"/>
      <c r="G63" s="646">
        <v>0.26600000000000001</v>
      </c>
      <c r="H63" s="646">
        <v>0.18</v>
      </c>
      <c r="I63" s="646">
        <v>0.36</v>
      </c>
      <c r="J63" s="646">
        <v>0.30199999999999999</v>
      </c>
      <c r="K63" s="646">
        <v>0.58299999999999996</v>
      </c>
      <c r="L63" s="646">
        <v>0.42299999999999999</v>
      </c>
      <c r="M63" s="646">
        <v>0.27800000000000002</v>
      </c>
      <c r="N63" s="646">
        <v>0.32</v>
      </c>
      <c r="O63" s="646">
        <v>0.51200000000000001</v>
      </c>
      <c r="P63" s="646">
        <v>0.42899999999999999</v>
      </c>
      <c r="Q63" s="646"/>
      <c r="R63" s="683">
        <f t="shared" si="10"/>
        <v>-1</v>
      </c>
    </row>
    <row r="64" spans="1:28">
      <c r="B64" t="e" vm="5">
        <f>+$B$8</f>
        <v>#VALUE!</v>
      </c>
      <c r="G64" s="746"/>
      <c r="H64" s="190">
        <v>6.2249999999999996</v>
      </c>
      <c r="I64" s="190">
        <v>4.601</v>
      </c>
      <c r="J64" s="190">
        <v>4.68</v>
      </c>
      <c r="K64" s="190">
        <v>4.3330000000000002</v>
      </c>
      <c r="L64" s="190">
        <v>6.0650000000000004</v>
      </c>
      <c r="M64" s="190">
        <v>3.1349999999999998</v>
      </c>
      <c r="N64" s="190">
        <v>2.6139999999999999</v>
      </c>
      <c r="O64" s="190">
        <v>2.1800000000000002</v>
      </c>
      <c r="P64" s="190">
        <v>2.4969999999999999</v>
      </c>
      <c r="Q64" s="190"/>
      <c r="R64" s="682" t="str">
        <f t="shared" si="10"/>
        <v/>
      </c>
      <c r="AB64" s="54" t="s">
        <v>423</v>
      </c>
    </row>
    <row r="65" spans="1:18">
      <c r="B65" s="645" t="e" vm="7">
        <f>+$B$9</f>
        <v>#VALUE!</v>
      </c>
      <c r="C65" s="645"/>
      <c r="D65" s="645"/>
      <c r="E65" s="645"/>
      <c r="F65" s="645"/>
      <c r="G65" s="646"/>
      <c r="H65" s="646">
        <f>2.434+21.71+0.952+5.314</f>
        <v>30.410000000000004</v>
      </c>
      <c r="I65" s="646">
        <f>2.243+22.378+0.931+5.691</f>
        <v>31.242999999999999</v>
      </c>
      <c r="J65" s="646">
        <f>2.047+17.398+0.69+5.924</f>
        <v>26.059000000000001</v>
      </c>
      <c r="K65" s="646">
        <v>48.125999999999998</v>
      </c>
      <c r="L65" s="646">
        <f>46.178</f>
        <v>46.177999999999997</v>
      </c>
      <c r="M65" s="646">
        <v>40.570999999999998</v>
      </c>
      <c r="N65" s="646">
        <v>22.518000000000001</v>
      </c>
      <c r="O65" s="646">
        <v>29.596</v>
      </c>
      <c r="P65" s="646">
        <v>36.392000000000003</v>
      </c>
      <c r="Q65" s="645"/>
      <c r="R65" s="683" t="str">
        <f t="shared" si="10"/>
        <v/>
      </c>
    </row>
    <row r="66" spans="1:18">
      <c r="B66" t="e" vm="8">
        <f>+$B$10</f>
        <v>#VALUE!</v>
      </c>
      <c r="G66" s="190">
        <v>264</v>
      </c>
      <c r="H66" s="190">
        <v>296</v>
      </c>
      <c r="I66" s="190">
        <v>281</v>
      </c>
      <c r="J66" s="190">
        <v>212</v>
      </c>
      <c r="K66" s="190">
        <v>154</v>
      </c>
      <c r="L66" s="190">
        <v>113</v>
      </c>
      <c r="M66" s="190"/>
      <c r="N66" s="190">
        <v>36.049999999999997</v>
      </c>
      <c r="O66" s="190">
        <v>137.37</v>
      </c>
      <c r="P66" s="190">
        <v>94.71</v>
      </c>
      <c r="Q66" s="190"/>
      <c r="R66" s="682">
        <f t="shared" si="10"/>
        <v>-1</v>
      </c>
    </row>
    <row r="67" spans="1:18">
      <c r="B67" s="645" t="e" vm="9">
        <f>+$B$11</f>
        <v>#VALUE!</v>
      </c>
      <c r="C67" s="645"/>
      <c r="D67" s="645"/>
      <c r="E67" s="645"/>
      <c r="F67" s="645"/>
      <c r="G67" s="646"/>
      <c r="H67" s="646"/>
      <c r="I67" s="646">
        <v>43.241</v>
      </c>
      <c r="J67" s="646">
        <v>13.308999999999999</v>
      </c>
      <c r="K67" s="646">
        <v>13.321</v>
      </c>
      <c r="L67" s="646">
        <v>8.2569999999999997</v>
      </c>
      <c r="M67" s="646">
        <v>6.5490000000000004</v>
      </c>
      <c r="N67" s="646">
        <v>5.4859999999999998</v>
      </c>
      <c r="O67" s="646">
        <v>5.1420000000000003</v>
      </c>
      <c r="P67" s="646">
        <v>5.1360000000000001</v>
      </c>
      <c r="Q67" s="646"/>
      <c r="R67" s="683" t="str">
        <f t="shared" si="10"/>
        <v/>
      </c>
    </row>
    <row r="68" spans="1:18">
      <c r="G68" s="190"/>
      <c r="H68" s="190"/>
      <c r="I68" s="190"/>
      <c r="J68" s="190"/>
      <c r="K68" s="190"/>
      <c r="L68" s="190"/>
      <c r="M68" s="190"/>
      <c r="N68" s="190"/>
      <c r="O68" s="190"/>
      <c r="P68" s="190"/>
      <c r="Q68" s="190"/>
      <c r="R68" s="682" t="str">
        <f t="shared" si="10"/>
        <v/>
      </c>
    </row>
    <row r="69" spans="1:18">
      <c r="B69" s="645"/>
      <c r="C69" s="645"/>
      <c r="D69" s="645"/>
      <c r="E69" s="645"/>
      <c r="F69" s="645"/>
      <c r="G69" s="646"/>
      <c r="H69" s="646"/>
      <c r="I69" s="646"/>
      <c r="J69" s="646"/>
      <c r="K69" s="646"/>
      <c r="L69" s="646"/>
      <c r="M69" s="646"/>
      <c r="N69" s="646"/>
      <c r="O69" s="646"/>
      <c r="P69" s="646"/>
      <c r="Q69" s="646"/>
      <c r="R69" s="683" t="str">
        <f t="shared" si="10"/>
        <v/>
      </c>
    </row>
    <row r="70" spans="1:18">
      <c r="G70" s="190"/>
      <c r="H70" s="190"/>
      <c r="I70" s="190"/>
      <c r="J70" s="190"/>
      <c r="K70" s="190"/>
      <c r="L70" s="190"/>
      <c r="M70" s="190"/>
      <c r="N70" s="190"/>
      <c r="O70" s="190"/>
      <c r="P70" s="190"/>
      <c r="Q70" s="190"/>
      <c r="R70" s="682" t="str">
        <f t="shared" si="10"/>
        <v/>
      </c>
    </row>
    <row r="71" spans="1:18">
      <c r="B71" s="645"/>
      <c r="C71" s="645"/>
      <c r="D71" s="645"/>
      <c r="E71" s="645"/>
      <c r="F71" s="645"/>
      <c r="G71" s="646"/>
      <c r="H71" s="646"/>
      <c r="I71" s="646"/>
      <c r="J71" s="646"/>
      <c r="K71" s="646"/>
      <c r="L71" s="646"/>
      <c r="M71" s="646"/>
      <c r="N71" s="646"/>
      <c r="O71" s="646"/>
      <c r="P71" s="646"/>
      <c r="Q71" s="646"/>
      <c r="R71" s="683" t="str">
        <f t="shared" si="10"/>
        <v/>
      </c>
    </row>
    <row r="72" spans="1:18">
      <c r="G72" s="190"/>
      <c r="H72" s="190"/>
      <c r="I72" s="190"/>
      <c r="J72" s="190"/>
      <c r="K72" s="190"/>
      <c r="L72" s="190"/>
      <c r="M72" s="190"/>
      <c r="N72" s="190"/>
      <c r="O72" s="190"/>
      <c r="P72" s="190"/>
      <c r="Q72" s="190"/>
      <c r="R72" s="682" t="str">
        <f t="shared" si="10"/>
        <v/>
      </c>
    </row>
    <row r="73" spans="1:18">
      <c r="G73" s="190"/>
      <c r="H73" s="190"/>
      <c r="I73" s="190"/>
      <c r="J73" s="190"/>
      <c r="K73" s="190"/>
      <c r="L73" s="190"/>
      <c r="M73" s="190"/>
      <c r="N73" s="190"/>
      <c r="O73" s="190"/>
      <c r="P73" s="190"/>
      <c r="Q73" s="190"/>
    </row>
    <row r="74" spans="1:18" ht="15.6">
      <c r="A74" t="s">
        <v>417</v>
      </c>
      <c r="B74" s="210" t="s">
        <v>424</v>
      </c>
      <c r="C74" s="49"/>
      <c r="D74" s="49"/>
      <c r="E74" s="49"/>
      <c r="F74" s="49"/>
      <c r="G74" s="211">
        <v>2014</v>
      </c>
      <c r="H74" s="211">
        <f t="shared" ref="H74" si="11">+G74+1</f>
        <v>2015</v>
      </c>
      <c r="I74" s="211">
        <f t="shared" ref="I74" si="12">+H74+1</f>
        <v>2016</v>
      </c>
      <c r="J74" s="211">
        <f t="shared" ref="J74" si="13">+I74+1</f>
        <v>2017</v>
      </c>
      <c r="K74" s="211">
        <f t="shared" ref="K74" si="14">+J74+1</f>
        <v>2018</v>
      </c>
      <c r="L74" s="211">
        <f t="shared" ref="L74" si="15">+K74+1</f>
        <v>2019</v>
      </c>
      <c r="M74" s="211">
        <f t="shared" ref="M74" si="16">+L74+1</f>
        <v>2020</v>
      </c>
      <c r="N74" s="211">
        <f t="shared" ref="N74" si="17">+M74+1</f>
        <v>2021</v>
      </c>
      <c r="O74" s="211">
        <f t="shared" ref="O74" si="18">+N74+1</f>
        <v>2022</v>
      </c>
      <c r="P74" s="211">
        <f t="shared" ref="P74" si="19">+O74+1</f>
        <v>2023</v>
      </c>
      <c r="Q74" s="211">
        <f t="shared" ref="Q74" si="20">+P74+1</f>
        <v>2024</v>
      </c>
      <c r="R74" s="51" t="str">
        <f>"CAGR "&amp;$G$4&amp;" - "&amp;$Q$4</f>
        <v>CAGR 2014 - 2024</v>
      </c>
    </row>
    <row r="75" spans="1:18" ht="3.95" customHeight="1">
      <c r="B75" s="46"/>
      <c r="C75" s="46"/>
      <c r="D75" s="46"/>
      <c r="E75" s="46"/>
      <c r="F75" s="46"/>
      <c r="G75" s="212"/>
      <c r="H75" s="212"/>
      <c r="I75" s="212"/>
      <c r="J75" s="212"/>
      <c r="K75" s="212"/>
      <c r="L75" s="212"/>
      <c r="M75" s="212"/>
      <c r="N75" s="212"/>
      <c r="O75" s="212"/>
      <c r="P75" s="212"/>
      <c r="Q75" s="212"/>
      <c r="R75" s="53"/>
    </row>
    <row r="76" spans="1:18">
      <c r="B76" t="str">
        <f ca="1">+$B$6</f>
        <v>INTERNATIONAL BUSINESS MACHINES CORPORATION</v>
      </c>
      <c r="G76" s="10">
        <f>+G6+G20</f>
        <v>2438.663</v>
      </c>
      <c r="H76" s="10">
        <f t="shared" ref="H76:Q76" si="21">+H6+H20</f>
        <v>1787.5060000000001</v>
      </c>
      <c r="I76" s="10">
        <f t="shared" si="21"/>
        <v>1289.4929999999999</v>
      </c>
      <c r="J76" s="10">
        <f t="shared" si="21"/>
        <v>1201.7810000000002</v>
      </c>
      <c r="K76" s="10">
        <f t="shared" si="21"/>
        <v>610</v>
      </c>
      <c r="L76" s="10">
        <f t="shared" si="21"/>
        <v>558</v>
      </c>
      <c r="M76" s="10">
        <f t="shared" si="21"/>
        <v>335</v>
      </c>
      <c r="N76" s="10">
        <f t="shared" si="21"/>
        <v>299</v>
      </c>
      <c r="O76" s="10">
        <f t="shared" si="21"/>
        <v>261</v>
      </c>
      <c r="P76" s="10">
        <f t="shared" si="21"/>
        <v>221</v>
      </c>
      <c r="Q76" s="10">
        <f t="shared" si="21"/>
        <v>0</v>
      </c>
      <c r="R76" s="682">
        <f t="shared" ref="R76:R86" si="22">IFERROR((Q76/G76)^(1/COUNT($G$4:$Q$4))-1,"")</f>
        <v>-1</v>
      </c>
    </row>
    <row r="77" spans="1:18">
      <c r="B77" s="645" t="e" vm="3">
        <f>+$B$7</f>
        <v>#VALUE!</v>
      </c>
      <c r="C77" s="645"/>
      <c r="D77" s="645"/>
      <c r="E77" s="645"/>
      <c r="F77" s="645"/>
      <c r="G77" s="680">
        <f t="shared" ref="G77:Q77" si="23">+G7+G21</f>
        <v>0</v>
      </c>
      <c r="H77" s="680">
        <f t="shared" si="23"/>
        <v>263.529</v>
      </c>
      <c r="I77" s="680">
        <f t="shared" si="23"/>
        <v>290.25299999999999</v>
      </c>
      <c r="J77" s="680">
        <f>+J7+J21</f>
        <v>267.86799999999999</v>
      </c>
      <c r="K77" s="680">
        <f t="shared" si="23"/>
        <v>241.03799999999998</v>
      </c>
      <c r="L77" s="680">
        <f t="shared" si="23"/>
        <v>246.005</v>
      </c>
      <c r="M77" s="680">
        <f t="shared" si="23"/>
        <v>176.928</v>
      </c>
      <c r="N77" s="680">
        <f t="shared" si="23"/>
        <v>79.909000000000006</v>
      </c>
      <c r="O77" s="680">
        <f t="shared" si="23"/>
        <v>26.159999999999997</v>
      </c>
      <c r="P77" s="680">
        <f t="shared" si="23"/>
        <v>26.823999999999998</v>
      </c>
      <c r="Q77" s="680">
        <f t="shared" si="23"/>
        <v>25.978999999999999</v>
      </c>
      <c r="R77" s="683" t="str">
        <f t="shared" si="22"/>
        <v/>
      </c>
    </row>
    <row r="78" spans="1:18">
      <c r="B78" t="e" vm="5">
        <f>+$B$8</f>
        <v>#VALUE!</v>
      </c>
      <c r="G78" s="744">
        <f t="shared" ref="G78:Q78" si="24">+G8+G22</f>
        <v>0</v>
      </c>
      <c r="H78" s="10">
        <f t="shared" si="24"/>
        <v>196.68800000000002</v>
      </c>
      <c r="I78" s="10">
        <f t="shared" si="24"/>
        <v>164.50700000000001</v>
      </c>
      <c r="J78" s="10">
        <f>+J8+J22</f>
        <v>144.59700000000001</v>
      </c>
      <c r="K78" s="10">
        <f t="shared" si="24"/>
        <v>135.95500000000001</v>
      </c>
      <c r="L78" s="10">
        <f t="shared" si="24"/>
        <v>153.87700000000001</v>
      </c>
      <c r="M78" s="10">
        <f t="shared" si="24"/>
        <v>78.332999999999998</v>
      </c>
      <c r="N78" s="10">
        <f t="shared" si="24"/>
        <v>63.843000000000004</v>
      </c>
      <c r="O78" s="10">
        <f t="shared" si="24"/>
        <v>18.916</v>
      </c>
      <c r="P78" s="10">
        <f t="shared" si="24"/>
        <v>13.594999999999999</v>
      </c>
      <c r="Q78" s="10">
        <f t="shared" si="24"/>
        <v>11.16</v>
      </c>
      <c r="R78" s="682" t="str">
        <f t="shared" si="22"/>
        <v/>
      </c>
    </row>
    <row r="79" spans="1:18">
      <c r="B79" s="645" t="e" vm="7">
        <f>+$B$9</f>
        <v>#VALUE!</v>
      </c>
      <c r="C79" s="645"/>
      <c r="D79" s="645"/>
      <c r="E79" s="645"/>
      <c r="F79" s="645"/>
      <c r="G79" s="680">
        <f t="shared" ref="G79:Q79" si="25">+G9+G23</f>
        <v>581.34900000000005</v>
      </c>
      <c r="H79" s="680">
        <f t="shared" si="25"/>
        <v>244.34100000000001</v>
      </c>
      <c r="I79" s="680">
        <f t="shared" si="25"/>
        <v>125.57300000000001</v>
      </c>
      <c r="J79" s="680">
        <f t="shared" si="25"/>
        <v>246.518</v>
      </c>
      <c r="K79" s="680">
        <f t="shared" si="25"/>
        <v>282.33699999999999</v>
      </c>
      <c r="L79" s="680">
        <f t="shared" si="25"/>
        <v>393.37600000000003</v>
      </c>
      <c r="M79" s="680">
        <f t="shared" si="25"/>
        <v>574.21900000000005</v>
      </c>
      <c r="N79" s="680">
        <f t="shared" si="25"/>
        <v>553.10899999999992</v>
      </c>
      <c r="O79" s="680">
        <f t="shared" si="25"/>
        <v>427.44200000000001</v>
      </c>
      <c r="P79" s="680">
        <f t="shared" si="25"/>
        <v>538.09400000000005</v>
      </c>
      <c r="Q79" s="680">
        <f t="shared" si="25"/>
        <v>0</v>
      </c>
      <c r="R79" s="683">
        <f t="shared" si="22"/>
        <v>-1</v>
      </c>
    </row>
    <row r="80" spans="1:18">
      <c r="B80" t="e" vm="8">
        <f>+$B$10</f>
        <v>#VALUE!</v>
      </c>
      <c r="G80" s="10">
        <f t="shared" ref="G80:Q80" si="26">+G10+G24</f>
        <v>0</v>
      </c>
      <c r="H80" s="10">
        <f t="shared" si="26"/>
        <v>386.71999999999997</v>
      </c>
      <c r="I80" s="10">
        <f t="shared" si="26"/>
        <v>459.51599999999996</v>
      </c>
      <c r="J80" s="10">
        <f t="shared" si="26"/>
        <v>365.721</v>
      </c>
      <c r="K80" s="10">
        <f t="shared" si="26"/>
        <v>417.923</v>
      </c>
      <c r="L80" s="10">
        <f t="shared" si="26"/>
        <v>379.53199999999998</v>
      </c>
      <c r="M80" s="10">
        <f t="shared" si="26"/>
        <v>365.54199999999997</v>
      </c>
      <c r="N80" s="10">
        <f t="shared" si="26"/>
        <v>429.577</v>
      </c>
      <c r="O80" s="10">
        <f t="shared" si="26"/>
        <v>460.18899999999996</v>
      </c>
      <c r="P80" s="10">
        <f t="shared" si="26"/>
        <v>272.57600000000002</v>
      </c>
      <c r="Q80" s="10">
        <f t="shared" si="26"/>
        <v>383.2</v>
      </c>
      <c r="R80" s="682" t="str">
        <f t="shared" si="22"/>
        <v/>
      </c>
    </row>
    <row r="81" spans="2:18">
      <c r="B81" s="645" t="e" vm="9">
        <f>+$B$11</f>
        <v>#VALUE!</v>
      </c>
      <c r="C81" s="645"/>
      <c r="D81" s="645"/>
      <c r="E81" s="645"/>
      <c r="F81" s="645"/>
      <c r="G81" s="680">
        <f t="shared" ref="G81:Q81" si="27">+G11+G25</f>
        <v>0</v>
      </c>
      <c r="H81" s="680">
        <f t="shared" si="27"/>
        <v>0</v>
      </c>
      <c r="I81" s="680">
        <f t="shared" si="27"/>
        <v>434.78000000000003</v>
      </c>
      <c r="J81" s="680">
        <f t="shared" si="27"/>
        <v>377.36700000000002</v>
      </c>
      <c r="K81" s="680">
        <f t="shared" si="27"/>
        <v>305.71199999999999</v>
      </c>
      <c r="L81" s="680">
        <f t="shared" si="27"/>
        <v>250.65600000000001</v>
      </c>
      <c r="M81" s="680">
        <f t="shared" si="27"/>
        <v>198.87099999999998</v>
      </c>
      <c r="N81" s="680">
        <f t="shared" si="27"/>
        <v>168.42</v>
      </c>
      <c r="O81" s="680">
        <f t="shared" si="27"/>
        <v>164.23599999999999</v>
      </c>
      <c r="P81" s="680">
        <f t="shared" si="27"/>
        <v>162.596</v>
      </c>
      <c r="Q81" s="680">
        <f t="shared" si="27"/>
        <v>0</v>
      </c>
      <c r="R81" s="683" t="str">
        <f t="shared" si="22"/>
        <v/>
      </c>
    </row>
    <row r="82" spans="2:18">
      <c r="G82" s="10">
        <f t="shared" ref="G82:Q82" si="28">+G12+G26</f>
        <v>0</v>
      </c>
      <c r="H82" s="10">
        <f t="shared" si="28"/>
        <v>0</v>
      </c>
      <c r="I82" s="10">
        <f t="shared" si="28"/>
        <v>0</v>
      </c>
      <c r="J82" s="10">
        <f t="shared" si="28"/>
        <v>0</v>
      </c>
      <c r="K82" s="10">
        <f t="shared" si="28"/>
        <v>0</v>
      </c>
      <c r="L82" s="10">
        <f t="shared" si="28"/>
        <v>0</v>
      </c>
      <c r="M82" s="10">
        <f t="shared" si="28"/>
        <v>0</v>
      </c>
      <c r="N82" s="10">
        <f t="shared" si="28"/>
        <v>0</v>
      </c>
      <c r="O82" s="10">
        <f t="shared" si="28"/>
        <v>0</v>
      </c>
      <c r="P82" s="10">
        <f t="shared" si="28"/>
        <v>0</v>
      </c>
      <c r="Q82" s="10">
        <f t="shared" si="28"/>
        <v>0</v>
      </c>
      <c r="R82" s="682" t="str">
        <f t="shared" si="22"/>
        <v/>
      </c>
    </row>
    <row r="83" spans="2:18">
      <c r="B83" s="645"/>
      <c r="C83" s="645"/>
      <c r="D83" s="645"/>
      <c r="E83" s="645"/>
      <c r="F83" s="645"/>
      <c r="G83" s="680">
        <f t="shared" ref="G83:Q83" si="29">+G13+G27</f>
        <v>0</v>
      </c>
      <c r="H83" s="680">
        <f t="shared" si="29"/>
        <v>0</v>
      </c>
      <c r="I83" s="680">
        <f t="shared" si="29"/>
        <v>0</v>
      </c>
      <c r="J83" s="680">
        <f t="shared" si="29"/>
        <v>0</v>
      </c>
      <c r="K83" s="680">
        <f t="shared" si="29"/>
        <v>0</v>
      </c>
      <c r="L83" s="680">
        <f t="shared" si="29"/>
        <v>0</v>
      </c>
      <c r="M83" s="680">
        <f t="shared" si="29"/>
        <v>0</v>
      </c>
      <c r="N83" s="680">
        <f t="shared" si="29"/>
        <v>0</v>
      </c>
      <c r="O83" s="680">
        <f t="shared" si="29"/>
        <v>0</v>
      </c>
      <c r="P83" s="680">
        <f t="shared" si="29"/>
        <v>0</v>
      </c>
      <c r="Q83" s="680">
        <f t="shared" si="29"/>
        <v>0</v>
      </c>
      <c r="R83" s="683" t="str">
        <f t="shared" si="22"/>
        <v/>
      </c>
    </row>
    <row r="84" spans="2:18">
      <c r="G84" s="10">
        <f t="shared" ref="G84:Q84" si="30">+G14+G28</f>
        <v>0</v>
      </c>
      <c r="H84" s="10">
        <f t="shared" si="30"/>
        <v>0</v>
      </c>
      <c r="I84" s="10">
        <f t="shared" si="30"/>
        <v>0</v>
      </c>
      <c r="J84" s="10">
        <f t="shared" si="30"/>
        <v>0</v>
      </c>
      <c r="K84" s="10">
        <f t="shared" si="30"/>
        <v>0</v>
      </c>
      <c r="L84" s="10">
        <f t="shared" si="30"/>
        <v>0</v>
      </c>
      <c r="M84" s="10">
        <f t="shared" si="30"/>
        <v>0</v>
      </c>
      <c r="N84" s="10">
        <f t="shared" si="30"/>
        <v>0</v>
      </c>
      <c r="O84" s="10">
        <f t="shared" si="30"/>
        <v>0</v>
      </c>
      <c r="P84" s="10">
        <f t="shared" si="30"/>
        <v>0</v>
      </c>
      <c r="Q84" s="10">
        <f t="shared" si="30"/>
        <v>0</v>
      </c>
      <c r="R84" s="682" t="str">
        <f t="shared" si="22"/>
        <v/>
      </c>
    </row>
    <row r="85" spans="2:18">
      <c r="B85" s="645"/>
      <c r="C85" s="645"/>
      <c r="D85" s="645"/>
      <c r="E85" s="645"/>
      <c r="F85" s="645"/>
      <c r="G85" s="680">
        <f t="shared" ref="G85:Q85" si="31">+G15+G29</f>
        <v>0</v>
      </c>
      <c r="H85" s="680">
        <f t="shared" si="31"/>
        <v>0</v>
      </c>
      <c r="I85" s="680">
        <f t="shared" si="31"/>
        <v>0</v>
      </c>
      <c r="J85" s="680">
        <f t="shared" si="31"/>
        <v>0</v>
      </c>
      <c r="K85" s="680">
        <f t="shared" si="31"/>
        <v>0</v>
      </c>
      <c r="L85" s="680">
        <f t="shared" si="31"/>
        <v>0</v>
      </c>
      <c r="M85" s="680">
        <f t="shared" si="31"/>
        <v>0</v>
      </c>
      <c r="N85" s="680">
        <f t="shared" si="31"/>
        <v>0</v>
      </c>
      <c r="O85" s="680">
        <f t="shared" si="31"/>
        <v>0</v>
      </c>
      <c r="P85" s="680">
        <f t="shared" si="31"/>
        <v>0</v>
      </c>
      <c r="Q85" s="680">
        <f t="shared" si="31"/>
        <v>0</v>
      </c>
      <c r="R85" s="683" t="str">
        <f t="shared" si="22"/>
        <v/>
      </c>
    </row>
    <row r="86" spans="2:18">
      <c r="G86" s="10">
        <f t="shared" ref="G86:Q86" si="32">+G16+G30</f>
        <v>0</v>
      </c>
      <c r="H86" s="10">
        <f t="shared" si="32"/>
        <v>0</v>
      </c>
      <c r="I86" s="10">
        <f t="shared" si="32"/>
        <v>0</v>
      </c>
      <c r="J86" s="10">
        <f t="shared" si="32"/>
        <v>0</v>
      </c>
      <c r="K86" s="10">
        <f t="shared" si="32"/>
        <v>0</v>
      </c>
      <c r="L86" s="10">
        <f t="shared" si="32"/>
        <v>0</v>
      </c>
      <c r="M86" s="10">
        <f t="shared" si="32"/>
        <v>0</v>
      </c>
      <c r="N86" s="10">
        <f t="shared" si="32"/>
        <v>0</v>
      </c>
      <c r="O86" s="10">
        <f t="shared" si="32"/>
        <v>0</v>
      </c>
      <c r="P86" s="10">
        <f t="shared" si="32"/>
        <v>0</v>
      </c>
      <c r="Q86" s="10">
        <f t="shared" si="32"/>
        <v>0</v>
      </c>
      <c r="R86" s="682" t="str">
        <f t="shared" si="22"/>
        <v/>
      </c>
    </row>
  </sheetData>
  <phoneticPr fontId="74" type="noConversion"/>
  <hyperlinks>
    <hyperlink ref="AB64" r:id="rId1" display="https://chatgpt.com/c/67f8d25d-4ed0-8003-91a1-a3404cffeec9" xr:uid="{DD744CC4-7B65-4178-8D83-3E39C23A22B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AW1776"/>
  <sheetViews>
    <sheetView showGridLines="0" zoomScale="70" zoomScaleNormal="70" workbookViewId="0">
      <selection activeCell="O20" sqref="O20"/>
    </sheetView>
  </sheetViews>
  <sheetFormatPr defaultColWidth="9" defaultRowHeight="15" customHeight="1"/>
  <cols>
    <col min="1" max="1" width="2.375" style="120" customWidth="1"/>
    <col min="2" max="2" width="45" style="120" customWidth="1"/>
    <col min="3" max="3" width="14" style="120" customWidth="1"/>
    <col min="4" max="4" width="3.5" style="120" customWidth="1"/>
    <col min="5" max="7" width="13.375" style="120" customWidth="1"/>
    <col min="8" max="17" width="12.875" style="120" customWidth="1"/>
    <col min="18" max="18" width="11.75" style="120" customWidth="1"/>
    <col min="19" max="19" width="29.25" style="120" customWidth="1"/>
    <col min="20" max="20" width="13" style="120" customWidth="1"/>
    <col min="21" max="21" width="2.375" style="120" customWidth="1"/>
    <col min="22" max="22" width="6.5" style="120" customWidth="1"/>
    <col min="23" max="35" width="1.625" style="120" hidden="1" customWidth="1"/>
    <col min="36" max="37" width="9" style="120" hidden="1" customWidth="1"/>
    <col min="38" max="38" width="8.625" style="120" customWidth="1"/>
    <col min="39" max="39" width="2.625" style="120" customWidth="1"/>
    <col min="40" max="16384" width="9" style="120"/>
  </cols>
  <sheetData>
    <row r="2" spans="1:36" s="37" customFormat="1" ht="20.100000000000001" customHeight="1">
      <c r="B2" s="36" t="s">
        <v>425</v>
      </c>
    </row>
    <row r="4" spans="1:36" ht="15.6">
      <c r="A4" s="120" t="s">
        <v>417</v>
      </c>
      <c r="B4" s="45" t="s">
        <v>426</v>
      </c>
      <c r="C4" s="49"/>
      <c r="D4" s="49"/>
      <c r="E4" s="49"/>
      <c r="F4" s="49"/>
      <c r="G4" s="49"/>
      <c r="H4" s="49"/>
      <c r="I4" s="49"/>
      <c r="J4" s="49"/>
      <c r="K4" s="49"/>
      <c r="L4" s="49"/>
      <c r="M4" s="49"/>
      <c r="N4" s="49"/>
      <c r="O4" s="49"/>
      <c r="P4" s="49"/>
      <c r="Q4" s="49"/>
      <c r="R4" s="120" t="e" vm="13">
        <v>#VALUE!</v>
      </c>
      <c r="S4" s="388"/>
      <c r="T4" s="121"/>
      <c r="U4" s="121"/>
    </row>
    <row r="5" spans="1:36" ht="3.95" customHeight="1">
      <c r="B5" s="122"/>
      <c r="C5" s="123"/>
      <c r="D5" s="123"/>
      <c r="E5" s="123"/>
      <c r="F5" s="123"/>
      <c r="G5" s="123"/>
      <c r="H5" s="123"/>
      <c r="I5" s="123"/>
      <c r="J5" s="123"/>
      <c r="K5" s="123"/>
      <c r="L5" s="123"/>
      <c r="M5" s="123"/>
      <c r="N5" s="123"/>
      <c r="O5" s="123"/>
      <c r="P5" s="123"/>
      <c r="Q5" s="123"/>
      <c r="S5" s="121"/>
      <c r="T5" s="121"/>
      <c r="U5" s="121"/>
    </row>
    <row r="6" spans="1:36" ht="15.6">
      <c r="B6" s="124" t="s">
        <v>427</v>
      </c>
      <c r="C6" s="125"/>
      <c r="D6" s="125"/>
      <c r="E6" s="124" t="s">
        <v>428</v>
      </c>
      <c r="F6" s="125"/>
      <c r="G6" s="125"/>
      <c r="H6" s="124" t="s">
        <v>429</v>
      </c>
      <c r="J6" s="125"/>
      <c r="K6" s="124" t="s">
        <v>430</v>
      </c>
      <c r="L6" s="125"/>
      <c r="P6" s="125"/>
      <c r="Q6" s="125"/>
      <c r="X6" s="233" t="s">
        <v>31</v>
      </c>
      <c r="Y6" s="233" t="s">
        <v>431</v>
      </c>
      <c r="Z6" s="233" t="s">
        <v>432</v>
      </c>
      <c r="AA6" s="233" t="s">
        <v>433</v>
      </c>
      <c r="AB6" s="233" t="s">
        <v>434</v>
      </c>
      <c r="AC6" s="233" t="s">
        <v>291</v>
      </c>
      <c r="AD6" s="233" t="s">
        <v>435</v>
      </c>
      <c r="AE6" s="233" t="s">
        <v>282</v>
      </c>
      <c r="AF6" s="233" t="s">
        <v>436</v>
      </c>
      <c r="AG6" s="233" t="s">
        <v>287</v>
      </c>
      <c r="AH6" s="233" t="s">
        <v>284</v>
      </c>
      <c r="AI6" s="233" t="s">
        <v>280</v>
      </c>
    </row>
    <row r="7" spans="1:36" ht="15.6">
      <c r="B7" s="125" t="s">
        <v>210</v>
      </c>
      <c r="C7" s="595">
        <v>2</v>
      </c>
      <c r="D7" s="125"/>
      <c r="E7" s="120" t="s">
        <v>210</v>
      </c>
      <c r="F7" s="599">
        <v>-0.02</v>
      </c>
      <c r="H7" s="120" t="s">
        <v>210</v>
      </c>
      <c r="K7" s="120" t="s">
        <v>210</v>
      </c>
      <c r="L7" s="599">
        <v>0.02</v>
      </c>
      <c r="P7" s="125"/>
      <c r="S7" s="120" t="s">
        <v>437</v>
      </c>
      <c r="T7" s="340">
        <v>2024</v>
      </c>
      <c r="W7" s="120">
        <v>2022</v>
      </c>
      <c r="X7" s="159">
        <f>+E193</f>
        <v>11688.4</v>
      </c>
      <c r="Y7" s="159">
        <f>+E245</f>
        <v>21359</v>
      </c>
      <c r="Z7" s="159">
        <f ca="1">+H217</f>
        <v>244.11303177030834</v>
      </c>
      <c r="AA7" s="159">
        <f>+E258</f>
        <v>-6355</v>
      </c>
      <c r="AB7" s="159">
        <f>+E183</f>
        <v>6932.4</v>
      </c>
      <c r="AC7" s="198">
        <f>+E243</f>
        <v>14821</v>
      </c>
      <c r="AD7" s="159">
        <f>+E89</f>
        <v>7989</v>
      </c>
      <c r="AH7" s="159"/>
    </row>
    <row r="8" spans="1:36" ht="15.6">
      <c r="B8" s="125" t="s">
        <v>438</v>
      </c>
      <c r="C8" s="595">
        <v>2</v>
      </c>
      <c r="D8" s="125"/>
      <c r="E8" s="120" t="s">
        <v>438</v>
      </c>
      <c r="F8" s="599">
        <v>-0.01</v>
      </c>
      <c r="H8" s="120" t="s">
        <v>438</v>
      </c>
      <c r="K8" s="120" t="s">
        <v>438</v>
      </c>
      <c r="L8" s="599">
        <v>0.01</v>
      </c>
      <c r="P8" s="125"/>
      <c r="S8" s="120" t="s">
        <v>439</v>
      </c>
      <c r="T8" s="341" t="s">
        <v>440</v>
      </c>
      <c r="W8" s="120">
        <f t="shared" ref="W8:W14" si="0">+W7+1</f>
        <v>2023</v>
      </c>
      <c r="X8" s="159">
        <f>+F193</f>
        <v>14857.52</v>
      </c>
      <c r="Y8" s="159">
        <f>+F245</f>
        <v>28977</v>
      </c>
      <c r="Z8" s="159">
        <f ca="1">+I217</f>
        <v>244.99115189151104</v>
      </c>
      <c r="AA8" s="159">
        <f>+F258</f>
        <v>-6442</v>
      </c>
      <c r="AB8" s="159">
        <f>+F183</f>
        <v>8068.5199999999995</v>
      </c>
      <c r="AC8" s="198">
        <f>+F243</f>
        <v>14675</v>
      </c>
      <c r="AD8" s="159">
        <f>+F89</f>
        <v>13441</v>
      </c>
    </row>
    <row r="9" spans="1:36" ht="15.6">
      <c r="B9" s="125" t="s">
        <v>441</v>
      </c>
      <c r="C9" s="595">
        <v>2</v>
      </c>
      <c r="D9" s="125"/>
      <c r="E9" s="125" t="s">
        <v>441</v>
      </c>
      <c r="F9" s="597">
        <f ca="1">IFERROR(+I9+0.5%,"")</f>
        <v>9.1010459902936977E-2</v>
      </c>
      <c r="H9" s="125" t="s">
        <v>441</v>
      </c>
      <c r="I9" s="598">
        <f ca="1">WACC!G25</f>
        <v>8.6010459902936973E-2</v>
      </c>
      <c r="J9" s="125"/>
      <c r="K9" s="125" t="s">
        <v>441</v>
      </c>
      <c r="L9" s="600">
        <f ca="1">IFERROR(I9-0.5%,"")</f>
        <v>8.1010459902936968E-2</v>
      </c>
      <c r="M9" s="125"/>
      <c r="P9" s="125"/>
      <c r="Q9" s="125"/>
      <c r="S9" s="120" t="s">
        <v>442</v>
      </c>
      <c r="T9" s="341" t="s">
        <v>440</v>
      </c>
      <c r="W9" s="120">
        <f t="shared" si="0"/>
        <v>2024</v>
      </c>
      <c r="X9" s="159">
        <f>+G193</f>
        <v>14905.184000000001</v>
      </c>
      <c r="Y9" s="159">
        <f>+G245</f>
        <v>25166</v>
      </c>
      <c r="Z9" s="159">
        <f ca="1">+J217</f>
        <v>245.33734709286253</v>
      </c>
      <c r="AA9" s="159">
        <f>+G258</f>
        <v>-6798</v>
      </c>
      <c r="AB9" s="159">
        <f>+G183</f>
        <v>8105.1840000000002</v>
      </c>
      <c r="AC9" s="198">
        <f>+G243</f>
        <v>12350</v>
      </c>
      <c r="AD9" s="159">
        <f>+G89</f>
        <v>14591</v>
      </c>
      <c r="AE9" s="198">
        <f>Inputs!Q48</f>
        <v>137175</v>
      </c>
      <c r="AF9" s="198">
        <f>+Inputs!Q60</f>
        <v>109783</v>
      </c>
      <c r="AG9" s="198">
        <f>+AE9-AF9</f>
        <v>27392</v>
      </c>
      <c r="AH9" s="198">
        <f>+Inputs!Q54</f>
        <v>33142</v>
      </c>
      <c r="AI9" s="198">
        <f>+Inputs!Q38</f>
        <v>34482</v>
      </c>
    </row>
    <row r="10" spans="1:36" ht="15.6">
      <c r="B10" s="125" t="s">
        <v>443</v>
      </c>
      <c r="C10" s="595">
        <v>2</v>
      </c>
      <c r="D10" s="125"/>
      <c r="E10" s="125" t="s">
        <v>443</v>
      </c>
      <c r="F10" s="597">
        <f>+I10-0.5%</f>
        <v>1.4999999999999999E-2</v>
      </c>
      <c r="H10" s="125" t="s">
        <v>443</v>
      </c>
      <c r="I10" s="599">
        <v>0.02</v>
      </c>
      <c r="J10" s="125"/>
      <c r="K10" s="125" t="s">
        <v>443</v>
      </c>
      <c r="L10" s="597">
        <f>+I10+0.5%</f>
        <v>2.5000000000000001E-2</v>
      </c>
      <c r="M10" s="125"/>
      <c r="P10" s="125"/>
      <c r="S10" s="120" t="s">
        <v>444</v>
      </c>
      <c r="T10" s="341" t="s">
        <v>445</v>
      </c>
      <c r="W10" s="120">
        <f t="shared" si="0"/>
        <v>2025</v>
      </c>
      <c r="X10" s="159">
        <f ca="1">+H193</f>
        <v>11932.291325615097</v>
      </c>
      <c r="Y10" s="159">
        <f>+H245</f>
        <v>24579.950767835609</v>
      </c>
      <c r="Z10" s="159">
        <f ca="1">+K217</f>
        <v>250.17903389118209</v>
      </c>
      <c r="AA10" s="159">
        <f>+H258</f>
        <v>-7045.8327926291504</v>
      </c>
      <c r="AB10" s="159">
        <f ca="1">+H183</f>
        <v>7547.5574912085804</v>
      </c>
      <c r="AC10" s="198">
        <f>+H243</f>
        <v>13406.618690738107</v>
      </c>
      <c r="AD10" s="159">
        <f>+H89</f>
        <v>18284.979467808258</v>
      </c>
      <c r="AE10" s="198">
        <f>Inputs!Q48+DCF!H89+DCF!H91+DCF!H94+DCF!H97+DCF!H100+DCF!H106-DCF!G89-DCF!G91-DCF!G94-DCF!G97-DCF!G100-DCF!G106</f>
        <v>143153.21375621259</v>
      </c>
      <c r="AF10" s="198">
        <f>AF9+(I111+I114+I117+I119-H111-H114-H117-H119)</f>
        <v>113072.36273900383</v>
      </c>
      <c r="AG10" s="198">
        <f>+AE10-AF10</f>
        <v>30080.851017208755</v>
      </c>
      <c r="AH10" s="159">
        <f>+AH9+H111+H114-G111-G114</f>
        <v>33961.840695652631</v>
      </c>
      <c r="AI10" s="159">
        <f>+H89+H91+H94+H97</f>
        <v>39633.230430833784</v>
      </c>
    </row>
    <row r="11" spans="1:36" ht="9.9499999999999993" customHeight="1">
      <c r="B11" s="125"/>
      <c r="C11" s="125"/>
      <c r="D11" s="125"/>
      <c r="E11" s="125"/>
      <c r="G11" s="125"/>
      <c r="K11" s="125"/>
      <c r="M11" s="125"/>
      <c r="P11" s="125"/>
      <c r="W11" s="120">
        <f t="shared" si="0"/>
        <v>2026</v>
      </c>
      <c r="X11" s="159">
        <f ca="1">+I193</f>
        <v>13978.95533218066</v>
      </c>
      <c r="Y11" s="159">
        <f>+I245</f>
        <v>29320.096425563199</v>
      </c>
      <c r="Z11" s="159">
        <f ca="1">+L217</f>
        <v>252.86443714559132</v>
      </c>
      <c r="AA11" s="159">
        <f>+I258</f>
        <v>-7442.4420582212297</v>
      </c>
      <c r="AB11" s="159">
        <f ca="1">+I183</f>
        <v>7874.2277934011836</v>
      </c>
      <c r="AC11" s="198">
        <f>+I243</f>
        <v>14912.612245864433</v>
      </c>
      <c r="AD11" s="159">
        <f>+I89</f>
        <v>22439.540590711978</v>
      </c>
      <c r="AE11" s="198">
        <f>AE10+DCF!I89+DCF!I91+DCF!I94+DCF!I97+DCF!I100+DCF!I106-DCF!H89-DCF!H91-DCF!H94-DCF!H97-DCF!H100-DCF!H106</f>
        <v>147710.449361757</v>
      </c>
      <c r="AF11" s="198">
        <f>AF10+(DCF!I111+DCF!I114+DCF!I117+DCF!I119-DCF!H111-DCF!H114-DCF!H117-DCF!H119)</f>
        <v>116361.72547800766</v>
      </c>
      <c r="AG11" s="198">
        <f>+AE11-AF11</f>
        <v>31348.723883749335</v>
      </c>
      <c r="AH11" s="159">
        <f>+AH10+I111+I114-H111-H114</f>
        <v>34724.509091493121</v>
      </c>
      <c r="AI11" s="159">
        <f>+I89+I91+I94+I97</f>
        <v>43966.31956776209</v>
      </c>
      <c r="AJ11" s="159"/>
    </row>
    <row r="12" spans="1:36" ht="13.5" customHeight="1">
      <c r="B12" s="125" t="s">
        <v>441</v>
      </c>
      <c r="C12" s="596">
        <f ca="1">CHOOSE(C9,F9,I9,L9)</f>
        <v>8.6010459902936973E-2</v>
      </c>
      <c r="D12" s="125"/>
      <c r="E12" s="125"/>
      <c r="G12" s="125"/>
      <c r="K12" s="125"/>
      <c r="P12" s="125"/>
      <c r="S12" s="126"/>
      <c r="T12" s="127"/>
      <c r="W12" s="120">
        <f t="shared" si="0"/>
        <v>2027</v>
      </c>
      <c r="X12" s="159">
        <f ca="1">+J193</f>
        <v>14199.951116467744</v>
      </c>
      <c r="Y12" s="159">
        <f>+J245</f>
        <v>28451.863142843154</v>
      </c>
      <c r="Z12" s="159">
        <f ca="1">+M217</f>
        <v>255.98721963895815</v>
      </c>
      <c r="AA12" s="159">
        <f>+J258</f>
        <v>-7644.8139892824511</v>
      </c>
      <c r="AB12" s="159">
        <f ca="1">+J183</f>
        <v>8284.6311525152814</v>
      </c>
      <c r="AC12" s="198">
        <f>+J243</f>
        <v>14458.719888284173</v>
      </c>
      <c r="AD12" s="159">
        <f>+J89</f>
        <v>26148.261515303166</v>
      </c>
    </row>
    <row r="13" spans="1:36" ht="15.6">
      <c r="B13" s="125" t="s">
        <v>443</v>
      </c>
      <c r="C13" s="596">
        <f>CHOOSE(C10,F10,I10,L10)</f>
        <v>0.02</v>
      </c>
      <c r="D13" s="125"/>
      <c r="E13" s="125"/>
      <c r="G13" s="128"/>
      <c r="H13" s="125"/>
      <c r="I13" s="125"/>
      <c r="J13" s="125"/>
      <c r="K13" s="125"/>
      <c r="L13" s="125"/>
      <c r="M13" s="125"/>
      <c r="O13" s="125"/>
      <c r="P13" s="125"/>
      <c r="Q13" s="125"/>
      <c r="R13" s="125"/>
      <c r="W13" s="120">
        <f t="shared" si="0"/>
        <v>2028</v>
      </c>
      <c r="X13" s="159">
        <f ca="1">+K193</f>
        <v>15830.407443393762</v>
      </c>
      <c r="Y13" s="159">
        <f>+K245</f>
        <v>26387.220870647947</v>
      </c>
      <c r="Z13" s="159">
        <f ca="1">+N217</f>
        <v>258.5690318573383</v>
      </c>
      <c r="AA13" s="159">
        <f>+K258</f>
        <v>-6212.7101333240162</v>
      </c>
      <c r="AB13" s="159">
        <f ca="1">+K183</f>
        <v>9485.7321209183301</v>
      </c>
      <c r="AC13" s="198">
        <f>+K243</f>
        <v>10716.379713207698</v>
      </c>
      <c r="AD13" s="159">
        <f>+K89</f>
        <v>33970.23109295922</v>
      </c>
    </row>
    <row r="14" spans="1:36" ht="15.6">
      <c r="B14" s="125"/>
      <c r="C14" s="129"/>
      <c r="D14" s="125"/>
      <c r="E14" s="130"/>
      <c r="F14" s="130"/>
      <c r="G14" s="130"/>
      <c r="H14" s="125"/>
      <c r="I14" s="125"/>
      <c r="J14" s="125"/>
      <c r="K14" s="125"/>
      <c r="L14" s="125"/>
      <c r="M14" s="125"/>
      <c r="O14" s="125"/>
      <c r="P14" s="125"/>
      <c r="Q14" s="125"/>
      <c r="R14" s="125"/>
      <c r="W14" s="120">
        <f t="shared" si="0"/>
        <v>2029</v>
      </c>
      <c r="X14" s="159">
        <f ca="1">+L193</f>
        <v>16724.743248791572</v>
      </c>
      <c r="Y14" s="159">
        <f>+L245</f>
        <v>29436.033118189538</v>
      </c>
      <c r="Z14" s="159">
        <f ca="1">+O217</f>
        <v>261.01259924364462</v>
      </c>
      <c r="AA14" s="159">
        <f>+L258</f>
        <v>-7052.3572956243779</v>
      </c>
      <c r="AB14" s="159">
        <f ca="1">+L183</f>
        <v>9909.0908666490013</v>
      </c>
      <c r="AC14" s="198">
        <f>+L243</f>
        <v>12636.161696105846</v>
      </c>
      <c r="AD14" s="159">
        <f>+L89</f>
        <v>41481.600932021363</v>
      </c>
    </row>
    <row r="15" spans="1:36" ht="15.6">
      <c r="A15" s="120" t="s">
        <v>417</v>
      </c>
      <c r="B15" s="45" t="s">
        <v>446</v>
      </c>
      <c r="C15" s="49"/>
      <c r="D15" s="49"/>
      <c r="E15" s="131">
        <v>2022</v>
      </c>
      <c r="F15" s="131">
        <f>+E15+1</f>
        <v>2023</v>
      </c>
      <c r="G15" s="132">
        <f>+F15+1</f>
        <v>2024</v>
      </c>
      <c r="H15" s="97">
        <f t="shared" ref="H15:J15" si="1">+G15+1</f>
        <v>2025</v>
      </c>
      <c r="I15" s="97">
        <f t="shared" si="1"/>
        <v>2026</v>
      </c>
      <c r="J15" s="97">
        <f t="shared" si="1"/>
        <v>2027</v>
      </c>
      <c r="K15" s="97">
        <f>+J15+1</f>
        <v>2028</v>
      </c>
      <c r="L15" s="97">
        <f t="shared" ref="L15:Q15" si="2">+K15+1</f>
        <v>2029</v>
      </c>
      <c r="M15" s="97">
        <f t="shared" si="2"/>
        <v>2030</v>
      </c>
      <c r="N15" s="97">
        <f t="shared" si="2"/>
        <v>2031</v>
      </c>
      <c r="O15" s="97">
        <f t="shared" si="2"/>
        <v>2032</v>
      </c>
      <c r="P15" s="97">
        <f t="shared" si="2"/>
        <v>2033</v>
      </c>
      <c r="Q15" s="97">
        <f t="shared" si="2"/>
        <v>2034</v>
      </c>
      <c r="R15" s="125"/>
    </row>
    <row r="16" spans="1:36" ht="3.75" customHeight="1">
      <c r="B16" s="62"/>
      <c r="C16" s="62"/>
      <c r="D16" s="62"/>
      <c r="E16" s="62"/>
      <c r="F16" s="62"/>
      <c r="G16" s="133"/>
      <c r="H16" s="62"/>
      <c r="I16" s="62"/>
      <c r="J16" s="62"/>
      <c r="K16" s="62"/>
      <c r="L16" s="62"/>
      <c r="M16" s="62"/>
      <c r="N16" s="62"/>
      <c r="O16" s="62"/>
      <c r="P16" s="62"/>
      <c r="Q16" s="62"/>
      <c r="R16" s="125"/>
    </row>
    <row r="17" spans="1:34" ht="15.6">
      <c r="B17" s="125" t="s">
        <v>447</v>
      </c>
      <c r="C17" s="129"/>
      <c r="D17" s="125"/>
      <c r="E17" s="290">
        <f>Sheet1!I5</f>
        <v>16458</v>
      </c>
      <c r="F17" s="290">
        <f>Sheet1!F5</f>
        <v>17396</v>
      </c>
      <c r="G17" s="290">
        <f>Sheet1!C5</f>
        <v>18808</v>
      </c>
      <c r="H17" s="834">
        <f>G17*(1+H19)</f>
        <v>20594.759999999998</v>
      </c>
      <c r="I17" s="834">
        <f t="shared" ref="I17:Q17" si="3">H17*(1+I19)</f>
        <v>22654.236000000001</v>
      </c>
      <c r="J17" s="834">
        <f t="shared" si="3"/>
        <v>25055.585016000005</v>
      </c>
      <c r="K17" s="834">
        <f t="shared" si="3"/>
        <v>27836.754952776006</v>
      </c>
      <c r="L17" s="834">
        <f t="shared" si="3"/>
        <v>31065.818527298026</v>
      </c>
      <c r="M17" s="834">
        <f t="shared" si="3"/>
        <v>34793.716750573796</v>
      </c>
      <c r="N17" s="834">
        <f t="shared" si="3"/>
        <v>38621.025593136917</v>
      </c>
      <c r="O17" s="834">
        <f t="shared" si="3"/>
        <v>42483.128152450612</v>
      </c>
      <c r="P17" s="834">
        <f t="shared" si="3"/>
        <v>46306.60968617117</v>
      </c>
      <c r="Q17" s="834">
        <f t="shared" si="3"/>
        <v>50011.138461064867</v>
      </c>
      <c r="R17" s="125"/>
    </row>
    <row r="18" spans="1:34" ht="15.6">
      <c r="B18" s="241" t="s">
        <v>448</v>
      </c>
      <c r="C18" s="129"/>
      <c r="D18" s="125"/>
      <c r="E18" s="839">
        <f>Sheet1!J5</f>
        <v>0.69651699183207072</v>
      </c>
      <c r="F18" s="839">
        <f>Sheet1!H5</f>
        <v>0.69553396505537568</v>
      </c>
      <c r="G18" s="839">
        <f>Sheet1!E5</f>
        <v>0.69440649806165777</v>
      </c>
      <c r="H18" s="835">
        <f>Sheet1!V11</f>
        <v>0.69140649806165777</v>
      </c>
      <c r="I18" s="835">
        <f>Sheet1!W11</f>
        <v>0.68840649806165777</v>
      </c>
      <c r="J18" s="835">
        <f>Sheet1!X11</f>
        <v>0.68540649806165777</v>
      </c>
      <c r="K18" s="835">
        <f>Sheet1!Y11</f>
        <v>0.68540649806165777</v>
      </c>
      <c r="L18" s="835">
        <f>Sheet1!Z11</f>
        <v>0.68540649806165777</v>
      </c>
      <c r="M18" s="835">
        <f>Sheet1!AA11</f>
        <v>0.68540649806165777</v>
      </c>
      <c r="N18" s="835">
        <f>Sheet1!AB11</f>
        <v>0.68540649806165777</v>
      </c>
      <c r="O18" s="835">
        <f>Sheet1!AC11</f>
        <v>0.68540649806165777</v>
      </c>
      <c r="P18" s="835">
        <f>Sheet1!AD11</f>
        <v>0.68540649806165777</v>
      </c>
      <c r="Q18" s="835">
        <f>Sheet1!AE11</f>
        <v>0.68540649806165777</v>
      </c>
      <c r="R18" s="125"/>
      <c r="AE18" s="198"/>
      <c r="AF18" s="198"/>
      <c r="AG18" s="198"/>
      <c r="AH18" s="198"/>
    </row>
    <row r="19" spans="1:34" ht="15.6">
      <c r="B19" s="241" t="s">
        <v>129</v>
      </c>
      <c r="C19" s="129"/>
      <c r="D19" s="125"/>
      <c r="E19" s="840"/>
      <c r="F19" s="839">
        <f>Sheet1!G5</f>
        <v>5.6993559363227607E-2</v>
      </c>
      <c r="G19" s="839">
        <f>Sheet1!D5</f>
        <v>8.1168084617153372E-2</v>
      </c>
      <c r="H19" s="135">
        <f>Sheet1!V4</f>
        <v>9.5000000000000001E-2</v>
      </c>
      <c r="I19" s="135">
        <f>Sheet1!W4</f>
        <v>0.1</v>
      </c>
      <c r="J19" s="135">
        <f>Sheet1!X4</f>
        <v>0.106</v>
      </c>
      <c r="K19" s="135">
        <f>Sheet1!Y4</f>
        <v>0.111</v>
      </c>
      <c r="L19" s="135">
        <f>Sheet1!Z4</f>
        <v>0.11600000000000001</v>
      </c>
      <c r="M19" s="135">
        <f>Sheet1!AA4</f>
        <v>0.12</v>
      </c>
      <c r="N19" s="135">
        <f>Sheet1!AB4</f>
        <v>0.11</v>
      </c>
      <c r="O19" s="135">
        <f>Sheet1!AC4</f>
        <v>0.1</v>
      </c>
      <c r="P19" s="135">
        <f>Sheet1!AD4</f>
        <v>0.09</v>
      </c>
      <c r="Q19" s="135">
        <f>Sheet1!AE4</f>
        <v>0.08</v>
      </c>
      <c r="R19" s="125"/>
      <c r="AD19" s="159"/>
      <c r="AE19" s="159"/>
      <c r="AF19" s="159"/>
      <c r="AG19" s="159"/>
    </row>
    <row r="20" spans="1:34" ht="15.6">
      <c r="B20" s="120" t="s">
        <v>449</v>
      </c>
      <c r="C20" s="129"/>
      <c r="D20" s="125"/>
      <c r="E20" s="610">
        <f>Sheet1!I6</f>
        <v>7171</v>
      </c>
      <c r="F20" s="610">
        <f>Sheet1!F6</f>
        <v>7615</v>
      </c>
      <c r="G20" s="610">
        <f>Sheet1!C6</f>
        <v>8277</v>
      </c>
      <c r="H20" s="744">
        <f>G20*(1+$H$22)</f>
        <v>8770.2562454459712</v>
      </c>
      <c r="I20" s="744">
        <f t="shared" ref="I20:Q20" si="4">H20*(1+$H$22)</f>
        <v>9292.9074073678948</v>
      </c>
      <c r="J20" s="744">
        <f t="shared" si="4"/>
        <v>9846.7052347250701</v>
      </c>
      <c r="K20" s="744">
        <f t="shared" si="4"/>
        <v>10433.50586950744</v>
      </c>
      <c r="L20" s="744">
        <f t="shared" si="4"/>
        <v>11055.276067892331</v>
      </c>
      <c r="M20" s="744">
        <f t="shared" si="4"/>
        <v>11714.099792142333</v>
      </c>
      <c r="N20" s="744">
        <f t="shared" si="4"/>
        <v>12412.185195338123</v>
      </c>
      <c r="O20" s="744">
        <f t="shared" si="4"/>
        <v>13151.872022356674</v>
      </c>
      <c r="P20" s="744">
        <f t="shared" si="4"/>
        <v>13935.639451900417</v>
      </c>
      <c r="Q20" s="744">
        <f t="shared" si="4"/>
        <v>14766.114405861168</v>
      </c>
      <c r="R20" s="125"/>
      <c r="S20" s="29"/>
      <c r="T20" s="90"/>
      <c r="U20" s="90"/>
      <c r="V20" s="90"/>
      <c r="W20" s="90"/>
      <c r="X20" s="90"/>
    </row>
    <row r="21" spans="1:34" ht="15.6">
      <c r="B21" s="241" t="s">
        <v>448</v>
      </c>
      <c r="C21" s="129"/>
      <c r="D21" s="125"/>
      <c r="E21" s="609">
        <f>1-E18</f>
        <v>0.30348300816792928</v>
      </c>
      <c r="F21" s="609">
        <f t="shared" ref="F21:G21" si="5">1-F18</f>
        <v>0.30446603494462432</v>
      </c>
      <c r="G21" s="609">
        <f t="shared" si="5"/>
        <v>0.30559350193834223</v>
      </c>
      <c r="H21" s="837">
        <f>1-DCF!H18</f>
        <v>0.30859350193834223</v>
      </c>
      <c r="I21" s="837">
        <f>1-DCF!I18</f>
        <v>0.31159350193834223</v>
      </c>
      <c r="J21" s="837">
        <f>1-DCF!J18</f>
        <v>0.31459350193834223</v>
      </c>
      <c r="K21" s="837">
        <f>1-DCF!K18</f>
        <v>0.31459350193834223</v>
      </c>
      <c r="L21" s="837">
        <f>1-DCF!L18</f>
        <v>0.31459350193834223</v>
      </c>
      <c r="M21" s="837">
        <f>1-DCF!M18</f>
        <v>0.31459350193834223</v>
      </c>
      <c r="N21" s="837">
        <f>1-DCF!N18</f>
        <v>0.31459350193834223</v>
      </c>
      <c r="O21" s="837">
        <f>1-DCF!O18</f>
        <v>0.31459350193834223</v>
      </c>
      <c r="P21" s="837">
        <f>1-DCF!P18</f>
        <v>0.31459350193834223</v>
      </c>
      <c r="Q21" s="837">
        <f>1-DCF!Q18</f>
        <v>0.31459350193834223</v>
      </c>
      <c r="R21" s="125"/>
      <c r="S21" s="29"/>
      <c r="T21" s="90"/>
      <c r="U21" s="90"/>
      <c r="V21" s="90"/>
      <c r="W21" s="90"/>
      <c r="X21" s="90"/>
    </row>
    <row r="22" spans="1:34" ht="15.6">
      <c r="B22" s="241" t="s">
        <v>129</v>
      </c>
      <c r="C22" s="129"/>
      <c r="D22" s="125"/>
      <c r="E22" s="609"/>
      <c r="F22" s="609">
        <f>Sheet1!G6</f>
        <v>6.191605076000558E-2</v>
      </c>
      <c r="G22" s="609">
        <f>Sheet1!D6</f>
        <v>8.693368351936967E-2</v>
      </c>
      <c r="H22" s="847">
        <f>Sheet1!J2</f>
        <v>5.959360220441845E-2</v>
      </c>
      <c r="I22" s="162"/>
      <c r="J22" s="162"/>
      <c r="K22" s="162"/>
      <c r="L22" s="162"/>
      <c r="M22" s="162"/>
      <c r="N22" s="838"/>
      <c r="O22" s="162"/>
      <c r="P22" s="162"/>
      <c r="Q22" s="162"/>
      <c r="R22" s="125"/>
      <c r="S22" s="90"/>
      <c r="T22"/>
      <c r="U22"/>
      <c r="V22"/>
      <c r="W22"/>
      <c r="X22"/>
    </row>
    <row r="23" spans="1:34" ht="15.6">
      <c r="B23" s="125" t="s">
        <v>450</v>
      </c>
      <c r="C23" s="129"/>
      <c r="D23" s="125"/>
      <c r="E23" s="841">
        <f>Sheet1!I7</f>
        <v>23629</v>
      </c>
      <c r="F23" s="841">
        <f>Sheet1!F7</f>
        <v>25011</v>
      </c>
      <c r="G23" s="842">
        <f>Sheet1!C7</f>
        <v>27085</v>
      </c>
      <c r="H23" s="134">
        <f>G23*(1+H24)</f>
        <v>29362.139298593091</v>
      </c>
      <c r="I23" s="134">
        <f t="shared" ref="I23:Q23" si="6">H23*(1+I24)</f>
        <v>31928.67300162778</v>
      </c>
      <c r="J23" s="134">
        <f t="shared" si="6"/>
        <v>34846.980815198454</v>
      </c>
      <c r="K23" s="134">
        <f t="shared" si="6"/>
        <v>38151.44617544701</v>
      </c>
      <c r="L23" s="134">
        <f t="shared" si="6"/>
        <v>41900.013230217657</v>
      </c>
      <c r="M23" s="134">
        <f t="shared" si="6"/>
        <v>46131.769583122375</v>
      </c>
      <c r="N23" s="134">
        <f t="shared" si="6"/>
        <v>50474.72853846052</v>
      </c>
      <c r="O23" s="134">
        <f t="shared" si="6"/>
        <v>54880.5873285161</v>
      </c>
      <c r="P23" s="134">
        <f t="shared" si="6"/>
        <v>59294.871414508831</v>
      </c>
      <c r="Q23" s="134">
        <f t="shared" si="6"/>
        <v>63657.80464718672</v>
      </c>
      <c r="R23" s="125"/>
      <c r="S23" s="90"/>
      <c r="T23"/>
      <c r="U23"/>
      <c r="V23"/>
      <c r="W23"/>
      <c r="X23"/>
    </row>
    <row r="24" spans="1:34" ht="15.6">
      <c r="B24" s="241" t="s">
        <v>129</v>
      </c>
      <c r="C24" s="129"/>
      <c r="D24" s="125"/>
      <c r="E24" s="839"/>
      <c r="F24" s="839">
        <f>Sheet1!G7</f>
        <v>5.8487451860002537E-2</v>
      </c>
      <c r="G24" s="846">
        <f>Sheet1!D7</f>
        <v>8.292351365399224E-2</v>
      </c>
      <c r="H24" s="836">
        <f>H18*H19+H21*$H$22</f>
        <v>8.4073815713239491E-2</v>
      </c>
      <c r="I24" s="836">
        <f t="shared" ref="I24:Q24" si="7">I18*I19+I21*$H$22</f>
        <v>8.7409629010161027E-2</v>
      </c>
      <c r="J24" s="836">
        <f t="shared" si="7"/>
        <v>9.1400848805144236E-2</v>
      </c>
      <c r="K24" s="836">
        <f t="shared" si="7"/>
        <v>9.4827881295452526E-2</v>
      </c>
      <c r="L24" s="836">
        <f t="shared" si="7"/>
        <v>9.8254913785760817E-2</v>
      </c>
      <c r="M24" s="836">
        <f t="shared" si="7"/>
        <v>0.10099653977800745</v>
      </c>
      <c r="N24" s="836">
        <f t="shared" si="7"/>
        <v>9.4142474797390865E-2</v>
      </c>
      <c r="O24" s="836">
        <f t="shared" si="7"/>
        <v>8.7288409816774298E-2</v>
      </c>
      <c r="P24" s="836">
        <f t="shared" si="7"/>
        <v>8.0434344836157703E-2</v>
      </c>
      <c r="Q24" s="836">
        <f t="shared" si="7"/>
        <v>7.3580279855541136E-2</v>
      </c>
      <c r="R24" s="125"/>
      <c r="S24" s="90"/>
      <c r="T24"/>
      <c r="U24"/>
      <c r="V24"/>
      <c r="W24"/>
      <c r="X24"/>
    </row>
    <row r="25" spans="1:34" ht="15.6">
      <c r="B25" s="125" t="s">
        <v>451</v>
      </c>
      <c r="C25" s="129"/>
      <c r="D25" s="125"/>
      <c r="E25" s="843">
        <f>Sheet1!F56</f>
        <v>20058</v>
      </c>
      <c r="F25" s="843">
        <f>Sheet1!G56</f>
        <v>20884</v>
      </c>
      <c r="G25" s="843">
        <f>Sheet1!H56</f>
        <v>20692</v>
      </c>
      <c r="H25" s="843">
        <f>Sheet1!I56</f>
        <v>21105.84</v>
      </c>
      <c r="I25" s="843">
        <f>Sheet1!J56</f>
        <v>21739.015200000002</v>
      </c>
      <c r="J25" s="843">
        <f>Sheet1!K56</f>
        <v>22608.575808000001</v>
      </c>
      <c r="K25" s="843">
        <f>Sheet1!L56</f>
        <v>23739.004598400003</v>
      </c>
      <c r="L25" s="843">
        <f>Sheet1!M56</f>
        <v>24925.954828320002</v>
      </c>
      <c r="M25" s="843">
        <f>Sheet1!N56</f>
        <v>26172.252569736003</v>
      </c>
      <c r="N25" s="843">
        <f>Sheet1!O56</f>
        <v>27480.865198222804</v>
      </c>
      <c r="O25" s="843">
        <f>Sheet1!P56</f>
        <v>28854.908458133945</v>
      </c>
      <c r="P25" s="843">
        <f>Sheet1!Q56</f>
        <v>30297.653881040642</v>
      </c>
      <c r="Q25" s="843">
        <f>Sheet1!R56</f>
        <v>31812.536575092676</v>
      </c>
      <c r="R25" s="162"/>
      <c r="S25" s="90"/>
      <c r="T25"/>
      <c r="U25"/>
      <c r="V25"/>
      <c r="W25"/>
      <c r="X25"/>
    </row>
    <row r="26" spans="1:34" ht="15.6">
      <c r="B26" s="125" t="s">
        <v>452</v>
      </c>
      <c r="C26" s="129"/>
      <c r="D26" s="125"/>
      <c r="E26" s="843">
        <f>Sheet1!E59</f>
        <v>15288</v>
      </c>
      <c r="F26" s="843">
        <f>Sheet1!G59</f>
        <v>14593</v>
      </c>
      <c r="G26" s="843">
        <f>Sheet1!H59</f>
        <v>14020</v>
      </c>
      <c r="H26" s="843">
        <f>Sheet1!I59</f>
        <v>14648.096</v>
      </c>
      <c r="I26" s="843">
        <f>Sheet1!J59</f>
        <v>14500</v>
      </c>
      <c r="J26" s="843">
        <f>Sheet1!K59</f>
        <v>14000</v>
      </c>
      <c r="K26" s="843">
        <f>Sheet1!L59</f>
        <v>14629.999999999998</v>
      </c>
      <c r="L26" s="843">
        <f>Sheet1!M59</f>
        <v>14500</v>
      </c>
      <c r="M26" s="843">
        <f>Sheet1!N59</f>
        <v>14000</v>
      </c>
      <c r="N26" s="843">
        <f>Sheet1!O59</f>
        <v>14629.999999999998</v>
      </c>
      <c r="O26" s="843">
        <f>Sheet1!P59</f>
        <v>14500</v>
      </c>
      <c r="P26" s="843">
        <f>Sheet1!Q59</f>
        <v>14000</v>
      </c>
      <c r="Q26" s="843">
        <f>Sheet1!R59</f>
        <v>14629.999999999998</v>
      </c>
      <c r="R26" s="125"/>
      <c r="S26" s="90"/>
      <c r="T26"/>
      <c r="U26"/>
      <c r="V26"/>
      <c r="W26"/>
      <c r="X26"/>
    </row>
    <row r="27" spans="1:34" ht="15.6">
      <c r="B27" s="125" t="s">
        <v>453</v>
      </c>
      <c r="C27" s="129"/>
      <c r="D27" s="125"/>
      <c r="E27" s="844">
        <f>Sheet1!E63+Sheet1!F65</f>
        <v>1554</v>
      </c>
      <c r="F27" s="844">
        <f>Sheet1!G63+Sheet1!G65</f>
        <v>1373</v>
      </c>
      <c r="G27" s="844">
        <f>Sheet1!H63+Sheet1!H65</f>
        <v>956</v>
      </c>
      <c r="H27" s="844">
        <f>Sheet1!I63+Sheet1!I65</f>
        <v>816.33948357028521</v>
      </c>
      <c r="I27" s="844">
        <f>Sheet1!J63+Sheet1!J65</f>
        <v>696.17292707624631</v>
      </c>
      <c r="J27" s="844">
        <f>Sheet1!K63+Sheet1!K65</f>
        <v>648.65152159265403</v>
      </c>
      <c r="K27" s="844">
        <f>Sheet1!L63+Sheet1!L65</f>
        <v>627.62577842944177</v>
      </c>
      <c r="L27" s="844">
        <f>Sheet1!M63+Sheet1!M65</f>
        <v>608.12451277671528</v>
      </c>
      <c r="M27" s="844">
        <f>Sheet1!N63+Sheet1!N65</f>
        <v>594.45464741876538</v>
      </c>
      <c r="N27" s="844">
        <f>Sheet1!O63+Sheet1!O65</f>
        <v>582.24916328955544</v>
      </c>
      <c r="O27" s="844">
        <f>Sheet1!P63+Sheet1!P65</f>
        <v>566.74721667800964</v>
      </c>
      <c r="P27" s="844">
        <f>Sheet1!Q63+Sheet1!Q65</f>
        <v>552.47840613959147</v>
      </c>
      <c r="Q27" s="844">
        <f>Sheet1!R63+Sheet1!R65</f>
        <v>539.38302575503951</v>
      </c>
      <c r="R27" s="125"/>
      <c r="S27" s="90"/>
      <c r="T27"/>
      <c r="U27"/>
      <c r="V27"/>
      <c r="W27"/>
      <c r="X27"/>
    </row>
    <row r="28" spans="1:34" ht="15.6">
      <c r="B28" s="137" t="s">
        <v>454</v>
      </c>
      <c r="E28" s="143"/>
      <c r="F28" s="143"/>
      <c r="G28" s="845"/>
      <c r="S28" s="90"/>
    </row>
    <row r="29" spans="1:34" ht="15.6">
      <c r="A29" s="120" t="s">
        <v>417</v>
      </c>
      <c r="B29" s="45" t="s">
        <v>260</v>
      </c>
      <c r="C29" s="49"/>
      <c r="D29" s="49"/>
      <c r="E29" s="131">
        <v>2022</v>
      </c>
      <c r="F29" s="131">
        <f>+E29+1</f>
        <v>2023</v>
      </c>
      <c r="G29" s="132">
        <f>+F29+1</f>
        <v>2024</v>
      </c>
      <c r="H29" s="97">
        <f t="shared" ref="H29:Q29" si="8">+G29+1</f>
        <v>2025</v>
      </c>
      <c r="I29" s="97">
        <f t="shared" si="8"/>
        <v>2026</v>
      </c>
      <c r="J29" s="97">
        <f t="shared" si="8"/>
        <v>2027</v>
      </c>
      <c r="K29" s="97">
        <f>+J29+1</f>
        <v>2028</v>
      </c>
      <c r="L29" s="97">
        <f t="shared" si="8"/>
        <v>2029</v>
      </c>
      <c r="M29" s="97">
        <f t="shared" si="8"/>
        <v>2030</v>
      </c>
      <c r="N29" s="97">
        <f t="shared" si="8"/>
        <v>2031</v>
      </c>
      <c r="O29" s="97">
        <f t="shared" si="8"/>
        <v>2032</v>
      </c>
      <c r="P29" s="97">
        <f t="shared" si="8"/>
        <v>2033</v>
      </c>
      <c r="Q29" s="97">
        <f t="shared" si="8"/>
        <v>2034</v>
      </c>
      <c r="R29" s="139"/>
      <c r="S29" s="121"/>
      <c r="T29" s="121"/>
      <c r="U29" s="121"/>
    </row>
    <row r="30" spans="1:34" ht="3.95" customHeight="1">
      <c r="B30" s="62"/>
      <c r="C30" s="62"/>
      <c r="D30" s="62"/>
      <c r="E30" s="62"/>
      <c r="F30" s="62"/>
      <c r="G30" s="133"/>
      <c r="H30" s="62"/>
      <c r="I30" s="62"/>
      <c r="J30" s="62"/>
      <c r="K30" s="62"/>
      <c r="L30" s="62"/>
      <c r="M30" s="62"/>
      <c r="N30" s="62"/>
      <c r="O30" s="62"/>
      <c r="P30" s="62"/>
      <c r="Q30" s="62"/>
    </row>
    <row r="31" spans="1:34" ht="15.6">
      <c r="B31" s="120" t="s">
        <v>455</v>
      </c>
      <c r="D31" s="293">
        <f>+_xlfn.XLOOKUP($B31,Inputs!$B:$B,Inputs!N:N)</f>
        <v>57350</v>
      </c>
      <c r="E31" s="141">
        <f>+_xlfn.XLOOKUP($B31,Inputs!$B:$B,Inputs!O:O)</f>
        <v>60530</v>
      </c>
      <c r="F31" s="141">
        <f>+_xlfn.XLOOKUP($B31,Inputs!$B:$B,Inputs!P:P)</f>
        <v>61860</v>
      </c>
      <c r="G31" s="259">
        <f>+_xlfn.XLOOKUP($B31,Inputs!$B:$B,Inputs!Q:Q)</f>
        <v>62753</v>
      </c>
      <c r="H31" s="142">
        <f>+H26+H27+H25+H23</f>
        <v>65932.414782163381</v>
      </c>
      <c r="I31" s="142">
        <f t="shared" ref="I31:Q31" si="9">+I26+I27+I25+I23</f>
        <v>68863.861128704026</v>
      </c>
      <c r="J31" s="142">
        <f t="shared" si="9"/>
        <v>72104.208144791104</v>
      </c>
      <c r="K31" s="142">
        <f t="shared" si="9"/>
        <v>77148.076552276456</v>
      </c>
      <c r="L31" s="142">
        <f t="shared" si="9"/>
        <v>81934.092571314366</v>
      </c>
      <c r="M31" s="142">
        <f t="shared" si="9"/>
        <v>86898.476800277145</v>
      </c>
      <c r="N31" s="142">
        <f t="shared" si="9"/>
        <v>93167.842899972879</v>
      </c>
      <c r="O31" s="142">
        <f t="shared" si="9"/>
        <v>98802.243003328054</v>
      </c>
      <c r="P31" s="142">
        <f t="shared" si="9"/>
        <v>104145.00370168907</v>
      </c>
      <c r="Q31" s="142">
        <f t="shared" si="9"/>
        <v>110639.72424803444</v>
      </c>
    </row>
    <row r="32" spans="1:34" s="267" customFormat="1" ht="14.45">
      <c r="B32" s="268" t="s">
        <v>456</v>
      </c>
      <c r="E32" s="270">
        <f>IFERROR((E31-D31)/D31,"")</f>
        <v>5.5448997384481252E-2</v>
      </c>
      <c r="F32" s="270">
        <f>IFERROR((F31-E31)/E31,"")</f>
        <v>2.1972575582355856E-2</v>
      </c>
      <c r="G32" s="271">
        <f>IFERROR((G31-F31)/F31,"")</f>
        <v>1.4435822825735531E-2</v>
      </c>
      <c r="H32" s="272">
        <f>IFERROR(H31/G31-1,"")</f>
        <v>5.0665542398983021E-2</v>
      </c>
      <c r="I32" s="272">
        <f t="shared" ref="I32:Q32" si="10">IFERROR(I31/H31-1,"")</f>
        <v>4.4461383012073252E-2</v>
      </c>
      <c r="J32" s="272">
        <f t="shared" si="10"/>
        <v>4.7054390546457769E-2</v>
      </c>
      <c r="K32" s="272">
        <f t="shared" si="10"/>
        <v>6.9952483180411029E-2</v>
      </c>
      <c r="L32" s="272">
        <f t="shared" si="10"/>
        <v>6.2036751049714844E-2</v>
      </c>
      <c r="M32" s="272">
        <f t="shared" si="10"/>
        <v>6.0589970220782607E-2</v>
      </c>
      <c r="N32" s="272">
        <f t="shared" si="10"/>
        <v>7.214586872569595E-2</v>
      </c>
      <c r="O32" s="272">
        <f t="shared" si="10"/>
        <v>6.0475802894829345E-2</v>
      </c>
      <c r="P32" s="272">
        <f t="shared" si="10"/>
        <v>5.4075297644619713E-2</v>
      </c>
      <c r="Q32" s="272">
        <f t="shared" si="10"/>
        <v>6.2362286384363808E-2</v>
      </c>
    </row>
    <row r="33" spans="2:18" ht="3.75" customHeight="1">
      <c r="B33" s="143"/>
      <c r="E33" s="145"/>
      <c r="F33" s="145"/>
      <c r="G33" s="146"/>
      <c r="H33" s="144"/>
      <c r="I33" s="144"/>
      <c r="J33" s="144"/>
      <c r="K33" s="144"/>
      <c r="L33" s="144"/>
      <c r="O33" s="147"/>
      <c r="P33" s="147"/>
      <c r="Q33" s="147"/>
    </row>
    <row r="34" spans="2:18" ht="15.6">
      <c r="B34" s="266" t="s">
        <v>266</v>
      </c>
      <c r="E34" s="141">
        <f>+_xlfn.XLOOKUP($B34,Inputs!$B:$B,Inputs!O:O)</f>
        <v>27842</v>
      </c>
      <c r="F34" s="141">
        <f>+_xlfn.XLOOKUP($B34,Inputs!$B:$B,Inputs!P:P)</f>
        <v>27560</v>
      </c>
      <c r="G34" s="259">
        <f>+_xlfn.XLOOKUP($B34,Inputs!$B:$B,Inputs!Q:Q)</f>
        <v>27201</v>
      </c>
      <c r="H34" s="148">
        <f t="shared" ref="H34:Q34" si="11">H35*H$31</f>
        <v>29413.703242999225</v>
      </c>
      <c r="I34" s="148">
        <f t="shared" si="11"/>
        <v>30796.956859179962</v>
      </c>
      <c r="J34" s="148">
        <f t="shared" si="11"/>
        <v>32191.469381207331</v>
      </c>
      <c r="K34" s="148">
        <f t="shared" si="11"/>
        <v>34234.846914582471</v>
      </c>
      <c r="L34" s="148">
        <f t="shared" si="11"/>
        <v>36329.708144398253</v>
      </c>
      <c r="M34" s="148">
        <f t="shared" si="11"/>
        <v>38703.682708178028</v>
      </c>
      <c r="N34" s="148">
        <f t="shared" si="11"/>
        <v>41482.40315996459</v>
      </c>
      <c r="O34" s="148">
        <f t="shared" si="11"/>
        <v>43952.131242107447</v>
      </c>
      <c r="P34" s="148">
        <f t="shared" si="11"/>
        <v>46295.361979540648</v>
      </c>
      <c r="Q34" s="148">
        <f t="shared" si="11"/>
        <v>49199.549122957324</v>
      </c>
    </row>
    <row r="35" spans="2:18" s="267" customFormat="1" ht="14.45">
      <c r="B35" s="276" t="s">
        <v>457</v>
      </c>
      <c r="E35" s="269">
        <f>IFERROR(E34/E$31,"")</f>
        <v>0.45997026267966296</v>
      </c>
      <c r="F35" s="269">
        <f>IFERROR(F34/F$31,"")</f>
        <v>0.44552214678305851</v>
      </c>
      <c r="G35" s="273">
        <f>IFERROR(G34/G$31,"")</f>
        <v>0.43346134846142814</v>
      </c>
      <c r="H35" s="294">
        <f>AVERAGE(G35,F35,E35,(Inputs!N7/Inputs!N6),(Inputs!M7/Inputs!M6))</f>
        <v>0.44611900444083963</v>
      </c>
      <c r="I35" s="294">
        <f>AVERAGE(H35,G35,F35,(Inputs!N7/Inputs!N6),DCF!E35)</f>
        <v>0.44721507557674672</v>
      </c>
      <c r="J35" s="294">
        <f>AVERAGE(E35:I35)</f>
        <v>0.4464575675883472</v>
      </c>
      <c r="K35" s="294">
        <f t="shared" ref="K35:Q35" si="12">AVERAGE(F35:J35)</f>
        <v>0.44375502857008409</v>
      </c>
      <c r="L35" s="294">
        <f t="shared" si="12"/>
        <v>0.44340160492748915</v>
      </c>
      <c r="M35" s="294">
        <f t="shared" si="12"/>
        <v>0.44538965622070137</v>
      </c>
      <c r="N35" s="294">
        <f t="shared" si="12"/>
        <v>0.44524378657667374</v>
      </c>
      <c r="O35" s="294">
        <f t="shared" si="12"/>
        <v>0.44484952877665912</v>
      </c>
      <c r="P35" s="294">
        <f t="shared" si="12"/>
        <v>0.44452792101432143</v>
      </c>
      <c r="Q35" s="294">
        <f t="shared" si="12"/>
        <v>0.44468249950316896</v>
      </c>
    </row>
    <row r="36" spans="2:18" ht="5.25" customHeight="1">
      <c r="B36" s="143"/>
      <c r="E36" s="145"/>
      <c r="F36" s="145"/>
      <c r="G36" s="146"/>
      <c r="H36" s="151"/>
      <c r="I36" s="151"/>
      <c r="J36" s="151"/>
      <c r="K36" s="151"/>
      <c r="L36" s="151"/>
      <c r="M36" s="151"/>
      <c r="N36" s="151"/>
      <c r="O36" s="151"/>
      <c r="P36" s="151"/>
      <c r="Q36" s="151"/>
    </row>
    <row r="37" spans="2:18" ht="15.6">
      <c r="B37" s="120" t="s">
        <v>267</v>
      </c>
      <c r="E37" s="141">
        <f>+_xlfn.XLOOKUP($B37,Inputs!$B:$B,Inputs!O:O)</f>
        <v>32688</v>
      </c>
      <c r="F37" s="141">
        <f>+_xlfn.XLOOKUP($B37,Inputs!$B:$B,Inputs!P:P)</f>
        <v>34300</v>
      </c>
      <c r="G37" s="259">
        <f>+_xlfn.XLOOKUP($B37,Inputs!$B:$B,Inputs!Q:Q)</f>
        <v>35552</v>
      </c>
      <c r="H37" s="148">
        <f>+H31-H34</f>
        <v>36518.711539164156</v>
      </c>
      <c r="I37" s="148">
        <f t="shared" ref="I37:Q37" si="13">+I31-I34</f>
        <v>38066.904269524064</v>
      </c>
      <c r="J37" s="148">
        <f t="shared" si="13"/>
        <v>39912.738763583773</v>
      </c>
      <c r="K37" s="148">
        <f t="shared" si="13"/>
        <v>42913.229637693985</v>
      </c>
      <c r="L37" s="148">
        <f t="shared" si="13"/>
        <v>45604.384426916113</v>
      </c>
      <c r="M37" s="148">
        <f t="shared" si="13"/>
        <v>48194.794092099117</v>
      </c>
      <c r="N37" s="148">
        <f t="shared" si="13"/>
        <v>51685.439740008289</v>
      </c>
      <c r="O37" s="148">
        <f t="shared" si="13"/>
        <v>54850.111761220607</v>
      </c>
      <c r="P37" s="148">
        <f t="shared" si="13"/>
        <v>57849.641722148423</v>
      </c>
      <c r="Q37" s="148">
        <f t="shared" si="13"/>
        <v>61440.175125077119</v>
      </c>
    </row>
    <row r="38" spans="2:18" s="267" customFormat="1" ht="14.45">
      <c r="B38" s="267" t="s">
        <v>43</v>
      </c>
      <c r="E38" s="269">
        <f t="shared" ref="E38:Q38" si="14">IFERROR(E37/E$31,"")</f>
        <v>0.54002973732033699</v>
      </c>
      <c r="F38" s="269">
        <f t="shared" si="14"/>
        <v>0.55447785321694143</v>
      </c>
      <c r="G38" s="273">
        <f t="shared" si="14"/>
        <v>0.56653865153857186</v>
      </c>
      <c r="H38" s="269">
        <f t="shared" si="14"/>
        <v>0.55388099555916037</v>
      </c>
      <c r="I38" s="269">
        <f t="shared" si="14"/>
        <v>0.55278492442325333</v>
      </c>
      <c r="J38" s="269">
        <f t="shared" si="14"/>
        <v>0.5535424324116528</v>
      </c>
      <c r="K38" s="269">
        <f t="shared" si="14"/>
        <v>0.55624497142991591</v>
      </c>
      <c r="L38" s="269">
        <f t="shared" si="14"/>
        <v>0.55659839507251085</v>
      </c>
      <c r="M38" s="269">
        <f t="shared" si="14"/>
        <v>0.55461034377929863</v>
      </c>
      <c r="N38" s="269">
        <f t="shared" si="14"/>
        <v>0.55475621342332626</v>
      </c>
      <c r="O38" s="269">
        <f t="shared" si="14"/>
        <v>0.55515047122334094</v>
      </c>
      <c r="P38" s="269">
        <f t="shared" si="14"/>
        <v>0.55547207898567863</v>
      </c>
      <c r="Q38" s="269">
        <f t="shared" si="14"/>
        <v>0.55531750049683104</v>
      </c>
    </row>
    <row r="39" spans="2:18" ht="3.75" customHeight="1">
      <c r="G39" s="149"/>
      <c r="H39" s="125"/>
      <c r="I39" s="125"/>
      <c r="J39" s="125"/>
      <c r="K39" s="125"/>
      <c r="L39" s="125"/>
      <c r="O39" s="125"/>
      <c r="P39" s="125"/>
      <c r="Q39" s="125"/>
    </row>
    <row r="40" spans="2:18" ht="14.25" customHeight="1">
      <c r="B40" s="266" t="s">
        <v>458</v>
      </c>
      <c r="E40" s="141">
        <f>+_xlfn.XLOOKUP($B40,Inputs!$B:$B,Inputs!O:O)</f>
        <v>18609</v>
      </c>
      <c r="F40" s="141">
        <f>+_xlfn.XLOOKUP($B40,Inputs!$B:$B,Inputs!P:P)</f>
        <v>19003</v>
      </c>
      <c r="G40" s="259">
        <f>+_xlfn.XLOOKUP($B40,Inputs!$B:$B,Inputs!Q:Q)</f>
        <v>19688</v>
      </c>
      <c r="H40" s="148">
        <f>IFERROR(G40*(1+H32),"")</f>
        <v>20685.503198751179</v>
      </c>
      <c r="I40" s="148">
        <f t="shared" ref="I40:Q40" si="15">IFERROR(H40*(1+I32),"")</f>
        <v>21605.209279268322</v>
      </c>
      <c r="J40" s="148">
        <f t="shared" si="15"/>
        <v>22621.829234532968</v>
      </c>
      <c r="K40" s="148">
        <f t="shared" si="15"/>
        <v>24204.282363571765</v>
      </c>
      <c r="L40" s="148">
        <f t="shared" si="15"/>
        <v>25705.837402897669</v>
      </c>
      <c r="M40" s="148">
        <f t="shared" si="15"/>
        <v>27263.353325639517</v>
      </c>
      <c r="N40" s="148">
        <f t="shared" si="15"/>
        <v>29230.291635693371</v>
      </c>
      <c r="O40" s="148">
        <f t="shared" si="15"/>
        <v>30998.016991211942</v>
      </c>
      <c r="P40" s="148">
        <f t="shared" si="15"/>
        <v>32674.243986404708</v>
      </c>
      <c r="Q40" s="148">
        <f t="shared" si="15"/>
        <v>34711.884547277456</v>
      </c>
    </row>
    <row r="41" spans="2:18" s="267" customFormat="1" ht="14.45">
      <c r="B41" s="276" t="s">
        <v>45</v>
      </c>
      <c r="E41" s="269">
        <f>IFERROR(E40/E$31,"")</f>
        <v>0.30743433008425575</v>
      </c>
      <c r="F41" s="269">
        <f>IFERROR(F40/F$31,"")</f>
        <v>0.30719366311024893</v>
      </c>
      <c r="G41" s="274">
        <f>IFERROR(G40/G$31,"")</f>
        <v>0.31373798862205793</v>
      </c>
      <c r="H41" s="294">
        <f>IFERROR(AVERAGE(E41:G41),"")</f>
        <v>0.30945532727218755</v>
      </c>
      <c r="I41" s="294">
        <f t="shared" ref="I41:Q41" si="16">IFERROR(AVERAGE(F41:H41),"")</f>
        <v>0.31012899300149815</v>
      </c>
      <c r="J41" s="294">
        <f t="shared" si="16"/>
        <v>0.31110743629858123</v>
      </c>
      <c r="K41" s="294">
        <f t="shared" si="16"/>
        <v>0.310230585524089</v>
      </c>
      <c r="L41" s="294">
        <f t="shared" si="16"/>
        <v>0.31048900494138948</v>
      </c>
      <c r="M41" s="294">
        <f t="shared" si="16"/>
        <v>0.31060900892135329</v>
      </c>
      <c r="N41" s="294">
        <f t="shared" si="16"/>
        <v>0.31044286646227731</v>
      </c>
      <c r="O41" s="294">
        <f t="shared" si="16"/>
        <v>0.31051362677500666</v>
      </c>
      <c r="P41" s="294">
        <f t="shared" si="16"/>
        <v>0.31052183405287909</v>
      </c>
      <c r="Q41" s="294">
        <f t="shared" si="16"/>
        <v>0.31049277576338769</v>
      </c>
    </row>
    <row r="42" spans="2:18" ht="3.75" customHeight="1">
      <c r="B42" s="143"/>
      <c r="E42" s="145"/>
      <c r="F42" s="145"/>
      <c r="G42" s="146"/>
      <c r="H42" s="144"/>
      <c r="I42" s="144"/>
      <c r="J42" s="144"/>
      <c r="K42" s="144"/>
      <c r="L42" s="144"/>
      <c r="O42" s="125"/>
      <c r="P42" s="125"/>
      <c r="Q42" s="125"/>
    </row>
    <row r="43" spans="2:18" ht="15.6">
      <c r="B43" s="266" t="s">
        <v>274</v>
      </c>
      <c r="E43" s="141">
        <f>+_xlfn.XLOOKUP($B43,Inputs!$B:$B,Inputs!O:O)</f>
        <v>6567</v>
      </c>
      <c r="F43" s="141">
        <f>+_xlfn.XLOOKUP($B43,Inputs!$B:$B,Inputs!P:P)</f>
        <v>6775</v>
      </c>
      <c r="G43" s="259">
        <f>+_xlfn.XLOOKUP($B43,Inputs!$B:$B,Inputs!Q:Q)</f>
        <v>7479</v>
      </c>
      <c r="H43" s="148">
        <f t="shared" ref="H43:Q43" si="17">H44*H$31</f>
        <v>7911.8897738596052</v>
      </c>
      <c r="I43" s="148">
        <f t="shared" si="17"/>
        <v>8263.6633354444821</v>
      </c>
      <c r="J43" s="148">
        <f t="shared" si="17"/>
        <v>8652.5049773749324</v>
      </c>
      <c r="K43" s="148">
        <f t="shared" si="17"/>
        <v>8679.1586121311011</v>
      </c>
      <c r="L43" s="148">
        <f t="shared" si="17"/>
        <v>9422.4206457011533</v>
      </c>
      <c r="M43" s="148">
        <f t="shared" si="17"/>
        <v>9776.078640031179</v>
      </c>
      <c r="N43" s="148">
        <f t="shared" si="17"/>
        <v>10248.462718997016</v>
      </c>
      <c r="O43" s="148">
        <f t="shared" si="17"/>
        <v>10621.241122857766</v>
      </c>
      <c r="P43" s="148">
        <f t="shared" si="17"/>
        <v>10935.225388677352</v>
      </c>
      <c r="Q43" s="148">
        <f t="shared" si="17"/>
        <v>11340.571735423529</v>
      </c>
    </row>
    <row r="44" spans="2:18" s="267" customFormat="1" ht="14.45">
      <c r="B44" s="276" t="s">
        <v>457</v>
      </c>
      <c r="E44" s="269">
        <f>IFERROR(E43/E31,"")</f>
        <v>0.10849165702957211</v>
      </c>
      <c r="F44" s="269">
        <f>IFERROR(F43/F31,"")</f>
        <v>0.10952150016165535</v>
      </c>
      <c r="G44" s="274">
        <f>IFERROR(G43/G31,"")</f>
        <v>0.11918155307315985</v>
      </c>
      <c r="H44" s="294">
        <v>0.12</v>
      </c>
      <c r="I44" s="294">
        <v>0.12</v>
      </c>
      <c r="J44" s="294">
        <v>0.12</v>
      </c>
      <c r="K44" s="294">
        <v>0.1125</v>
      </c>
      <c r="L44" s="294">
        <v>0.115</v>
      </c>
      <c r="M44" s="294">
        <v>0.1125</v>
      </c>
      <c r="N44" s="294">
        <v>0.11</v>
      </c>
      <c r="O44" s="294">
        <v>0.1075</v>
      </c>
      <c r="P44" s="294">
        <v>0.105</v>
      </c>
      <c r="Q44" s="294">
        <v>0.10249999999999999</v>
      </c>
    </row>
    <row r="45" spans="2:18" s="234" customFormat="1" ht="5.25" customHeight="1">
      <c r="B45" s="260"/>
      <c r="E45" s="261"/>
      <c r="F45" s="261"/>
      <c r="G45" s="262"/>
      <c r="H45" s="263"/>
      <c r="I45" s="263"/>
      <c r="J45" s="263"/>
      <c r="K45" s="263"/>
      <c r="L45" s="263"/>
      <c r="O45" s="264"/>
      <c r="P45" s="264"/>
      <c r="Q45" s="264"/>
    </row>
    <row r="46" spans="2:18" ht="15.6">
      <c r="B46" s="479" t="s">
        <v>459</v>
      </c>
      <c r="E46" s="141">
        <f>+_xlfn.XLOOKUP($B46,Inputs!$B:$B,Inputs!O:O)</f>
        <v>-663</v>
      </c>
      <c r="F46" s="141">
        <f>+_xlfn.XLOOKUP($B46,Inputs!$B:$B,Inputs!P:P)</f>
        <v>-860</v>
      </c>
      <c r="G46" s="259">
        <f>+_xlfn.XLOOKUP($B46,Inputs!$B:$B,Inputs!Q:Q)</f>
        <v>-996</v>
      </c>
      <c r="H46" s="148">
        <f>IFERROR(AVERAGE(E46:G46)*(1+H32),"")</f>
        <v>-882.20883376767938</v>
      </c>
      <c r="I46" s="148">
        <f t="shared" ref="I46:Q46" si="18">IFERROR(AVERAGE(F46:H46)*(1+I32),"")</f>
        <v>-953.31779516428901</v>
      </c>
      <c r="J46" s="148">
        <f t="shared" si="18"/>
        <v>-988.25412959080938</v>
      </c>
      <c r="K46" s="148">
        <f t="shared" si="18"/>
        <v>-1007.1037448461703</v>
      </c>
      <c r="L46" s="148">
        <f t="shared" si="18"/>
        <v>-1043.8673093475579</v>
      </c>
      <c r="M46" s="148">
        <f t="shared" si="18"/>
        <v>-1074.457249054765</v>
      </c>
      <c r="N46" s="148">
        <f t="shared" si="18"/>
        <v>-1116.9716811087446</v>
      </c>
      <c r="O46" s="148">
        <f t="shared" si="18"/>
        <v>-1143.651125732707</v>
      </c>
      <c r="P46" s="148">
        <f t="shared" si="18"/>
        <v>-1171.8085008624798</v>
      </c>
      <c r="Q46" s="148">
        <f t="shared" si="18"/>
        <v>-1215.49519063654</v>
      </c>
    </row>
    <row r="47" spans="2:18" ht="5.25" customHeight="1">
      <c r="B47" s="189"/>
      <c r="E47" s="141"/>
      <c r="F47" s="141"/>
      <c r="G47" s="259"/>
      <c r="H47" s="151"/>
      <c r="I47" s="151"/>
      <c r="J47" s="151"/>
      <c r="K47" s="151"/>
      <c r="L47" s="151"/>
      <c r="O47" s="150"/>
      <c r="P47" s="150"/>
      <c r="Q47" s="150"/>
    </row>
    <row r="48" spans="2:18" ht="15.6">
      <c r="B48" s="189" t="s">
        <v>211</v>
      </c>
      <c r="E48" s="141">
        <f>+_xlfn.XLOOKUP($B48,Inputs!$B:$B,Inputs!O:O)</f>
        <v>12977</v>
      </c>
      <c r="F48" s="141">
        <f>+_xlfn.XLOOKUP($B48,Inputs!$B:$B,Inputs!P:P)</f>
        <v>13778</v>
      </c>
      <c r="G48" s="259">
        <f>+_xlfn.XLOOKUP($B48,Inputs!$B:$B,Inputs!Q:Q)</f>
        <v>14048</v>
      </c>
      <c r="H48" s="148">
        <f t="shared" ref="H48:Q48" si="19">H60+H51</f>
        <v>13528.43561765057</v>
      </c>
      <c r="I48" s="148">
        <f t="shared" si="19"/>
        <v>14102.812803786705</v>
      </c>
      <c r="J48" s="148">
        <f t="shared" si="19"/>
        <v>14870.052120760341</v>
      </c>
      <c r="K48" s="148">
        <f t="shared" si="19"/>
        <v>16564.63479627535</v>
      </c>
      <c r="L48" s="148">
        <f t="shared" si="19"/>
        <v>17361.685053147776</v>
      </c>
      <c r="M48" s="148">
        <f t="shared" si="19"/>
        <v>18399.866281720741</v>
      </c>
      <c r="N48" s="148">
        <f t="shared" si="19"/>
        <v>19816.695590564599</v>
      </c>
      <c r="O48" s="148">
        <f t="shared" si="19"/>
        <v>21002.481170233692</v>
      </c>
      <c r="P48" s="148">
        <f t="shared" si="19"/>
        <v>22251.669042263769</v>
      </c>
      <c r="Q48" s="148">
        <f t="shared" si="19"/>
        <v>23648.905179744408</v>
      </c>
      <c r="R48" s="159"/>
    </row>
    <row r="49" spans="2:17" s="267" customFormat="1" ht="14.45">
      <c r="B49" s="267" t="s">
        <v>41</v>
      </c>
      <c r="E49" s="269">
        <f t="shared" ref="E49:Q49" si="20">IFERROR(E48/E$31,"")</f>
        <v>0.21438955889641501</v>
      </c>
      <c r="F49" s="269">
        <f t="shared" si="20"/>
        <v>0.22272874232137083</v>
      </c>
      <c r="G49" s="273">
        <f t="shared" si="20"/>
        <v>0.2238618074036301</v>
      </c>
      <c r="H49" s="269">
        <f t="shared" si="20"/>
        <v>0.20518641190903875</v>
      </c>
      <c r="I49" s="269">
        <f t="shared" si="20"/>
        <v>0.20479265281726022</v>
      </c>
      <c r="J49" s="269">
        <f t="shared" si="20"/>
        <v>0.2062300176835736</v>
      </c>
      <c r="K49" s="269">
        <f t="shared" si="20"/>
        <v>0.21471222014266236</v>
      </c>
      <c r="L49" s="269">
        <f t="shared" si="20"/>
        <v>0.21189817947927345</v>
      </c>
      <c r="M49" s="269">
        <f t="shared" si="20"/>
        <v>0.21173980211425361</v>
      </c>
      <c r="N49" s="269">
        <f t="shared" si="20"/>
        <v>0.21269887735664605</v>
      </c>
      <c r="O49" s="269">
        <f t="shared" si="20"/>
        <v>0.21257089446366359</v>
      </c>
      <c r="P49" s="269">
        <f t="shared" si="20"/>
        <v>0.21366045658801855</v>
      </c>
      <c r="Q49" s="269">
        <f t="shared" si="20"/>
        <v>0.21374696421628636</v>
      </c>
    </row>
    <row r="50" spans="2:17" ht="3.75" customHeight="1">
      <c r="B50" s="143"/>
      <c r="E50" s="145"/>
      <c r="F50" s="145"/>
      <c r="G50" s="153"/>
      <c r="H50" s="145"/>
      <c r="I50" s="145"/>
      <c r="J50" s="145"/>
      <c r="K50" s="145"/>
      <c r="L50" s="145"/>
      <c r="O50" s="150"/>
      <c r="P50" s="150"/>
      <c r="Q50" s="150"/>
    </row>
    <row r="51" spans="2:17" ht="13.5" customHeight="1">
      <c r="B51" s="266" t="s">
        <v>460</v>
      </c>
      <c r="E51" s="141">
        <f>+_xlfn.XLOOKUP($B51,Inputs!$B:$B,Inputs!O:O)</f>
        <v>4802</v>
      </c>
      <c r="F51" s="141">
        <f>+_xlfn.XLOOKUP($B51,Inputs!$B:$B,Inputs!P:P)</f>
        <v>4396</v>
      </c>
      <c r="G51" s="259">
        <f>+_xlfn.XLOOKUP($B51,Inputs!$B:$B,Inputs!Q:Q)</f>
        <v>4667</v>
      </c>
      <c r="H51" s="165">
        <f>+IFERROR(H54+H57,"")</f>
        <v>4724.9082173295192</v>
      </c>
      <c r="I51" s="165">
        <f t="shared" ref="I51:Q51" si="21">+IFERROR(I54+I57,"")</f>
        <v>4951.4633538111557</v>
      </c>
      <c r="J51" s="165">
        <f t="shared" si="21"/>
        <v>5243.3934394936596</v>
      </c>
      <c r="K51" s="165">
        <f t="shared" si="21"/>
        <v>5527.7423894380627</v>
      </c>
      <c r="L51" s="165">
        <f t="shared" si="21"/>
        <v>5841.6913654829295</v>
      </c>
      <c r="M51" s="165">
        <f t="shared" si="21"/>
        <v>6170.046906237555</v>
      </c>
      <c r="N51" s="165">
        <f t="shared" si="21"/>
        <v>6493.0385241379518</v>
      </c>
      <c r="O51" s="165">
        <f t="shared" si="21"/>
        <v>6627.9763973500858</v>
      </c>
      <c r="P51" s="165">
        <f t="shared" si="21"/>
        <v>6839.688194334929</v>
      </c>
      <c r="Q51" s="165">
        <f t="shared" si="21"/>
        <v>7045.6911467317341</v>
      </c>
    </row>
    <row r="52" spans="2:17" ht="13.5" customHeight="1">
      <c r="B52" s="276" t="s">
        <v>461</v>
      </c>
      <c r="E52" s="286">
        <f>IFERROR(E51/AVERAGE(Inputs!O39+Inputs!O42+Inputs!O44,Inputs!N39+Inputs!N42+Inputs!N44),"")</f>
        <v>7.4610980337318694E-2</v>
      </c>
      <c r="F52" s="286">
        <f>IFERROR(F51/AVERAGE(Inputs!P39+Inputs!P42+Inputs!P44,Inputs!O39+Inputs!O42+Inputs!O44),"")</f>
        <v>6.60754546820983E-2</v>
      </c>
      <c r="G52" s="273">
        <f>IFERROR(G51/AVERAGE(Inputs!Q39+Inputs!Q42+Inputs!Q44,Inputs!P39+Inputs!P42+Inputs!P44),"")</f>
        <v>6.7376961612311784E-2</v>
      </c>
      <c r="H52" s="145">
        <f>IFERROR(H51/(G100+G106),"")</f>
        <v>0.24120211431566282</v>
      </c>
      <c r="I52" s="145">
        <f t="shared" ref="I52:Q52" si="22">IFERROR(I51/(H100+H106),"")</f>
        <v>0.24252877144820489</v>
      </c>
      <c r="J52" s="145">
        <f t="shared" si="22"/>
        <v>0.2540387823054861</v>
      </c>
      <c r="K52" s="145">
        <f t="shared" si="22"/>
        <v>0.26482437896279254</v>
      </c>
      <c r="L52" s="145">
        <f t="shared" si="22"/>
        <v>0.27599672465491681</v>
      </c>
      <c r="M52" s="145">
        <f t="shared" si="22"/>
        <v>0.28667411590520014</v>
      </c>
      <c r="N52" s="145">
        <f t="shared" si="22"/>
        <v>0.29510769749474158</v>
      </c>
      <c r="O52" s="145">
        <f t="shared" si="22"/>
        <v>0.29767048491688686</v>
      </c>
      <c r="P52" s="145">
        <f t="shared" si="22"/>
        <v>0.30044690293613496</v>
      </c>
      <c r="Q52" s="145">
        <f t="shared" si="22"/>
        <v>0.30145539515549302</v>
      </c>
    </row>
    <row r="53" spans="2:17" ht="5.25" customHeight="1">
      <c r="B53" s="143"/>
      <c r="E53" s="145"/>
      <c r="F53" s="145"/>
      <c r="G53" s="153"/>
      <c r="H53" s="145"/>
      <c r="I53" s="145"/>
      <c r="J53" s="145"/>
      <c r="K53" s="145"/>
      <c r="L53" s="145"/>
      <c r="O53" s="150"/>
      <c r="P53" s="150"/>
      <c r="Q53" s="150"/>
    </row>
    <row r="54" spans="2:17" s="143" customFormat="1" ht="15.6">
      <c r="B54" s="289" t="s">
        <v>462</v>
      </c>
      <c r="E54" s="290">
        <f>+_xlfn.XLOOKUP($B54,Inputs!$B:$B,Inputs!O:O)</f>
        <v>2407</v>
      </c>
      <c r="F54" s="290">
        <f>+_xlfn.XLOOKUP($B54,Inputs!$B:$B,Inputs!P:P)</f>
        <v>2109</v>
      </c>
      <c r="G54" s="291">
        <f>+_xlfn.XLOOKUP($B54,Inputs!$B:$B,Inputs!Q:Q)</f>
        <v>2168</v>
      </c>
      <c r="H54" s="292">
        <f>IFERROR(H55*(G101+G102),"")</f>
        <v>2146.0815078883261</v>
      </c>
      <c r="I54" s="292">
        <f t="shared" ref="I54:Q54" si="23">IFERROR(I55*(H101+H102),"")</f>
        <v>2220.9301659054363</v>
      </c>
      <c r="J54" s="292">
        <f t="shared" si="23"/>
        <v>2342.4265503172587</v>
      </c>
      <c r="K54" s="292">
        <f t="shared" si="23"/>
        <v>2423.1111200157115</v>
      </c>
      <c r="L54" s="292">
        <f t="shared" si="23"/>
        <v>2517.5605761245729</v>
      </c>
      <c r="M54" s="292">
        <f t="shared" si="23"/>
        <v>2616.5560641965326</v>
      </c>
      <c r="N54" s="292">
        <f t="shared" si="23"/>
        <v>2706.3802474152772</v>
      </c>
      <c r="O54" s="292">
        <f t="shared" si="23"/>
        <v>2801.7388631582221</v>
      </c>
      <c r="P54" s="292">
        <f t="shared" si="23"/>
        <v>2893.7790636678096</v>
      </c>
      <c r="Q54" s="292">
        <f t="shared" si="23"/>
        <v>2982.6666364673092</v>
      </c>
    </row>
    <row r="55" spans="2:17" s="267" customFormat="1" ht="14.45">
      <c r="B55" s="288" t="s">
        <v>463</v>
      </c>
      <c r="E55" s="286">
        <f>IFERROR(E54/AVERAGE(Inputs!O40+Inputs!O42,Inputs!N40+Inputs!N42),"")</f>
        <v>0.1072638146167558</v>
      </c>
      <c r="F55" s="286">
        <f>IFERROR(F54/AVERAGE(Inputs!P40+Inputs!P42,Inputs!O40+Inputs!O42),"")</f>
        <v>9.8287312128626361E-2</v>
      </c>
      <c r="G55" s="273">
        <f>IFERROR(G54/AVERAGE(Inputs!Q40+Inputs!Q42,Inputs!P40+Inputs!P42),"")</f>
        <v>0.1026758228747336</v>
      </c>
      <c r="H55" s="294">
        <f>IFERROR(AVERAGE(E55:G55),"")</f>
        <v>0.10274231654003858</v>
      </c>
      <c r="I55" s="294">
        <f t="shared" ref="I55:Q55" si="24">IFERROR(AVERAGE(F55:H55),"")</f>
        <v>0.10123515051446619</v>
      </c>
      <c r="J55" s="294">
        <f t="shared" si="24"/>
        <v>0.10221776330974612</v>
      </c>
      <c r="K55" s="294">
        <f t="shared" si="24"/>
        <v>0.10206507678808363</v>
      </c>
      <c r="L55" s="294">
        <f t="shared" si="24"/>
        <v>0.10183933020409865</v>
      </c>
      <c r="M55" s="294">
        <f t="shared" si="24"/>
        <v>0.10204072343397613</v>
      </c>
      <c r="N55" s="294">
        <f t="shared" si="24"/>
        <v>0.1019817101420528</v>
      </c>
      <c r="O55" s="294">
        <f t="shared" si="24"/>
        <v>0.10195392126004253</v>
      </c>
      <c r="P55" s="294">
        <f t="shared" si="24"/>
        <v>0.10199211827869049</v>
      </c>
      <c r="Q55" s="294">
        <f t="shared" si="24"/>
        <v>0.10197591656026195</v>
      </c>
    </row>
    <row r="56" spans="2:17" ht="3.75" customHeight="1">
      <c r="B56" s="143"/>
      <c r="E56" s="145"/>
      <c r="F56" s="145"/>
      <c r="G56" s="153"/>
      <c r="H56" s="151"/>
      <c r="I56" s="151"/>
      <c r="J56" s="151"/>
      <c r="K56" s="151"/>
      <c r="L56" s="151"/>
      <c r="M56" s="151"/>
      <c r="N56" s="151"/>
      <c r="O56" s="151"/>
      <c r="P56" s="151"/>
      <c r="Q56" s="151"/>
    </row>
    <row r="57" spans="2:17" s="143" customFormat="1" ht="15.6">
      <c r="B57" s="289" t="s">
        <v>464</v>
      </c>
      <c r="E57" s="290">
        <f>+_xlfn.XLOOKUP($B57,Inputs!$B:$B,Inputs!O:O)</f>
        <v>2395</v>
      </c>
      <c r="F57" s="290">
        <f>+_xlfn.XLOOKUP($B57,Inputs!$B:$B,Inputs!P:P)</f>
        <v>2287</v>
      </c>
      <c r="G57" s="291">
        <f>+_xlfn.XLOOKUP($B57,Inputs!$B:$B,Inputs!Q:Q)</f>
        <v>2499</v>
      </c>
      <c r="H57" s="165">
        <f t="shared" ref="H57:Q57" si="25">+H58*G106</f>
        <v>2578.8267094411931</v>
      </c>
      <c r="I57" s="165">
        <f t="shared" si="25"/>
        <v>2730.5331879057194</v>
      </c>
      <c r="J57" s="165">
        <f t="shared" si="25"/>
        <v>2900.9668891764009</v>
      </c>
      <c r="K57" s="165">
        <f t="shared" si="25"/>
        <v>3104.6312694223507</v>
      </c>
      <c r="L57" s="165">
        <f t="shared" si="25"/>
        <v>3324.1307893583567</v>
      </c>
      <c r="M57" s="165">
        <f t="shared" si="25"/>
        <v>3553.4908420410225</v>
      </c>
      <c r="N57" s="165">
        <f t="shared" si="25"/>
        <v>3786.6582767226751</v>
      </c>
      <c r="O57" s="165">
        <f t="shared" si="25"/>
        <v>3826.2375341918637</v>
      </c>
      <c r="P57" s="165">
        <f t="shared" si="25"/>
        <v>3945.9091306671198</v>
      </c>
      <c r="Q57" s="165">
        <f t="shared" si="25"/>
        <v>4063.0245102644249</v>
      </c>
    </row>
    <row r="58" spans="2:17" s="267" customFormat="1" ht="14.45">
      <c r="B58" s="288" t="s">
        <v>465</v>
      </c>
      <c r="E58" s="269">
        <f>IFERROR(E57/AVERAGE(Inputs!N45:O45),"")</f>
        <v>0.20215235281705002</v>
      </c>
      <c r="F58" s="269">
        <f>IFERROR(F57/AVERAGE(Inputs!O45:P45),"")</f>
        <v>0.20585058505850584</v>
      </c>
      <c r="G58" s="273">
        <f>IFERROR(G57/AVERAGE(Inputs!P45:Q45),"")</f>
        <v>0.23036504424778761</v>
      </c>
      <c r="H58" s="294">
        <f>Inputs!H187/G106</f>
        <v>0.24191620163613445</v>
      </c>
      <c r="I58" s="294">
        <f>Inputs!I187/H106</f>
        <v>0.23871443619647456</v>
      </c>
      <c r="J58" s="294">
        <f>Inputs!J187/I106</f>
        <v>0.2613955495627619</v>
      </c>
      <c r="K58" s="294">
        <f>Inputs!K187/J106</f>
        <v>0.28404654671998225</v>
      </c>
      <c r="L58" s="294">
        <f>Inputs!L187/K106</f>
        <v>0.30720891421454982</v>
      </c>
      <c r="M58" s="294">
        <f>Inputs!M187/L106</f>
        <v>0.33271520876691896</v>
      </c>
      <c r="N58" s="294">
        <f>Inputs!N187/M106</f>
        <v>0.35357255829655981</v>
      </c>
      <c r="O58" s="294">
        <f>Inputs!O187/N106</f>
        <v>0.36525427035480224</v>
      </c>
      <c r="P58" s="294">
        <f>Inputs!P187/O106</f>
        <v>0.37617231560172754</v>
      </c>
      <c r="Q58" s="294">
        <f>Inputs!Q187/P106</f>
        <v>0.38186489016890873</v>
      </c>
    </row>
    <row r="59" spans="2:17" ht="3.95" customHeight="1">
      <c r="G59" s="149"/>
    </row>
    <row r="60" spans="2:17" ht="15.6">
      <c r="B60" s="120" t="s">
        <v>268</v>
      </c>
      <c r="E60" s="141">
        <f>+_xlfn.XLOOKUP($B60,Inputs!$B:$B,Inputs!O:O)</f>
        <v>8175</v>
      </c>
      <c r="F60" s="141">
        <f>+_xlfn.XLOOKUP($B60,Inputs!$B:$B,Inputs!P:P)</f>
        <v>9382</v>
      </c>
      <c r="G60" s="259">
        <f>+_xlfn.XLOOKUP($B60,Inputs!$B:$B,Inputs!Q:Q)</f>
        <v>9381</v>
      </c>
      <c r="H60" s="152">
        <f t="shared" ref="H60:Q60" si="26">H37-H40-H43-H46</f>
        <v>8803.5274003210507</v>
      </c>
      <c r="I60" s="152">
        <f t="shared" si="26"/>
        <v>9151.3494499755489</v>
      </c>
      <c r="J60" s="152">
        <f t="shared" si="26"/>
        <v>9626.658681266681</v>
      </c>
      <c r="K60" s="152">
        <f t="shared" si="26"/>
        <v>11036.892406837289</v>
      </c>
      <c r="L60" s="152">
        <f t="shared" si="26"/>
        <v>11519.993687664848</v>
      </c>
      <c r="M60" s="152">
        <f t="shared" si="26"/>
        <v>12229.819375483186</v>
      </c>
      <c r="N60" s="152">
        <f t="shared" si="26"/>
        <v>13323.657066426647</v>
      </c>
      <c r="O60" s="152">
        <f t="shared" si="26"/>
        <v>14374.504772883607</v>
      </c>
      <c r="P60" s="152">
        <f t="shared" si="26"/>
        <v>15411.980847928842</v>
      </c>
      <c r="Q60" s="152">
        <f t="shared" si="26"/>
        <v>16603.214033012675</v>
      </c>
    </row>
    <row r="61" spans="2:17" s="277" customFormat="1" ht="14.45">
      <c r="B61" s="267" t="s">
        <v>222</v>
      </c>
      <c r="E61" s="269">
        <f>IFERROR(E60/E$31,"")</f>
        <v>0.13505699653064596</v>
      </c>
      <c r="F61" s="269">
        <f>IFERROR(F60/F$31,"")</f>
        <v>0.15166505011315876</v>
      </c>
      <c r="G61" s="273">
        <f>IFERROR(G60/G$31,"")</f>
        <v>0.14949086099469347</v>
      </c>
      <c r="H61" s="269">
        <f t="shared" ref="H61:Q61" si="27">IFERROR(H60/H31,"")</f>
        <v>0.13352350933008234</v>
      </c>
      <c r="I61" s="269">
        <f t="shared" si="27"/>
        <v>0.13289044935880104</v>
      </c>
      <c r="J61" s="269">
        <f t="shared" si="27"/>
        <v>0.13351035853463045</v>
      </c>
      <c r="K61" s="269">
        <f t="shared" si="27"/>
        <v>0.14306114812024587</v>
      </c>
      <c r="L61" s="269">
        <f t="shared" si="27"/>
        <v>0.14060073561732556</v>
      </c>
      <c r="M61" s="269">
        <f t="shared" si="27"/>
        <v>0.14073686704073715</v>
      </c>
      <c r="N61" s="269">
        <f t="shared" si="27"/>
        <v>0.14300703602992321</v>
      </c>
      <c r="O61" s="269">
        <f t="shared" si="27"/>
        <v>0.14548763606914689</v>
      </c>
      <c r="P61" s="269">
        <f t="shared" si="27"/>
        <v>0.14798579192598255</v>
      </c>
      <c r="Q61" s="269">
        <f t="shared" si="27"/>
        <v>0.1500655767705209</v>
      </c>
    </row>
    <row r="62" spans="2:17" customFormat="1" ht="3.75" customHeight="1">
      <c r="B62" s="120"/>
      <c r="E62" s="269"/>
      <c r="F62" s="269"/>
      <c r="G62" s="274"/>
      <c r="H62" s="101"/>
      <c r="I62" s="101"/>
      <c r="J62" s="101"/>
      <c r="K62" s="101"/>
      <c r="L62" s="101"/>
      <c r="M62" s="101"/>
      <c r="N62" s="101"/>
      <c r="O62" s="101"/>
      <c r="P62" s="101"/>
      <c r="Q62" s="101"/>
    </row>
    <row r="63" spans="2:17" customFormat="1" ht="13.5" customHeight="1">
      <c r="B63" s="266" t="s">
        <v>269</v>
      </c>
      <c r="E63" s="141">
        <f>+_xlfn.XLOOKUP($B63,Inputs!$B:$B,Inputs!O:O)</f>
        <v>1216</v>
      </c>
      <c r="F63" s="141">
        <f>+_xlfn.XLOOKUP($B63,Inputs!$B:$B,Inputs!P:P)</f>
        <v>1607</v>
      </c>
      <c r="G63" s="259">
        <f>+_xlfn.XLOOKUP($B63,Inputs!$B:$B,Inputs!Q:Q)</f>
        <v>1712</v>
      </c>
      <c r="H63" s="152">
        <f>-H66-H69</f>
        <v>-1717.0573826929183</v>
      </c>
      <c r="I63" s="152">
        <f t="shared" ref="I63:Q63" si="28">-I66-I69</f>
        <v>-1813.2964300219414</v>
      </c>
      <c r="J63" s="152">
        <f t="shared" si="28"/>
        <v>-1871.0807421695504</v>
      </c>
      <c r="K63" s="152">
        <f t="shared" si="28"/>
        <v>-1948.071691396713</v>
      </c>
      <c r="L63" s="152">
        <f t="shared" si="28"/>
        <v>-2036.9657366074314</v>
      </c>
      <c r="M63" s="152">
        <f t="shared" si="28"/>
        <v>-2121.1619456848903</v>
      </c>
      <c r="N63" s="152">
        <f t="shared" si="28"/>
        <v>-2202.6337418755552</v>
      </c>
      <c r="O63" s="152">
        <f t="shared" si="28"/>
        <v>-2291.0371001953426</v>
      </c>
      <c r="P63" s="152">
        <f t="shared" si="28"/>
        <v>-2382.8586869121164</v>
      </c>
      <c r="Q63" s="152">
        <f t="shared" si="28"/>
        <v>-2476.6229483055099</v>
      </c>
    </row>
    <row r="64" spans="2:17" customFormat="1" ht="13.5" customHeight="1">
      <c r="B64" s="288" t="s">
        <v>466</v>
      </c>
      <c r="E64" s="286">
        <f>IFERROR(E63/AVERAGE(Inputs!N117:O117),"")</f>
        <v>2.5815491417835193E-2</v>
      </c>
      <c r="F64" s="286">
        <f>IFERROR(F63/AVERAGE(Inputs!O117:P117),"")</f>
        <v>3.4739185888151496E-2</v>
      </c>
      <c r="G64" s="273">
        <f>IFERROR(G63/AVERAGE(Inputs!P117:Q117),"")</f>
        <v>3.7918470857927551E-2</v>
      </c>
      <c r="H64" s="286">
        <f>IFERROR(H63/AVERAGE(G117+G119,H117+H119),"")</f>
        <v>-2.8570815056995082E-2</v>
      </c>
      <c r="I64" s="286">
        <f t="shared" ref="I64:Q64" si="29">IFERROR(I63/AVERAGE(H117+H119,I117+I119),"")</f>
        <v>-2.8753298444656451E-2</v>
      </c>
      <c r="J64" s="286">
        <f t="shared" si="29"/>
        <v>-2.8662056750825768E-2</v>
      </c>
      <c r="K64" s="286">
        <f t="shared" si="29"/>
        <v>-2.8707677597741108E-2</v>
      </c>
      <c r="L64" s="286">
        <f t="shared" si="29"/>
        <v>-2.8684867174283438E-2</v>
      </c>
      <c r="M64" s="286">
        <f t="shared" si="29"/>
        <v>-2.8696272386012269E-2</v>
      </c>
      <c r="N64" s="286">
        <f t="shared" si="29"/>
        <v>-2.8690569780147855E-2</v>
      </c>
      <c r="O64" s="286">
        <f t="shared" si="29"/>
        <v>-2.869342108308006E-2</v>
      </c>
      <c r="P64" s="286">
        <f t="shared" si="29"/>
        <v>-2.8691995431613961E-2</v>
      </c>
      <c r="Q64" s="286">
        <f t="shared" si="29"/>
        <v>-2.8692708257347009E-2</v>
      </c>
    </row>
    <row r="65" spans="2:17" customFormat="1" ht="3.75" customHeight="1">
      <c r="B65" s="120"/>
      <c r="E65" s="269"/>
      <c r="F65" s="269"/>
      <c r="G65" s="273"/>
      <c r="H65" s="101"/>
      <c r="I65" s="101"/>
      <c r="J65" s="101"/>
      <c r="K65" s="101"/>
      <c r="L65" s="101"/>
      <c r="M65" s="101"/>
      <c r="N65" s="101"/>
      <c r="O65" s="101"/>
      <c r="P65" s="101"/>
      <c r="Q65" s="101"/>
    </row>
    <row r="66" spans="2:17" customFormat="1" ht="15.6">
      <c r="B66" s="287" t="s">
        <v>467</v>
      </c>
      <c r="E66" s="141">
        <f>+_xlfn.XLOOKUP($B66,Inputs!$B:$B,Inputs!O:O)</f>
        <v>1216</v>
      </c>
      <c r="F66" s="141">
        <f>+_xlfn.XLOOKUP($B66,Inputs!$B:$B,Inputs!P:P)</f>
        <v>1607</v>
      </c>
      <c r="G66" s="259">
        <f>+_xlfn.XLOOKUP($B66,Inputs!$B:$B,Inputs!Q:Q)</f>
        <v>1712</v>
      </c>
      <c r="H66" s="152">
        <f>H67*AVERAGE(Inputs!H229,Inputs!Q114)</f>
        <v>1717.0573826929183</v>
      </c>
      <c r="I66" s="152">
        <f>I67*AVERAGE(Inputs!I229,Inputs!H229)</f>
        <v>1813.2964300219414</v>
      </c>
      <c r="J66" s="152">
        <f>J67*AVERAGE(Inputs!J229,Inputs!I229)</f>
        <v>1871.0807421695504</v>
      </c>
      <c r="K66" s="152">
        <f>K67*AVERAGE(Inputs!K229,Inputs!J229)</f>
        <v>1948.071691396713</v>
      </c>
      <c r="L66" s="152">
        <f>L67*AVERAGE(Inputs!L229,Inputs!K229)</f>
        <v>2036.9657366074314</v>
      </c>
      <c r="M66" s="152">
        <f>M67*AVERAGE(Inputs!M229,Inputs!L229)</f>
        <v>2121.1619456848903</v>
      </c>
      <c r="N66" s="152">
        <f>N67*AVERAGE(Inputs!N229,Inputs!M229)</f>
        <v>2202.6337418755552</v>
      </c>
      <c r="O66" s="152">
        <f>O67*AVERAGE(Inputs!O229,Inputs!N229)</f>
        <v>2291.0371001953426</v>
      </c>
      <c r="P66" s="152">
        <f>P67*AVERAGE(Inputs!P229,Inputs!O229)</f>
        <v>2382.8586869121164</v>
      </c>
      <c r="Q66" s="152">
        <f>Q67*AVERAGE(Inputs!Q229,Inputs!P229)</f>
        <v>2476.6229483055099</v>
      </c>
    </row>
    <row r="67" spans="2:17" s="277" customFormat="1" ht="14.45">
      <c r="B67" s="288" t="s">
        <v>468</v>
      </c>
      <c r="E67" s="885">
        <f>+IFERROR(E66/AVERAGE(Inputs!N114:O114),"")</f>
        <v>2.2280651928943775E-2</v>
      </c>
      <c r="F67" s="885">
        <f>+IFERROR(F66/AVERAGE(Inputs!O114:P114),"")</f>
        <v>2.820584828167234E-2</v>
      </c>
      <c r="G67" s="886">
        <f>+IFERROR(G66/AVERAGE(Inputs!P114:Q114),"")</f>
        <v>2.893578183231782E-2</v>
      </c>
      <c r="H67" s="887">
        <f>AVERAGE(G66/AVERAGE(Inputs!Q114,Inputs!P114),DCF!F66/AVERAGE(Inputs!P114,Inputs!O114))</f>
        <v>2.8570815056995082E-2</v>
      </c>
      <c r="I67" s="887">
        <f>AVERAGE(DCF!H66/AVERAGE(Inputs!H229,Inputs!Q114),DCF!G66/AVERAGE(Inputs!Q114,Inputs!P114))</f>
        <v>2.8753298444656451E-2</v>
      </c>
      <c r="J67" s="887">
        <f>AVERAGE(DCF!I66/AVERAGE(Inputs!I229,Inputs!H229),DCF!H66/AVERAGE(Inputs!H229,Inputs!Q114))</f>
        <v>2.8662056750825768E-2</v>
      </c>
      <c r="K67" s="887">
        <f>AVERAGE(DCF!J66/AVERAGE(Inputs!J229,Inputs!I229),DCF!I66/AVERAGE(Inputs!I229,Inputs!H229))</f>
        <v>2.8707677597741108E-2</v>
      </c>
      <c r="L67" s="887">
        <f>AVERAGE(DCF!K66/AVERAGE(Inputs!K229,Inputs!J229),DCF!J66/AVERAGE(Inputs!J229,Inputs!I229))</f>
        <v>2.8684867174283438E-2</v>
      </c>
      <c r="M67" s="887">
        <f>AVERAGE(DCF!L66/AVERAGE(Inputs!L229,Inputs!K229),DCF!K66/AVERAGE(Inputs!K229,Inputs!J229))</f>
        <v>2.8696272386012273E-2</v>
      </c>
      <c r="N67" s="887">
        <f>AVERAGE(DCF!M66/AVERAGE(Inputs!M229,Inputs!L229),DCF!L66/AVERAGE(Inputs!L229,Inputs!K229))</f>
        <v>2.8690569780147855E-2</v>
      </c>
      <c r="O67" s="887">
        <f>AVERAGE(DCF!N66/AVERAGE(Inputs!N229,Inputs!M229),DCF!M66/AVERAGE(Inputs!M229,Inputs!L229))</f>
        <v>2.869342108308006E-2</v>
      </c>
      <c r="P67" s="887">
        <f>AVERAGE(DCF!O66/AVERAGE(Inputs!O229,Inputs!N229),DCF!N66/AVERAGE(Inputs!N229,Inputs!M229))</f>
        <v>2.8691995431613958E-2</v>
      </c>
      <c r="Q67" s="887">
        <f>AVERAGE(DCF!P66/AVERAGE(Inputs!P229,Inputs!O229),DCF!O66/AVERAGE(Inputs!O229,Inputs!N229))</f>
        <v>2.8692708257347009E-2</v>
      </c>
    </row>
    <row r="68" spans="2:17" customFormat="1" ht="3.75" customHeight="1">
      <c r="B68" s="248"/>
      <c r="E68" s="269"/>
      <c r="F68" s="269"/>
      <c r="G68" s="274"/>
      <c r="H68" s="101"/>
      <c r="I68" s="101"/>
      <c r="J68" s="101"/>
      <c r="K68" s="101"/>
      <c r="L68" s="101"/>
      <c r="M68" s="101"/>
      <c r="N68" s="101"/>
      <c r="O68" s="101"/>
      <c r="P68" s="101"/>
      <c r="Q68" s="101"/>
    </row>
    <row r="69" spans="2:17" customFormat="1" ht="15.6">
      <c r="B69" s="287" t="s">
        <v>469</v>
      </c>
      <c r="E69" s="141">
        <f>+_xlfn.XLOOKUP($B69,Inputs!$B:$B,Inputs!O:O)</f>
        <v>0</v>
      </c>
      <c r="F69" s="141">
        <f>+_xlfn.XLOOKUP($B69,Inputs!$B:$B,Inputs!P:P)</f>
        <v>0</v>
      </c>
      <c r="G69" s="259">
        <f>+_xlfn.XLOOKUP($B69,Inputs!$B:$B,Inputs!Q:Q)</f>
        <v>0</v>
      </c>
      <c r="H69" s="152"/>
      <c r="I69" s="152"/>
      <c r="J69" s="152"/>
      <c r="K69" s="152"/>
      <c r="L69" s="152"/>
      <c r="M69" s="152"/>
      <c r="N69" s="152"/>
      <c r="O69" s="152"/>
      <c r="P69" s="152"/>
      <c r="Q69" s="152"/>
    </row>
    <row r="70" spans="2:17" s="277" customFormat="1" ht="14.45">
      <c r="B70" s="288" t="s">
        <v>470</v>
      </c>
      <c r="E70" s="269">
        <f>IFERROR(E69/+AVERAGE(Inputs!N32:O32),"")</f>
        <v>0</v>
      </c>
      <c r="F70" s="269">
        <f>IFERROR(F69/+AVERAGE(Inputs!O32:P32),"")</f>
        <v>0</v>
      </c>
      <c r="G70" s="273">
        <f>IFERROR(G69/+AVERAGE(Inputs!P32:Q32),"")</f>
        <v>0</v>
      </c>
      <c r="H70" s="296"/>
      <c r="I70" s="296"/>
      <c r="J70" s="296"/>
      <c r="K70" s="296"/>
      <c r="L70" s="296"/>
      <c r="M70" s="296"/>
      <c r="N70" s="296"/>
      <c r="O70" s="296"/>
      <c r="P70" s="296"/>
      <c r="Q70" s="296"/>
    </row>
    <row r="71" spans="2:17" s="277" customFormat="1" ht="3.75" customHeight="1">
      <c r="B71" s="276"/>
      <c r="E71" s="269"/>
      <c r="F71" s="269"/>
      <c r="G71" s="273"/>
      <c r="H71" s="275"/>
      <c r="I71" s="275"/>
      <c r="J71" s="275"/>
      <c r="K71" s="275"/>
      <c r="L71" s="275"/>
      <c r="M71" s="275"/>
      <c r="N71" s="275"/>
      <c r="O71" s="275"/>
      <c r="P71" s="275"/>
      <c r="Q71" s="275"/>
    </row>
    <row r="72" spans="2:17" s="277" customFormat="1" ht="15.6">
      <c r="B72" s="266" t="s">
        <v>471</v>
      </c>
      <c r="E72" s="283">
        <f>+_xlfn.XLOOKUP($B72,Inputs!$B:$B,Inputs!O:O)</f>
        <v>-643</v>
      </c>
      <c r="F72" s="283">
        <f>+_xlfn.XLOOKUP($B72,Inputs!$B:$B,Inputs!P:P)</f>
        <v>116</v>
      </c>
      <c r="G72" s="284">
        <f>+_xlfn.XLOOKUP($B72,Inputs!$B:$B,Inputs!Q:Q)</f>
        <v>-458</v>
      </c>
      <c r="H72" s="152">
        <f>+H73*H$17</f>
        <v>-110.15509282617866</v>
      </c>
      <c r="I72" s="152">
        <f t="shared" ref="I72:Q72" si="30">+I73*I$17</f>
        <v>-81.343424387806664</v>
      </c>
      <c r="J72" s="152">
        <f t="shared" si="30"/>
        <v>-135.61586478612932</v>
      </c>
      <c r="K72" s="152">
        <f t="shared" si="30"/>
        <v>-133.17052535317163</v>
      </c>
      <c r="L72" s="152">
        <f t="shared" si="30"/>
        <v>-142.77054414717526</v>
      </c>
      <c r="M72" s="152">
        <f t="shared" si="30"/>
        <v>-171.55999705931586</v>
      </c>
      <c r="N72" s="152">
        <f t="shared" si="30"/>
        <v>-184.22873853482776</v>
      </c>
      <c r="O72" s="152">
        <f t="shared" si="30"/>
        <v>-202.45598110996013</v>
      </c>
      <c r="P72" s="152">
        <f t="shared" si="30"/>
        <v>-223.29825379979599</v>
      </c>
      <c r="Q72" s="152">
        <f t="shared" si="30"/>
        <v>-239.351591056648</v>
      </c>
    </row>
    <row r="73" spans="2:17" s="277" customFormat="1" ht="14.45">
      <c r="B73" s="288" t="s">
        <v>457</v>
      </c>
      <c r="E73" s="269"/>
      <c r="F73" s="269"/>
      <c r="G73" s="273"/>
      <c r="H73" s="296">
        <f>Inputs!H234</f>
        <v>-5.3486951450844129E-3</v>
      </c>
      <c r="I73" s="296">
        <f>Inputs!I234</f>
        <v>-3.5906496422040742E-3</v>
      </c>
      <c r="J73" s="296">
        <f>Inputs!J234</f>
        <v>-5.4126002126682615E-3</v>
      </c>
      <c r="K73" s="296">
        <f>Inputs!K234</f>
        <v>-4.7839816666522495E-3</v>
      </c>
      <c r="L73" s="296">
        <f>Inputs!L234</f>
        <v>-4.5957438405081945E-3</v>
      </c>
      <c r="M73" s="296">
        <f>Inputs!M234</f>
        <v>-4.9307752399429016E-3</v>
      </c>
      <c r="N73" s="296">
        <f>Inputs!N234</f>
        <v>-4.7701669157011149E-3</v>
      </c>
      <c r="O73" s="296">
        <f>Inputs!O234</f>
        <v>-4.7655619987174037E-3</v>
      </c>
      <c r="P73" s="296">
        <f>Inputs!P234</f>
        <v>-4.8221680514538064E-3</v>
      </c>
      <c r="Q73" s="296">
        <f>Inputs!Q234</f>
        <v>-4.7859656552907753E-3</v>
      </c>
    </row>
    <row r="74" spans="2:17" s="277" customFormat="1" ht="5.25" customHeight="1">
      <c r="B74" s="288"/>
      <c r="E74" s="269"/>
      <c r="F74" s="269"/>
      <c r="G74" s="273"/>
      <c r="H74" s="275"/>
      <c r="I74" s="275"/>
      <c r="J74" s="275"/>
      <c r="K74" s="275"/>
      <c r="L74" s="275"/>
      <c r="M74" s="275"/>
      <c r="N74" s="275"/>
      <c r="O74" s="275"/>
      <c r="P74" s="275"/>
      <c r="Q74" s="275"/>
    </row>
    <row r="75" spans="2:17" s="277" customFormat="1" ht="15.6">
      <c r="B75" s="266" t="s">
        <v>472</v>
      </c>
      <c r="E75" s="283">
        <f>+_xlfn.XLOOKUP($B75,Inputs!$B:$B,Inputs!O:O)</f>
        <v>6446</v>
      </c>
      <c r="F75" s="283">
        <f>+_xlfn.XLOOKUP($B75,Inputs!$B:$B,Inputs!P:P)</f>
        <v>-1030</v>
      </c>
      <c r="G75" s="284">
        <f>+_xlfn.XLOOKUP($B75,Inputs!$B:$B,Inputs!Q:Q)</f>
        <v>2329</v>
      </c>
      <c r="H75" s="295">
        <f>IFERROR(AVERAGE(E75:G75)*(1+H32),"")</f>
        <v>2712.4682086267076</v>
      </c>
      <c r="I75" s="295">
        <f t="shared" ref="I75:Q75" si="31">IFERROR(AVERAGE(F75:H75)*(1+I32),"")</f>
        <v>1396.6078776970717</v>
      </c>
      <c r="J75" s="295">
        <f t="shared" si="31"/>
        <v>2247.0052776191565</v>
      </c>
      <c r="K75" s="295">
        <f t="shared" si="31"/>
        <v>2266.9016795491598</v>
      </c>
      <c r="L75" s="295">
        <f t="shared" si="31"/>
        <v>2092.3946574171928</v>
      </c>
      <c r="M75" s="295">
        <f t="shared" si="31"/>
        <v>2335.5257442275843</v>
      </c>
      <c r="N75" s="295">
        <f t="shared" si="31"/>
        <v>2392.6086120685482</v>
      </c>
      <c r="O75" s="295">
        <f t="shared" si="31"/>
        <v>2411.0019939950389</v>
      </c>
      <c r="P75" s="295">
        <f t="shared" si="31"/>
        <v>2508.3957577862302</v>
      </c>
      <c r="Q75" s="295">
        <f t="shared" si="31"/>
        <v>2589.3332662521698</v>
      </c>
    </row>
    <row r="76" spans="2:17" ht="3.75" customHeight="1">
      <c r="B76" s="143"/>
      <c r="G76" s="138"/>
      <c r="H76" s="125"/>
      <c r="I76" s="125"/>
      <c r="J76" s="125"/>
      <c r="K76" s="125"/>
      <c r="L76" s="125"/>
      <c r="O76" s="125"/>
      <c r="P76" s="125"/>
      <c r="Q76" s="125"/>
    </row>
    <row r="77" spans="2:17" ht="13.5" customHeight="1">
      <c r="B77" s="189" t="s">
        <v>270</v>
      </c>
      <c r="E77" s="283">
        <f>+_xlfn.XLOOKUP($B77,Inputs!$B:$B,Inputs!O:O)</f>
        <v>1156</v>
      </c>
      <c r="F77" s="283">
        <f>+_xlfn.XLOOKUP($B77,Inputs!$B:$B,Inputs!P:P)</f>
        <v>8689</v>
      </c>
      <c r="G77" s="284">
        <f>+_xlfn.XLOOKUP($B77,Inputs!$B:$B,Inputs!Q:Q)</f>
        <v>5798</v>
      </c>
      <c r="H77" s="148">
        <f>IFERROR(+H60-H63-H72-H75,"")</f>
        <v>7918.2716672134393</v>
      </c>
      <c r="I77" s="148">
        <f t="shared" ref="I77:Q77" si="32">IFERROR(+I60-I63-I72-I75,"")</f>
        <v>9649.3814266882255</v>
      </c>
      <c r="J77" s="148">
        <f t="shared" si="32"/>
        <v>9386.3500106032025</v>
      </c>
      <c r="K77" s="148">
        <f t="shared" si="32"/>
        <v>10851.232944038013</v>
      </c>
      <c r="L77" s="148">
        <f t="shared" si="32"/>
        <v>11607.335311002262</v>
      </c>
      <c r="M77" s="148">
        <f t="shared" si="32"/>
        <v>12187.015573999808</v>
      </c>
      <c r="N77" s="148">
        <f t="shared" si="32"/>
        <v>13317.910934768483</v>
      </c>
      <c r="O77" s="148">
        <f t="shared" si="32"/>
        <v>14456.995860193871</v>
      </c>
      <c r="P77" s="148">
        <f t="shared" si="32"/>
        <v>15509.742030854522</v>
      </c>
      <c r="Q77" s="148">
        <f t="shared" si="32"/>
        <v>16729.855306122663</v>
      </c>
    </row>
    <row r="78" spans="2:17" ht="5.25" customHeight="1">
      <c r="G78" s="138"/>
      <c r="H78" s="125"/>
      <c r="I78" s="125"/>
      <c r="J78" s="125"/>
      <c r="K78" s="125"/>
      <c r="L78" s="125"/>
      <c r="O78" s="125"/>
      <c r="P78" s="125"/>
      <c r="Q78" s="125"/>
    </row>
    <row r="79" spans="2:17" ht="15.6">
      <c r="B79" s="882" t="s">
        <v>271</v>
      </c>
      <c r="C79" s="120" t="s">
        <v>473</v>
      </c>
      <c r="E79" s="141">
        <f>E80*E77</f>
        <v>175.71199999999999</v>
      </c>
      <c r="F79" s="141">
        <f t="shared" ref="F79:G79" si="33">F80*F77</f>
        <v>1216.46</v>
      </c>
      <c r="G79" s="141">
        <f t="shared" si="33"/>
        <v>788.52800000000002</v>
      </c>
      <c r="H79" s="889">
        <f>IFERROR(H80*H77,"")</f>
        <v>1129.6734245224509</v>
      </c>
      <c r="I79" s="148">
        <f t="shared" ref="I79:Q79" si="34">IFERROR(I80*I77,"")</f>
        <v>1346.6247857689348</v>
      </c>
      <c r="J79" s="148">
        <f t="shared" si="34"/>
        <v>1308.5267199966836</v>
      </c>
      <c r="K79" s="148">
        <f t="shared" si="34"/>
        <v>1525.0671090731944</v>
      </c>
      <c r="L79" s="148">
        <f t="shared" si="34"/>
        <v>1623.1162710611395</v>
      </c>
      <c r="M79" s="148">
        <f t="shared" si="34"/>
        <v>1705.3128733505798</v>
      </c>
      <c r="N79" s="148">
        <f t="shared" si="34"/>
        <v>1865.8715967337919</v>
      </c>
      <c r="O79" s="148">
        <f t="shared" si="34"/>
        <v>2023.3360058880207</v>
      </c>
      <c r="P79" s="148">
        <f t="shared" si="34"/>
        <v>2171.2945423850342</v>
      </c>
      <c r="Q79" s="148">
        <f t="shared" si="34"/>
        <v>2342.4777971473736</v>
      </c>
    </row>
    <row r="80" spans="2:17" s="267" customFormat="1" ht="14.45">
      <c r="B80" s="267" t="s">
        <v>474</v>
      </c>
      <c r="E80" s="269">
        <f>Inputs!O236</f>
        <v>0.152</v>
      </c>
      <c r="F80" s="269">
        <f>Inputs!P236</f>
        <v>0.14000000000000001</v>
      </c>
      <c r="G80" s="269">
        <f>Inputs!Q236</f>
        <v>0.13600000000000001</v>
      </c>
      <c r="H80" s="890">
        <f>IFERROR(AVERAGE(E80:G80),"")</f>
        <v>0.14266666666666669</v>
      </c>
      <c r="I80" s="294">
        <f t="shared" ref="I80:Q80" si="35">IFERROR(AVERAGE(F80:H80),"")</f>
        <v>0.13955555555555557</v>
      </c>
      <c r="J80" s="294">
        <f t="shared" si="35"/>
        <v>0.13940740740740742</v>
      </c>
      <c r="K80" s="294">
        <f t="shared" si="35"/>
        <v>0.14054320987654323</v>
      </c>
      <c r="L80" s="294">
        <f t="shared" si="35"/>
        <v>0.13983539094650208</v>
      </c>
      <c r="M80" s="294">
        <f t="shared" si="35"/>
        <v>0.13992866941015092</v>
      </c>
      <c r="N80" s="294">
        <f t="shared" si="35"/>
        <v>0.14010242341106541</v>
      </c>
      <c r="O80" s="294">
        <f t="shared" si="35"/>
        <v>0.13995549458923948</v>
      </c>
      <c r="P80" s="294">
        <f t="shared" si="35"/>
        <v>0.13999552913681859</v>
      </c>
      <c r="Q80" s="294">
        <f t="shared" si="35"/>
        <v>0.14001781571237448</v>
      </c>
    </row>
    <row r="81" spans="1:17" s="267" customFormat="1" ht="3.75" customHeight="1">
      <c r="E81" s="269"/>
      <c r="F81" s="269"/>
      <c r="G81" s="273"/>
      <c r="H81" s="286"/>
      <c r="I81" s="286"/>
      <c r="J81" s="286"/>
      <c r="K81" s="286"/>
      <c r="L81" s="286"/>
      <c r="M81" s="286"/>
      <c r="N81" s="286"/>
      <c r="O81" s="286"/>
      <c r="P81" s="286"/>
      <c r="Q81" s="286"/>
    </row>
    <row r="82" spans="1:17" s="267" customFormat="1" ht="15.6">
      <c r="B82" s="120" t="s">
        <v>272</v>
      </c>
      <c r="E82" s="141">
        <f>+_xlfn.XLOOKUP($B82,Inputs!$B:$B,Inputs!O:O)</f>
        <v>1782</v>
      </c>
      <c r="F82" s="141">
        <f>+_xlfn.XLOOKUP($B82,Inputs!$B:$B,Inputs!P:P)</f>
        <v>7513</v>
      </c>
      <c r="G82" s="259">
        <f>+_xlfn.XLOOKUP($B82,Inputs!$B:$B,Inputs!Q:Q)</f>
        <v>6016</v>
      </c>
      <c r="H82" s="148">
        <f>IFERROR(+H77-H79,"")</f>
        <v>6788.5982426909886</v>
      </c>
      <c r="I82" s="148">
        <f t="shared" ref="I82:Q82" si="36">IFERROR(+I77-I79,"")</f>
        <v>8302.7566409192914</v>
      </c>
      <c r="J82" s="148">
        <f t="shared" si="36"/>
        <v>8077.8232906065186</v>
      </c>
      <c r="K82" s="148">
        <f t="shared" si="36"/>
        <v>9326.1658349648187</v>
      </c>
      <c r="L82" s="148">
        <f t="shared" si="36"/>
        <v>9984.2190399411229</v>
      </c>
      <c r="M82" s="148">
        <f t="shared" si="36"/>
        <v>10481.702700649228</v>
      </c>
      <c r="N82" s="148">
        <f t="shared" si="36"/>
        <v>11452.03933803469</v>
      </c>
      <c r="O82" s="148">
        <f t="shared" si="36"/>
        <v>12433.65985430585</v>
      </c>
      <c r="P82" s="148">
        <f t="shared" si="36"/>
        <v>13338.447488469488</v>
      </c>
      <c r="Q82" s="148">
        <f t="shared" si="36"/>
        <v>14387.377508975289</v>
      </c>
    </row>
    <row r="83" spans="1:17" s="267" customFormat="1" ht="14.45">
      <c r="B83" s="267" t="s">
        <v>223</v>
      </c>
      <c r="E83" s="269">
        <f t="shared" ref="E83:Q83" si="37">IFERROR(E82/E$31,"")</f>
        <v>2.9439947133652736E-2</v>
      </c>
      <c r="F83" s="269">
        <f t="shared" si="37"/>
        <v>0.12145166505011316</v>
      </c>
      <c r="G83" s="273">
        <f t="shared" si="37"/>
        <v>9.5867926632989653E-2</v>
      </c>
      <c r="H83" s="269">
        <f t="shared" si="37"/>
        <v>0.10296298512833327</v>
      </c>
      <c r="I83" s="269">
        <f t="shared" si="37"/>
        <v>0.12056768971175962</v>
      </c>
      <c r="J83" s="269">
        <f t="shared" si="37"/>
        <v>0.11202984539245744</v>
      </c>
      <c r="K83" s="269">
        <f t="shared" si="37"/>
        <v>0.12088656323978858</v>
      </c>
      <c r="L83" s="269">
        <f t="shared" si="37"/>
        <v>0.12185671100526303</v>
      </c>
      <c r="M83" s="269">
        <f t="shared" si="37"/>
        <v>0.12062009699824565</v>
      </c>
      <c r="N83" s="269">
        <f t="shared" si="37"/>
        <v>0.12291836948859985</v>
      </c>
      <c r="O83" s="269">
        <f t="shared" si="37"/>
        <v>0.12584390269244225</v>
      </c>
      <c r="P83" s="269">
        <f t="shared" si="37"/>
        <v>0.12807573109004708</v>
      </c>
      <c r="Q83" s="269">
        <f t="shared" si="37"/>
        <v>0.13003808177179985</v>
      </c>
    </row>
    <row r="84" spans="1:17" ht="3.75" customHeight="1">
      <c r="B84" s="143"/>
      <c r="G84" s="138"/>
    </row>
    <row r="85" spans="1:17" ht="15.6">
      <c r="A85" s="120" t="s">
        <v>417</v>
      </c>
      <c r="B85" s="45" t="s">
        <v>275</v>
      </c>
      <c r="C85" s="49"/>
      <c r="D85" s="49"/>
      <c r="E85" s="131">
        <f t="shared" ref="E85:Q85" si="38">E29</f>
        <v>2022</v>
      </c>
      <c r="F85" s="131">
        <f t="shared" si="38"/>
        <v>2023</v>
      </c>
      <c r="G85" s="132">
        <f t="shared" si="38"/>
        <v>2024</v>
      </c>
      <c r="H85" s="97">
        <f t="shared" si="38"/>
        <v>2025</v>
      </c>
      <c r="I85" s="97">
        <f t="shared" si="38"/>
        <v>2026</v>
      </c>
      <c r="J85" s="97">
        <f t="shared" si="38"/>
        <v>2027</v>
      </c>
      <c r="K85" s="97">
        <f t="shared" si="38"/>
        <v>2028</v>
      </c>
      <c r="L85" s="97">
        <f t="shared" si="38"/>
        <v>2029</v>
      </c>
      <c r="M85" s="97">
        <f t="shared" si="38"/>
        <v>2030</v>
      </c>
      <c r="N85" s="97">
        <f t="shared" si="38"/>
        <v>2031</v>
      </c>
      <c r="O85" s="97">
        <f t="shared" si="38"/>
        <v>2032</v>
      </c>
      <c r="P85" s="97">
        <f t="shared" si="38"/>
        <v>2033</v>
      </c>
      <c r="Q85" s="97">
        <f t="shared" si="38"/>
        <v>2034</v>
      </c>
    </row>
    <row r="86" spans="1:17" ht="3.95" customHeight="1">
      <c r="B86" s="155"/>
      <c r="C86" s="46"/>
      <c r="D86" s="46"/>
      <c r="E86" s="46"/>
      <c r="F86" s="46"/>
      <c r="G86" s="156"/>
      <c r="H86" s="46"/>
      <c r="I86" s="46"/>
      <c r="J86" s="46"/>
      <c r="K86" s="46"/>
      <c r="L86" s="46"/>
      <c r="M86" s="46"/>
      <c r="N86" s="46"/>
      <c r="O86" s="46"/>
      <c r="P86" s="46"/>
      <c r="Q86" s="46"/>
    </row>
    <row r="87" spans="1:17" ht="13.5" customHeight="1">
      <c r="B87" s="140" t="s">
        <v>475</v>
      </c>
      <c r="G87" s="149"/>
    </row>
    <row r="88" spans="1:17" ht="5.25" customHeight="1">
      <c r="B88" s="143"/>
      <c r="G88" s="149"/>
    </row>
    <row r="89" spans="1:17" ht="13.5" customHeight="1">
      <c r="B89" s="120" t="s">
        <v>476</v>
      </c>
      <c r="E89" s="141">
        <f>+_xlfn.XLOOKUP($B89,Inputs!$B:$B,Inputs!O:O)</f>
        <v>7989</v>
      </c>
      <c r="F89" s="141">
        <f>+_xlfn.XLOOKUP($B89,Inputs!$B:$B,Inputs!P:P)</f>
        <v>13441</v>
      </c>
      <c r="G89" s="259">
        <f>+_xlfn.XLOOKUP($B89,Inputs!$B:$B,Inputs!Q:Q)</f>
        <v>14591</v>
      </c>
      <c r="H89" s="159">
        <f>IFERROR(G89+H166,"")</f>
        <v>18284.979467808258</v>
      </c>
      <c r="I89" s="159">
        <f t="shared" ref="I89:Q89" si="39">IFERROR(H89+I166,"")</f>
        <v>22439.540590711978</v>
      </c>
      <c r="J89" s="159">
        <f t="shared" si="39"/>
        <v>26148.261515303166</v>
      </c>
      <c r="K89" s="159">
        <f t="shared" si="39"/>
        <v>33970.23109295922</v>
      </c>
      <c r="L89" s="159">
        <f t="shared" si="39"/>
        <v>41481.600932021363</v>
      </c>
      <c r="M89" s="159">
        <f t="shared" si="39"/>
        <v>48918.65363238741</v>
      </c>
      <c r="N89" s="159">
        <f t="shared" si="39"/>
        <v>57770.987106937479</v>
      </c>
      <c r="O89" s="159">
        <f t="shared" si="39"/>
        <v>67373.949485928082</v>
      </c>
      <c r="P89" s="159">
        <f t="shared" si="39"/>
        <v>78086.39033162214</v>
      </c>
      <c r="Q89" s="159">
        <f t="shared" si="39"/>
        <v>90105.621723436707</v>
      </c>
    </row>
    <row r="90" spans="1:17" ht="3.75" customHeight="1">
      <c r="E90" s="141"/>
      <c r="F90" s="141"/>
      <c r="G90" s="259"/>
    </row>
    <row r="91" spans="1:17" ht="15.6">
      <c r="B91" s="120" t="s">
        <v>277</v>
      </c>
      <c r="E91" s="141">
        <f>+_xlfn.XLOOKUP($B91,Inputs!$B:$B,Inputs!O:O)</f>
        <v>7358</v>
      </c>
      <c r="F91" s="141">
        <f>+_xlfn.XLOOKUP($B91,Inputs!$B:$B,Inputs!P:P)</f>
        <v>7854</v>
      </c>
      <c r="G91" s="259">
        <f>+_xlfn.XLOOKUP($B91,Inputs!$B:$B,Inputs!Q:Q)</f>
        <v>7751</v>
      </c>
      <c r="H91" s="159">
        <f>IFERROR(H92*H31/365,"")</f>
        <v>8183.9286090555306</v>
      </c>
      <c r="I91" s="159">
        <f t="shared" ref="I91:Q91" si="40">IFERROR(I92*I31/365,"")</f>
        <v>8606.7097016679218</v>
      </c>
      <c r="J91" s="159">
        <f t="shared" si="40"/>
        <v>8964.0419765559618</v>
      </c>
      <c r="K91" s="159">
        <f t="shared" si="40"/>
        <v>9603.0888662845973</v>
      </c>
      <c r="L91" s="159">
        <f t="shared" si="40"/>
        <v>10208.393307150902</v>
      </c>
      <c r="M91" s="159">
        <f t="shared" si="40"/>
        <v>10815.658307139376</v>
      </c>
      <c r="N91" s="159">
        <f t="shared" si="40"/>
        <v>11600.388919818768</v>
      </c>
      <c r="O91" s="159">
        <f t="shared" si="40"/>
        <v>12303.070917580215</v>
      </c>
      <c r="P91" s="159">
        <f t="shared" si="40"/>
        <v>12965.913638899105</v>
      </c>
      <c r="Q91" s="159">
        <f t="shared" si="40"/>
        <v>13775.807280779753</v>
      </c>
    </row>
    <row r="92" spans="1:17" ht="15.6">
      <c r="B92" s="143" t="s">
        <v>477</v>
      </c>
      <c r="E92" s="301">
        <f>IFERROR(E91/E31*365,"")</f>
        <v>44.369238394184698</v>
      </c>
      <c r="F92" s="301">
        <f>IFERROR(F91/F31*365,"")</f>
        <v>46.34190106692531</v>
      </c>
      <c r="G92" s="302">
        <f>IFERROR(G91/G31*366,"")</f>
        <v>45.206858636240497</v>
      </c>
      <c r="H92" s="303">
        <f>IFERROR(AVERAGE(E92:G92),"")</f>
        <v>45.305999365783499</v>
      </c>
      <c r="I92" s="303">
        <f t="shared" ref="I92:Q92" si="41">IFERROR(AVERAGE(F92:H92),"")</f>
        <v>45.618253022983104</v>
      </c>
      <c r="J92" s="303">
        <f t="shared" si="41"/>
        <v>45.377037008335698</v>
      </c>
      <c r="K92" s="303">
        <f t="shared" si="41"/>
        <v>45.433763132367432</v>
      </c>
      <c r="L92" s="303">
        <f t="shared" si="41"/>
        <v>45.47635105456208</v>
      </c>
      <c r="M92" s="303">
        <f t="shared" si="41"/>
        <v>45.429050398421737</v>
      </c>
      <c r="N92" s="303">
        <f t="shared" si="41"/>
        <v>45.446388195117088</v>
      </c>
      <c r="O92" s="303">
        <f t="shared" si="41"/>
        <v>45.450596549366971</v>
      </c>
      <c r="P92" s="303">
        <f t="shared" si="41"/>
        <v>45.442011714301934</v>
      </c>
      <c r="Q92" s="303">
        <f t="shared" si="41"/>
        <v>45.446332152928669</v>
      </c>
    </row>
    <row r="93" spans="1:17" ht="3.75" customHeight="1">
      <c r="E93" s="160"/>
      <c r="F93" s="160"/>
      <c r="G93" s="161"/>
      <c r="H93" s="159"/>
      <c r="I93" s="159"/>
      <c r="J93" s="159"/>
      <c r="K93" s="159"/>
      <c r="L93" s="159"/>
      <c r="O93" s="159"/>
      <c r="P93" s="159"/>
      <c r="Q93" s="159"/>
    </row>
    <row r="94" spans="1:17" ht="15.6">
      <c r="B94" s="120" t="s">
        <v>478</v>
      </c>
      <c r="E94" s="141">
        <f>+_xlfn.XLOOKUP($B94,Inputs!$B:$B,Inputs!O:O)</f>
        <v>1552</v>
      </c>
      <c r="F94" s="141">
        <f>+_xlfn.XLOOKUP($B94,Inputs!$B:$B,Inputs!P:P)</f>
        <v>1161</v>
      </c>
      <c r="G94" s="259">
        <f>+_xlfn.XLOOKUP($B94,Inputs!$B:$B,Inputs!Q:Q)</f>
        <v>1289</v>
      </c>
      <c r="H94" s="159">
        <f>+IFERROR(H95*H34/365,"")</f>
        <v>1424.1855832037627</v>
      </c>
      <c r="I94" s="159">
        <f t="shared" ref="I94:Q94" si="42">+IFERROR(I95*I34/365,"")</f>
        <v>1415.9758318316567</v>
      </c>
      <c r="J94" s="159">
        <f t="shared" si="42"/>
        <v>1521.421060081105</v>
      </c>
      <c r="K94" s="159">
        <f t="shared" si="42"/>
        <v>1616.5526350713628</v>
      </c>
      <c r="L94" s="159">
        <f t="shared" si="42"/>
        <v>1700.9437881066949</v>
      </c>
      <c r="M94" s="159">
        <f t="shared" si="42"/>
        <v>1822.9533689495054</v>
      </c>
      <c r="N94" s="159">
        <f t="shared" si="42"/>
        <v>1951.6005315777732</v>
      </c>
      <c r="O94" s="159">
        <f t="shared" si="42"/>
        <v>2065.2573439344437</v>
      </c>
      <c r="P94" s="159">
        <f t="shared" si="42"/>
        <v>2177.9731879522819</v>
      </c>
      <c r="Q94" s="159">
        <f t="shared" si="42"/>
        <v>2313.6977670729088</v>
      </c>
    </row>
    <row r="95" spans="1:17" ht="15.6">
      <c r="B95" s="143" t="s">
        <v>479</v>
      </c>
      <c r="E95" s="301">
        <f>IFERROR(E94/E34*365,"")</f>
        <v>20.346239494289204</v>
      </c>
      <c r="F95" s="301">
        <f>IFERROR(F94/F34*365,"")</f>
        <v>15.376088534107401</v>
      </c>
      <c r="G95" s="302">
        <f>IFERROR(G94/G34*365,"")</f>
        <v>17.296606742399177</v>
      </c>
      <c r="H95" s="303">
        <f>IFERROR(AVERAGE(E95:G95),"")</f>
        <v>17.672978256931927</v>
      </c>
      <c r="I95" s="303">
        <f t="shared" ref="I95:Q95" si="43">IFERROR(AVERAGE(F95:H95),"")</f>
        <v>16.781891177812835</v>
      </c>
      <c r="J95" s="303">
        <f t="shared" si="43"/>
        <v>17.250492059047982</v>
      </c>
      <c r="K95" s="303">
        <f t="shared" si="43"/>
        <v>17.235120497930918</v>
      </c>
      <c r="L95" s="303">
        <f t="shared" si="43"/>
        <v>17.089167911597244</v>
      </c>
      <c r="M95" s="303">
        <f t="shared" si="43"/>
        <v>17.191593489525381</v>
      </c>
      <c r="N95" s="303">
        <f t="shared" si="43"/>
        <v>17.17196063301785</v>
      </c>
      <c r="O95" s="303">
        <f t="shared" si="43"/>
        <v>17.150907344713492</v>
      </c>
      <c r="P95" s="303">
        <f t="shared" si="43"/>
        <v>17.171487155752242</v>
      </c>
      <c r="Q95" s="303">
        <f t="shared" si="43"/>
        <v>17.164785044494526</v>
      </c>
    </row>
    <row r="96" spans="1:17" ht="3.95" customHeight="1">
      <c r="G96" s="149"/>
    </row>
    <row r="97" spans="2:17" ht="15.6">
      <c r="B97" s="120" t="s">
        <v>480</v>
      </c>
      <c r="E97" s="141">
        <f>+_xlfn.XLOOKUP($B97,Inputs!$B:$B,Inputs!O:O)</f>
        <v>12219</v>
      </c>
      <c r="F97" s="141">
        <f>+_xlfn.XLOOKUP($B97,Inputs!$B:$B,Inputs!P:P)</f>
        <v>10452</v>
      </c>
      <c r="G97" s="259">
        <f>+_xlfn.XLOOKUP($B97,Inputs!$B:$B,Inputs!Q:Q)</f>
        <v>10851</v>
      </c>
      <c r="H97" s="159">
        <f>IFERROR(AVERAGE(E97:G97)*(1+H32),"")</f>
        <v>11740.136770766236</v>
      </c>
      <c r="I97" s="159">
        <f t="shared" ref="I97:Q97" si="44">IFERROR(AVERAGE(F97:H97)*(1+I32),"")</f>
        <v>11504.093443550531</v>
      </c>
      <c r="J97" s="159">
        <f t="shared" si="44"/>
        <v>11899.853497530874</v>
      </c>
      <c r="K97" s="159">
        <f t="shared" si="44"/>
        <v>12534.166545530541</v>
      </c>
      <c r="L97" s="159">
        <f t="shared" si="44"/>
        <v>12722.532428725764</v>
      </c>
      <c r="M97" s="159">
        <f t="shared" si="44"/>
        <v>13135.955626519903</v>
      </c>
      <c r="N97" s="159">
        <f t="shared" si="44"/>
        <v>13720.842006544932</v>
      </c>
      <c r="O97" s="159">
        <f t="shared" si="44"/>
        <v>13990.973941772281</v>
      </c>
      <c r="P97" s="159">
        <f t="shared" si="44"/>
        <v>14352.208993621955</v>
      </c>
      <c r="Q97" s="159">
        <f t="shared" si="44"/>
        <v>14895.744570615801</v>
      </c>
    </row>
    <row r="98" spans="2:17" s="267" customFormat="1" ht="14.45">
      <c r="B98" s="267" t="s">
        <v>457</v>
      </c>
      <c r="E98" s="298">
        <f>IFERROR(E97/E$31,"")</f>
        <v>0.20186684288782422</v>
      </c>
      <c r="F98" s="298">
        <f>IFERROR(F97/F$31,"")</f>
        <v>0.16896217264791463</v>
      </c>
      <c r="G98" s="299">
        <f>IFERROR(G97/G$31,"")</f>
        <v>0.17291603588673052</v>
      </c>
      <c r="H98" s="298">
        <f>IFERROR(AVERAGE(E98:G98),"")</f>
        <v>0.18124835047415647</v>
      </c>
      <c r="I98" s="298">
        <f t="shared" ref="I98:Q98" si="45">IFERROR(AVERAGE(F98:H98),"")</f>
        <v>0.17437551966960052</v>
      </c>
      <c r="J98" s="298">
        <f t="shared" si="45"/>
        <v>0.17617996867682917</v>
      </c>
      <c r="K98" s="298">
        <f t="shared" si="45"/>
        <v>0.17726794627352871</v>
      </c>
      <c r="L98" s="298">
        <f t="shared" si="45"/>
        <v>0.17594114487331947</v>
      </c>
      <c r="M98" s="298">
        <f t="shared" si="45"/>
        <v>0.17646301994122579</v>
      </c>
      <c r="N98" s="298">
        <f t="shared" si="45"/>
        <v>0.17655737036269134</v>
      </c>
      <c r="O98" s="298">
        <f t="shared" si="45"/>
        <v>0.17632051172574556</v>
      </c>
      <c r="P98" s="298">
        <f t="shared" si="45"/>
        <v>0.17644696734322088</v>
      </c>
      <c r="Q98" s="298">
        <f t="shared" si="45"/>
        <v>0.17644161647721926</v>
      </c>
    </row>
    <row r="99" spans="2:17" ht="3.75" customHeight="1">
      <c r="E99" s="160"/>
      <c r="F99" s="160"/>
      <c r="G99" s="161"/>
      <c r="H99" s="159"/>
      <c r="I99" s="159"/>
      <c r="J99" s="159"/>
      <c r="K99" s="159"/>
      <c r="L99" s="159"/>
      <c r="O99" s="159"/>
      <c r="P99" s="159"/>
      <c r="Q99" s="159"/>
    </row>
    <row r="100" spans="2:17" ht="15.6">
      <c r="B100" s="120" t="s">
        <v>481</v>
      </c>
      <c r="E100" s="141">
        <f>+E101+E102-E104</f>
        <v>8212</v>
      </c>
      <c r="F100" s="141">
        <f t="shared" ref="F100:G100" si="46">+F101+F102-F104</f>
        <v>8721</v>
      </c>
      <c r="G100" s="259">
        <f t="shared" si="46"/>
        <v>8929</v>
      </c>
      <c r="H100" s="159">
        <f>IFERROR(H101+H102-H104,"")</f>
        <v>8977.4912449989297</v>
      </c>
      <c r="I100" s="159">
        <f t="shared" ref="I100:Q100" si="47">IFERROR(I101+I102-I104,"")</f>
        <v>9542.1333130721887</v>
      </c>
      <c r="J100" s="159">
        <f t="shared" si="47"/>
        <v>9943.2295245193545</v>
      </c>
      <c r="K100" s="159">
        <f t="shared" si="47"/>
        <v>10345.375340687186</v>
      </c>
      <c r="L100" s="159">
        <f t="shared" si="47"/>
        <v>10842.582401148584</v>
      </c>
      <c r="M100" s="159">
        <f t="shared" si="47"/>
        <v>11292.561215244548</v>
      </c>
      <c r="N100" s="159">
        <f t="shared" si="47"/>
        <v>11790.607482172487</v>
      </c>
      <c r="O100" s="159">
        <f t="shared" si="47"/>
        <v>12275.416167655116</v>
      </c>
      <c r="P100" s="159">
        <f t="shared" si="47"/>
        <v>12732.297883631236</v>
      </c>
      <c r="Q100" s="159">
        <f t="shared" si="47"/>
        <v>13254.042125000036</v>
      </c>
    </row>
    <row r="101" spans="2:17" ht="15.6">
      <c r="B101" s="266" t="s">
        <v>482</v>
      </c>
      <c r="E101" s="306">
        <f>+_xlfn.XLOOKUP("Gross PP&amp;E (Property, Plant and Equipment)",Inputs!$B:$B,Inputs!O:O)</f>
        <v>18695</v>
      </c>
      <c r="F101" s="306">
        <f>+_xlfn.XLOOKUP("Gross PP&amp;E (Property, Plant and Equipment)",Inputs!$B:$B,Inputs!P:P)</f>
        <v>18122</v>
      </c>
      <c r="G101" s="313">
        <f>+_xlfn.XLOOKUP("Gross PP&amp;E (Property, Plant and Equipment)",Inputs!$B:$B,Inputs!Q:Q)</f>
        <v>17691</v>
      </c>
      <c r="H101" s="311">
        <f>+IFERROR(G101-H135,"")</f>
        <v>18629.721567372522</v>
      </c>
      <c r="I101" s="311">
        <f t="shared" ref="I101:Q101" si="48">+IFERROR(H101-I135,"")</f>
        <v>19399.839036510002</v>
      </c>
      <c r="J101" s="311">
        <f t="shared" si="48"/>
        <v>20083.050956420138</v>
      </c>
      <c r="K101" s="311">
        <f t="shared" si="48"/>
        <v>20812.808995339768</v>
      </c>
      <c r="L101" s="311">
        <f t="shared" si="48"/>
        <v>21478.748991644665</v>
      </c>
      <c r="M101" s="311">
        <f t="shared" si="48"/>
        <v>22129.194195276305</v>
      </c>
      <c r="N101" s="311">
        <f t="shared" si="48"/>
        <v>22753.522738855143</v>
      </c>
      <c r="O101" s="311">
        <f t="shared" si="48"/>
        <v>23357.208408334365</v>
      </c>
      <c r="P101" s="311">
        <f t="shared" si="48"/>
        <v>23964.030795117098</v>
      </c>
      <c r="Q101" s="311">
        <f t="shared" si="48"/>
        <v>24588.986580237157</v>
      </c>
    </row>
    <row r="102" spans="2:17" ht="15.6">
      <c r="B102" s="304" t="s">
        <v>483</v>
      </c>
      <c r="C102" s="143"/>
      <c r="D102" s="143"/>
      <c r="E102" s="306">
        <f>+_xlfn.XLOOKUP("Right-of-Use Assets",Inputs!$B:$B,Inputs!O:O)</f>
        <v>2878</v>
      </c>
      <c r="F102" s="306">
        <f>+_xlfn.XLOOKUP("Right-of-Use Assets",Inputs!$B:$B,Inputs!P:P)</f>
        <v>3220</v>
      </c>
      <c r="G102" s="313">
        <f>+_xlfn.XLOOKUP("Right-of-Use Assets",Inputs!$B:$B,Inputs!Q:Q)</f>
        <v>3197</v>
      </c>
      <c r="H102" s="311">
        <f t="shared" ref="H102:Q102" si="49">IFERROR(H103*H$31,"")</f>
        <v>3308.6086926103708</v>
      </c>
      <c r="I102" s="311">
        <f t="shared" si="49"/>
        <v>3516.2028966235121</v>
      </c>
      <c r="J102" s="311">
        <f t="shared" si="49"/>
        <v>3657.7935740433541</v>
      </c>
      <c r="K102" s="311">
        <f t="shared" si="49"/>
        <v>3908.0976630118644</v>
      </c>
      <c r="L102" s="311">
        <f t="shared" si="49"/>
        <v>4163.5237808483143</v>
      </c>
      <c r="M102" s="311">
        <f t="shared" si="49"/>
        <v>4408.7040577093967</v>
      </c>
      <c r="N102" s="311">
        <f t="shared" si="49"/>
        <v>4726.9196858372643</v>
      </c>
      <c r="O102" s="311">
        <f t="shared" si="49"/>
        <v>5015.3669681338697</v>
      </c>
      <c r="P102" s="311">
        <f t="shared" si="49"/>
        <v>5284.7049561788817</v>
      </c>
      <c r="Q102" s="311">
        <f t="shared" si="49"/>
        <v>5614.6311155166923</v>
      </c>
    </row>
    <row r="103" spans="2:17" ht="15.6">
      <c r="B103" s="314" t="s">
        <v>457</v>
      </c>
      <c r="E103" s="298">
        <f>IFERROR(E102/E$31,"")</f>
        <v>4.7546671072195602E-2</v>
      </c>
      <c r="F103" s="298">
        <f>IFERROR(F102/F$31,"")</f>
        <v>5.2053022955059813E-2</v>
      </c>
      <c r="G103" s="299">
        <f>IFERROR(G102/G$31,"")</f>
        <v>5.0945771516899593E-2</v>
      </c>
      <c r="H103" s="297">
        <f>IFERROR(AVERAGE(E103:G103),"")</f>
        <v>5.0181821848051665E-2</v>
      </c>
      <c r="I103" s="297">
        <f t="shared" ref="I103:Q103" si="50">IFERROR(AVERAGE(F103:H103),"")</f>
        <v>5.1060205440003691E-2</v>
      </c>
      <c r="J103" s="297">
        <f t="shared" si="50"/>
        <v>5.0729266268318314E-2</v>
      </c>
      <c r="K103" s="297">
        <f t="shared" si="50"/>
        <v>5.0657097852124557E-2</v>
      </c>
      <c r="L103" s="297">
        <f t="shared" si="50"/>
        <v>5.0815523186815516E-2</v>
      </c>
      <c r="M103" s="297">
        <f t="shared" si="50"/>
        <v>5.0733962435752795E-2</v>
      </c>
      <c r="N103" s="297">
        <f t="shared" si="50"/>
        <v>5.0735527824897625E-2</v>
      </c>
      <c r="O103" s="297">
        <f t="shared" si="50"/>
        <v>5.0761671149155307E-2</v>
      </c>
      <c r="P103" s="297">
        <f t="shared" si="50"/>
        <v>5.0743720469935243E-2</v>
      </c>
      <c r="Q103" s="297">
        <f t="shared" si="50"/>
        <v>5.0746973147996061E-2</v>
      </c>
    </row>
    <row r="104" spans="2:17" ht="15.6">
      <c r="B104" s="266" t="s">
        <v>484</v>
      </c>
      <c r="E104" s="306">
        <f>+_xlfn.XLOOKUP($B104,Inputs!$B:$B,Inputs!O:O)</f>
        <v>13361</v>
      </c>
      <c r="F104" s="306">
        <f>+_xlfn.XLOOKUP($B104,Inputs!$B:$B,Inputs!P:P)</f>
        <v>12621</v>
      </c>
      <c r="G104" s="307">
        <f>+_xlfn.XLOOKUP($B104,Inputs!$B:$B,Inputs!Q:Q)</f>
        <v>11959</v>
      </c>
      <c r="H104" s="308">
        <f>H101*H105</f>
        <v>12960.839014983963</v>
      </c>
      <c r="I104" s="308">
        <f t="shared" ref="I104:Q104" si="51">I101*I105</f>
        <v>13373.908620061326</v>
      </c>
      <c r="J104" s="308">
        <f t="shared" si="51"/>
        <v>13797.615005944137</v>
      </c>
      <c r="K104" s="308">
        <f t="shared" si="51"/>
        <v>14375.531317664447</v>
      </c>
      <c r="L104" s="308">
        <f t="shared" si="51"/>
        <v>14799.690371344395</v>
      </c>
      <c r="M104" s="308">
        <f t="shared" si="51"/>
        <v>15245.337037741154</v>
      </c>
      <c r="N104" s="308">
        <f t="shared" si="51"/>
        <v>15689.834942519919</v>
      </c>
      <c r="O104" s="308">
        <f t="shared" si="51"/>
        <v>16097.159208813118</v>
      </c>
      <c r="P104" s="308">
        <f t="shared" si="51"/>
        <v>16516.437867664743</v>
      </c>
      <c r="Q104" s="308">
        <f t="shared" si="51"/>
        <v>16949.575570753812</v>
      </c>
    </row>
    <row r="105" spans="2:17" ht="14.25" customHeight="1">
      <c r="B105" s="81" t="s">
        <v>485</v>
      </c>
      <c r="E105" s="880">
        <f>E104/E101</f>
        <v>0.71468307033966305</v>
      </c>
      <c r="F105" s="880">
        <f t="shared" ref="F105:G105" si="52">F104/F101</f>
        <v>0.69644630835448629</v>
      </c>
      <c r="G105" s="880">
        <f t="shared" si="52"/>
        <v>0.67599344299361253</v>
      </c>
      <c r="H105" s="127">
        <f>AVERAGE(DCF!E105:G105)</f>
        <v>0.69570760722925395</v>
      </c>
      <c r="I105" s="127">
        <f>AVERAGE(DCF!F105:H105)</f>
        <v>0.68938245285911759</v>
      </c>
      <c r="J105" s="127">
        <f>AVERAGE(DCF!G105:I105)</f>
        <v>0.68702783436066139</v>
      </c>
      <c r="K105" s="127">
        <f>AVERAGE(DCF!H105:J105)</f>
        <v>0.69070596481634439</v>
      </c>
      <c r="L105" s="127">
        <f>AVERAGE(DCF!I105:K105)</f>
        <v>0.68903875067870779</v>
      </c>
      <c r="M105" s="127">
        <f>AVERAGE(DCF!J105:L105)</f>
        <v>0.68892418328523786</v>
      </c>
      <c r="N105" s="127">
        <f>AVERAGE(DCF!K105:M105)</f>
        <v>0.68955629959343001</v>
      </c>
      <c r="O105" s="127">
        <f>AVERAGE(DCF!L105:N105)</f>
        <v>0.68917307785245852</v>
      </c>
      <c r="P105" s="127">
        <f>AVERAGE(DCF!M105:O105)</f>
        <v>0.68921785357704213</v>
      </c>
      <c r="Q105" s="127">
        <f>AVERAGE(DCF!N105:P105)</f>
        <v>0.68931574367431026</v>
      </c>
    </row>
    <row r="106" spans="2:17" ht="15.6">
      <c r="B106" s="120" t="s">
        <v>486</v>
      </c>
      <c r="E106" s="141">
        <f>E107*Inputs!O175-Inputs!O15+Inputs!N45</f>
        <v>11184</v>
      </c>
      <c r="F106" s="141">
        <f>F107*Inputs!P175-Inputs!P15+Inputs!O45</f>
        <v>11036</v>
      </c>
      <c r="G106" s="141">
        <f>G107*Inputs!Q175-Inputs!Q15+Inputs!P45</f>
        <v>10660</v>
      </c>
      <c r="H106" s="866">
        <f>G106+Inputs!H188</f>
        <v>11438.492080379867</v>
      </c>
      <c r="I106" s="866">
        <f>H106+Inputs!I188</f>
        <v>11097.996480922753</v>
      </c>
      <c r="J106" s="866">
        <f>I106+Inputs!J188</f>
        <v>10930.008849862721</v>
      </c>
      <c r="K106" s="866">
        <f>J106+Inputs!K188</f>
        <v>10820.424263590336</v>
      </c>
      <c r="L106" s="866">
        <f>K106+Inputs!L188</f>
        <v>10680.27775228752</v>
      </c>
      <c r="M106" s="866">
        <f>L106+Inputs!M188</f>
        <v>10709.706361166769</v>
      </c>
      <c r="N106" s="866">
        <f>M106+Inputs!N188</f>
        <v>10475.544968920191</v>
      </c>
      <c r="O106" s="866">
        <f>N106+Inputs!O188</f>
        <v>10489.631924016576</v>
      </c>
      <c r="P106" s="866">
        <f>O106+Inputs!P188</f>
        <v>10639.953069440984</v>
      </c>
      <c r="Q106" s="866">
        <f>P106+Inputs!Q188</f>
        <v>10916.916616387502</v>
      </c>
    </row>
    <row r="107" spans="2:17" s="81" customFormat="1" ht="14.45">
      <c r="B107" s="879" t="s">
        <v>487</v>
      </c>
      <c r="E107" s="865">
        <f>IFERROR(((Inputs!O45+Inputs!O15)-(Inputs!N45))/Inputs!O175,"")</f>
        <v>0.40301886792452829</v>
      </c>
      <c r="F107" s="865">
        <f>IFERROR(((Inputs!P45+Inputs!P15)-(Inputs!O45))/Inputs!P175,"")</f>
        <v>0.41158360592649607</v>
      </c>
      <c r="G107" s="865">
        <f>IFERROR(((Inputs!Q45+Inputs!Q15)-(Inputs!P45))/Inputs!Q175,"")</f>
        <v>0.60398293029871974</v>
      </c>
      <c r="H107" s="297">
        <f>AVERAGE(E107:G107)</f>
        <v>0.47286180138324801</v>
      </c>
      <c r="I107" s="297">
        <f t="shared" ref="I107:Q107" si="53">AVERAGE(F107:H107)</f>
        <v>0.49614277920282124</v>
      </c>
      <c r="J107" s="297">
        <f t="shared" si="53"/>
        <v>0.52432917029492965</v>
      </c>
      <c r="K107" s="297">
        <f t="shared" si="53"/>
        <v>0.49777791696033297</v>
      </c>
      <c r="L107" s="297">
        <f t="shared" si="53"/>
        <v>0.50608328881936127</v>
      </c>
      <c r="M107" s="297">
        <f t="shared" si="53"/>
        <v>0.50939679202487465</v>
      </c>
      <c r="N107" s="297">
        <f t="shared" si="53"/>
        <v>0.50441933260152305</v>
      </c>
      <c r="O107" s="297">
        <f t="shared" si="53"/>
        <v>0.50663313781525299</v>
      </c>
      <c r="P107" s="297">
        <f t="shared" si="53"/>
        <v>0.50681642081388356</v>
      </c>
      <c r="Q107" s="297">
        <f t="shared" si="53"/>
        <v>0.5059562970768865</v>
      </c>
    </row>
    <row r="108" spans="2:17" s="81" customFormat="1" ht="3.75" customHeight="1">
      <c r="E108" s="357"/>
      <c r="F108" s="357"/>
      <c r="G108" s="358"/>
      <c r="H108" s="323"/>
      <c r="I108" s="323"/>
      <c r="J108" s="323"/>
      <c r="K108" s="323"/>
      <c r="L108" s="323"/>
      <c r="M108" s="323"/>
      <c r="N108" s="323"/>
      <c r="O108" s="323"/>
      <c r="P108" s="323"/>
      <c r="Q108" s="323"/>
    </row>
    <row r="109" spans="2:17" ht="13.5" customHeight="1">
      <c r="B109" s="140" t="s">
        <v>488</v>
      </c>
      <c r="E109" s="280"/>
      <c r="F109" s="280"/>
      <c r="G109" s="279"/>
      <c r="H109" s="159"/>
      <c r="I109" s="159"/>
      <c r="J109" s="159"/>
      <c r="K109" s="159"/>
      <c r="L109" s="159"/>
      <c r="M109" s="159"/>
      <c r="N109" s="159"/>
      <c r="O109" s="159"/>
      <c r="P109" s="159"/>
      <c r="Q109" s="159"/>
    </row>
    <row r="110" spans="2:17" ht="5.25" customHeight="1">
      <c r="E110" s="280"/>
      <c r="F110" s="280"/>
      <c r="G110" s="279"/>
      <c r="H110" s="159"/>
      <c r="I110" s="159"/>
      <c r="J110" s="159"/>
      <c r="K110" s="159"/>
      <c r="L110" s="159"/>
      <c r="M110" s="159"/>
      <c r="N110" s="159"/>
      <c r="O110" s="159"/>
      <c r="P110" s="159"/>
      <c r="Q110" s="159"/>
    </row>
    <row r="111" spans="2:17" ht="15.6">
      <c r="B111" s="120" t="s">
        <v>283</v>
      </c>
      <c r="E111" s="141">
        <f>+_xlfn.XLOOKUP($B111,Inputs!$B:$B,Inputs!O:O)</f>
        <v>4051</v>
      </c>
      <c r="F111" s="141">
        <f>+_xlfn.XLOOKUP($B111,Inputs!$B:$B,Inputs!P:P)</f>
        <v>4132</v>
      </c>
      <c r="G111" s="259">
        <f>+_xlfn.XLOOKUP($B111,Inputs!$B:$B,Inputs!Q:Q)</f>
        <v>4032</v>
      </c>
      <c r="H111" s="159">
        <f>+IFERROR(H112*H34/365,"")</f>
        <v>4353.8456660286884</v>
      </c>
      <c r="I111" s="159">
        <f t="shared" ref="I111:Q111" si="54">+IFERROR(I112*I34/365,"")</f>
        <v>4584.4799745063829</v>
      </c>
      <c r="J111" s="159">
        <f t="shared" si="54"/>
        <v>4780.630758024824</v>
      </c>
      <c r="K111" s="159">
        <f t="shared" si="54"/>
        <v>5082.6034424529989</v>
      </c>
      <c r="L111" s="159">
        <f t="shared" si="54"/>
        <v>5398.9635209164535</v>
      </c>
      <c r="M111" s="159">
        <f t="shared" si="54"/>
        <v>5748.5180846321891</v>
      </c>
      <c r="N111" s="159">
        <f t="shared" si="54"/>
        <v>6161.5113710912146</v>
      </c>
      <c r="O111" s="159">
        <f t="shared" si="54"/>
        <v>6529.3773295908877</v>
      </c>
      <c r="P111" s="159">
        <f t="shared" si="54"/>
        <v>6876.6525391587047</v>
      </c>
      <c r="Q111" s="159">
        <f t="shared" si="54"/>
        <v>7308.2385397037151</v>
      </c>
    </row>
    <row r="112" spans="2:17" ht="15.6">
      <c r="B112" s="143" t="s">
        <v>489</v>
      </c>
      <c r="E112" s="301">
        <f>IFERROR(E111/E$34*365,"")</f>
        <v>53.107355793405645</v>
      </c>
      <c r="F112" s="301">
        <f>IFERROR(F111/F$34*365,"")</f>
        <v>54.723512336719885</v>
      </c>
      <c r="G112" s="302">
        <f>IFERROR(G111/G$34*366,"")</f>
        <v>54.25212308371016</v>
      </c>
      <c r="H112" s="300">
        <f>IFERROR(AVERAGE(E112:G112),"")</f>
        <v>54.027663737945232</v>
      </c>
      <c r="I112" s="300">
        <f t="shared" ref="I112:Q112" si="55">IFERROR(AVERAGE(F112:H112),"")</f>
        <v>54.334433052791759</v>
      </c>
      <c r="J112" s="300">
        <f t="shared" si="55"/>
        <v>54.204739958149048</v>
      </c>
      <c r="K112" s="300">
        <f t="shared" si="55"/>
        <v>54.188945582962013</v>
      </c>
      <c r="L112" s="300">
        <f t="shared" si="55"/>
        <v>54.242706197967607</v>
      </c>
      <c r="M112" s="300">
        <f t="shared" si="55"/>
        <v>54.212130579692889</v>
      </c>
      <c r="N112" s="300">
        <f t="shared" si="55"/>
        <v>54.214594120207501</v>
      </c>
      <c r="O112" s="300">
        <f t="shared" si="55"/>
        <v>54.223143632622659</v>
      </c>
      <c r="P112" s="300">
        <f t="shared" si="55"/>
        <v>54.216622777507688</v>
      </c>
      <c r="Q112" s="300">
        <f t="shared" si="55"/>
        <v>54.21812017677928</v>
      </c>
    </row>
    <row r="113" spans="1:17" ht="3.75" customHeight="1">
      <c r="E113" s="160"/>
      <c r="F113" s="160"/>
      <c r="G113" s="161"/>
      <c r="H113" s="159"/>
      <c r="I113" s="159"/>
      <c r="J113" s="159"/>
      <c r="K113" s="159"/>
      <c r="L113" s="159"/>
      <c r="O113" s="159"/>
      <c r="P113" s="159"/>
      <c r="Q113" s="159"/>
    </row>
    <row r="114" spans="1:17" ht="15.6">
      <c r="B114" s="120" t="s">
        <v>490</v>
      </c>
      <c r="E114" s="141">
        <f>+_xlfn.XLOOKUP($B114,Inputs!$B:$B,Inputs!O:O)</f>
        <v>21820</v>
      </c>
      <c r="F114" s="141">
        <f>+_xlfn.XLOOKUP($B114,Inputs!$B:$B,Inputs!P:P)</f>
        <v>22744</v>
      </c>
      <c r="G114" s="259">
        <f>+_xlfn.XLOOKUP($B114,Inputs!$B:$B,Inputs!Q:Q)</f>
        <v>23253</v>
      </c>
      <c r="H114" s="159">
        <f>IFERROR(AVERAGE(E114:G114)*(1+H32),"")</f>
        <v>23750.995029623944</v>
      </c>
      <c r="I114" s="159">
        <f t="shared" ref="I114:Q114" si="56">IFERROR(AVERAGE(F114:H114)*(1+I32),"")</f>
        <v>24283.029116986745</v>
      </c>
      <c r="J114" s="159">
        <f t="shared" si="56"/>
        <v>24880.463873900022</v>
      </c>
      <c r="K114" s="159">
        <f t="shared" si="56"/>
        <v>26005.012505791256</v>
      </c>
      <c r="L114" s="159">
        <f t="shared" si="56"/>
        <v>26610.571786318185</v>
      </c>
      <c r="M114" s="159">
        <f t="shared" si="56"/>
        <v>27397.177138872099</v>
      </c>
      <c r="N114" s="159">
        <f t="shared" si="56"/>
        <v>28595.11720452052</v>
      </c>
      <c r="O114" s="159">
        <f t="shared" si="56"/>
        <v>29199.446926773056</v>
      </c>
      <c r="P114" s="159">
        <f t="shared" si="56"/>
        <v>29932.836678737771</v>
      </c>
      <c r="Q114" s="159">
        <f t="shared" si="56"/>
        <v>31066.094034367463</v>
      </c>
    </row>
    <row r="115" spans="1:17" s="319" customFormat="1" ht="15.6">
      <c r="B115" s="267" t="s">
        <v>491</v>
      </c>
      <c r="E115" s="298">
        <f t="shared" ref="E115:Q115" si="57">IFERROR(E114/E$31,"")</f>
        <v>0.36048240541880061</v>
      </c>
      <c r="F115" s="298">
        <f t="shared" si="57"/>
        <v>0.36766892984157773</v>
      </c>
      <c r="G115" s="299">
        <f t="shared" si="57"/>
        <v>0.37054802160852868</v>
      </c>
      <c r="H115" s="298">
        <f t="shared" si="57"/>
        <v>0.36023244572636631</v>
      </c>
      <c r="I115" s="298">
        <f t="shared" si="57"/>
        <v>0.35262369432934726</v>
      </c>
      <c r="J115" s="298">
        <f t="shared" si="57"/>
        <v>0.34506257698493864</v>
      </c>
      <c r="K115" s="298">
        <f t="shared" si="57"/>
        <v>0.3370792075181544</v>
      </c>
      <c r="L115" s="298">
        <f t="shared" si="57"/>
        <v>0.32478020993711121</v>
      </c>
      <c r="M115" s="298">
        <f t="shared" si="57"/>
        <v>0.31527799045132077</v>
      </c>
      <c r="N115" s="298">
        <f t="shared" si="57"/>
        <v>0.30692046004779666</v>
      </c>
      <c r="O115" s="298">
        <f t="shared" si="57"/>
        <v>0.29553425144193846</v>
      </c>
      <c r="P115" s="298">
        <f t="shared" si="57"/>
        <v>0.28741500422311961</v>
      </c>
      <c r="Q115" s="298">
        <f t="shared" si="57"/>
        <v>0.28078607611785839</v>
      </c>
    </row>
    <row r="116" spans="1:17" s="234" customFormat="1" ht="5.25" customHeight="1">
      <c r="B116" s="260"/>
      <c r="E116" s="315"/>
      <c r="F116" s="315"/>
      <c r="G116" s="316"/>
      <c r="H116" s="317"/>
      <c r="I116" s="317"/>
      <c r="J116" s="317"/>
      <c r="K116" s="317"/>
      <c r="L116" s="317"/>
      <c r="M116" s="317"/>
      <c r="N116" s="317"/>
      <c r="O116" s="317"/>
      <c r="P116" s="317"/>
      <c r="Q116" s="317"/>
    </row>
    <row r="117" spans="1:17" ht="15.6">
      <c r="B117" s="120" t="s">
        <v>492</v>
      </c>
      <c r="E117" s="283">
        <f>+_xlfn.XLOOKUP($B117,Inputs!$B:$B,Inputs!O:O)</f>
        <v>50949</v>
      </c>
      <c r="F117" s="283">
        <f>+_xlfn.XLOOKUP($B117,Inputs!$B:$B,Inputs!P:P)</f>
        <v>56547</v>
      </c>
      <c r="G117" s="284">
        <f>+_xlfn.XLOOKUP($B117,Inputs!$B:$B,Inputs!Q:Q)</f>
        <v>54973</v>
      </c>
      <c r="H117" s="159">
        <f>IFERROR(G117+H157+H159,"")</f>
        <v>58285.618690738105</v>
      </c>
      <c r="I117" s="159">
        <f t="shared" ref="I117:Q117" si="58">IFERROR(H117+I157+I159,"")</f>
        <v>60594.230936602544</v>
      </c>
      <c r="J117" s="159">
        <f t="shared" si="58"/>
        <v>62338.950824886721</v>
      </c>
      <c r="K117" s="159">
        <f t="shared" si="58"/>
        <v>65329.330538094422</v>
      </c>
      <c r="L117" s="159">
        <f t="shared" si="58"/>
        <v>68113.492234200268</v>
      </c>
      <c r="M117" s="159">
        <f t="shared" si="58"/>
        <v>70605.69842151599</v>
      </c>
      <c r="N117" s="159">
        <f t="shared" si="58"/>
        <v>73222.737606210285</v>
      </c>
      <c r="O117" s="159">
        <f t="shared" si="58"/>
        <v>76108.590100789981</v>
      </c>
      <c r="P117" s="159">
        <f t="shared" si="58"/>
        <v>79037.188324603732</v>
      </c>
      <c r="Q117" s="159">
        <f t="shared" si="58"/>
        <v>82003.026331577799</v>
      </c>
    </row>
    <row r="118" spans="1:17" ht="3.75" customHeight="1">
      <c r="B118" s="143"/>
      <c r="E118" s="162"/>
      <c r="F118" s="162"/>
      <c r="G118" s="318"/>
      <c r="H118" s="285"/>
      <c r="I118" s="285"/>
      <c r="J118" s="285"/>
      <c r="K118" s="285"/>
      <c r="L118" s="285"/>
      <c r="M118" s="285"/>
      <c r="N118" s="285"/>
      <c r="O118" s="285"/>
      <c r="P118" s="285"/>
      <c r="Q118" s="285"/>
    </row>
    <row r="119" spans="1:17" ht="15.6">
      <c r="B119" s="120" t="s">
        <v>493</v>
      </c>
      <c r="E119" s="283">
        <f>+_xlfn.XLOOKUP($B119,Inputs!$B:$B,Inputs!O:O)</f>
        <v>3064</v>
      </c>
      <c r="F119" s="283">
        <f>+_xlfn.XLOOKUP($B119,Inputs!$B:$B,Inputs!P:P)</f>
        <v>3388</v>
      </c>
      <c r="G119" s="284">
        <f>+_xlfn.XLOOKUP($B119,Inputs!$B:$B,Inputs!Q:Q)</f>
        <v>3423</v>
      </c>
      <c r="H119" s="159">
        <f>+IFERROR(H120*H31,"")</f>
        <v>3514.9790799317675</v>
      </c>
      <c r="I119" s="159">
        <f t="shared" ref="I119:Q119" si="59">+IFERROR(I120*I31,"")</f>
        <v>3733.0611772306752</v>
      </c>
      <c r="J119" s="159">
        <f t="shared" si="59"/>
        <v>3895.2696865485605</v>
      </c>
      <c r="K119" s="159">
        <f t="shared" si="59"/>
        <v>4154.2676255691704</v>
      </c>
      <c r="L119" s="159">
        <f t="shared" si="59"/>
        <v>4426.6271415091132</v>
      </c>
      <c r="M119" s="159">
        <f t="shared" si="59"/>
        <v>4689.5468209910732</v>
      </c>
      <c r="N119" s="159">
        <f t="shared" si="59"/>
        <v>5026.1090779368933</v>
      </c>
      <c r="O119" s="159">
        <f t="shared" si="59"/>
        <v>5333.3225401209384</v>
      </c>
      <c r="P119" s="159">
        <f t="shared" si="59"/>
        <v>5620.0950692504894</v>
      </c>
      <c r="Q119" s="159">
        <f t="shared" si="59"/>
        <v>5970.5152278973574</v>
      </c>
    </row>
    <row r="120" spans="1:17" ht="15.6">
      <c r="B120" s="143" t="s">
        <v>494</v>
      </c>
      <c r="E120" s="281">
        <f>IFERROR(E119/E$31,"")</f>
        <v>5.0619527507021311E-2</v>
      </c>
      <c r="F120" s="281">
        <f>IFERROR(F119/F$31,"")</f>
        <v>5.4768832848367283E-2</v>
      </c>
      <c r="G120" s="282">
        <f>IFERROR(G119/G$31,"")</f>
        <v>5.4547192962886237E-2</v>
      </c>
      <c r="H120" s="135">
        <f>+IFERROR(AVERAGE(E120:G120),"")</f>
        <v>5.3311851106091608E-2</v>
      </c>
      <c r="I120" s="135">
        <f t="shared" ref="I120:Q120" si="60">+IFERROR(AVERAGE(F120:H120),"")</f>
        <v>5.4209292305781705E-2</v>
      </c>
      <c r="J120" s="135">
        <f t="shared" si="60"/>
        <v>5.4022778791586512E-2</v>
      </c>
      <c r="K120" s="135">
        <f t="shared" si="60"/>
        <v>5.3847974067819937E-2</v>
      </c>
      <c r="L120" s="135">
        <f t="shared" si="60"/>
        <v>5.4026681721729385E-2</v>
      </c>
      <c r="M120" s="135">
        <f t="shared" si="60"/>
        <v>5.3965811527045278E-2</v>
      </c>
      <c r="N120" s="135">
        <f t="shared" si="60"/>
        <v>5.3946822438864867E-2</v>
      </c>
      <c r="O120" s="135">
        <f t="shared" si="60"/>
        <v>5.3979771895879845E-2</v>
      </c>
      <c r="P120" s="135">
        <f t="shared" si="60"/>
        <v>5.3964135287263328E-2</v>
      </c>
      <c r="Q120" s="135">
        <f t="shared" si="60"/>
        <v>5.3963576540669349E-2</v>
      </c>
    </row>
    <row r="121" spans="1:17" ht="3.75" customHeight="1">
      <c r="G121" s="149"/>
    </row>
    <row r="122" spans="1:17" ht="15.6">
      <c r="A122" s="120" t="s">
        <v>417</v>
      </c>
      <c r="B122" s="45" t="s">
        <v>240</v>
      </c>
      <c r="C122" s="45"/>
      <c r="D122" s="45"/>
      <c r="E122" s="131">
        <f t="shared" ref="E122:Q122" si="61">E29</f>
        <v>2022</v>
      </c>
      <c r="F122" s="131">
        <f t="shared" si="61"/>
        <v>2023</v>
      </c>
      <c r="G122" s="154">
        <f t="shared" si="61"/>
        <v>2024</v>
      </c>
      <c r="H122" s="97">
        <f t="shared" si="61"/>
        <v>2025</v>
      </c>
      <c r="I122" s="97">
        <f t="shared" si="61"/>
        <v>2026</v>
      </c>
      <c r="J122" s="97">
        <f t="shared" si="61"/>
        <v>2027</v>
      </c>
      <c r="K122" s="97">
        <f t="shared" si="61"/>
        <v>2028</v>
      </c>
      <c r="L122" s="97">
        <f t="shared" si="61"/>
        <v>2029</v>
      </c>
      <c r="M122" s="97">
        <f t="shared" si="61"/>
        <v>2030</v>
      </c>
      <c r="N122" s="97">
        <f t="shared" si="61"/>
        <v>2031</v>
      </c>
      <c r="O122" s="97">
        <f t="shared" si="61"/>
        <v>2032</v>
      </c>
      <c r="P122" s="97">
        <f t="shared" si="61"/>
        <v>2033</v>
      </c>
      <c r="Q122" s="97">
        <f t="shared" si="61"/>
        <v>2034</v>
      </c>
    </row>
    <row r="123" spans="1:17" ht="3.95" customHeight="1">
      <c r="B123" s="46"/>
      <c r="C123" s="46"/>
      <c r="D123" s="46"/>
      <c r="E123" s="163"/>
      <c r="F123" s="163"/>
      <c r="G123" s="164"/>
      <c r="H123" s="46"/>
      <c r="I123" s="46"/>
      <c r="J123" s="46"/>
      <c r="K123" s="46"/>
      <c r="L123" s="46"/>
      <c r="M123" s="46"/>
      <c r="N123" s="46"/>
      <c r="O123" s="46"/>
      <c r="P123" s="46"/>
      <c r="Q123" s="46"/>
    </row>
    <row r="124" spans="1:17" ht="15.6">
      <c r="B124" s="120" t="s">
        <v>460</v>
      </c>
      <c r="E124" s="157">
        <f>+E51</f>
        <v>4802</v>
      </c>
      <c r="F124" s="157">
        <f t="shared" ref="F124:Q124" si="62">+F51</f>
        <v>4396</v>
      </c>
      <c r="G124" s="158">
        <f t="shared" si="62"/>
        <v>4667</v>
      </c>
      <c r="H124" s="159">
        <f t="shared" si="62"/>
        <v>4724.9082173295192</v>
      </c>
      <c r="I124" s="159">
        <f t="shared" si="62"/>
        <v>4951.4633538111557</v>
      </c>
      <c r="J124" s="159">
        <f t="shared" si="62"/>
        <v>5243.3934394936596</v>
      </c>
      <c r="K124" s="159">
        <f t="shared" si="62"/>
        <v>5527.7423894380627</v>
      </c>
      <c r="L124" s="159">
        <f t="shared" si="62"/>
        <v>5841.6913654829295</v>
      </c>
      <c r="M124" s="159">
        <f t="shared" si="62"/>
        <v>6170.046906237555</v>
      </c>
      <c r="N124" s="159">
        <f t="shared" si="62"/>
        <v>6493.0385241379518</v>
      </c>
      <c r="O124" s="159">
        <f t="shared" si="62"/>
        <v>6627.9763973500858</v>
      </c>
      <c r="P124" s="159">
        <f t="shared" si="62"/>
        <v>6839.688194334929</v>
      </c>
      <c r="Q124" s="159">
        <f t="shared" si="62"/>
        <v>7045.6911467317341</v>
      </c>
    </row>
    <row r="125" spans="1:17" ht="3.95" customHeight="1">
      <c r="G125" s="138"/>
    </row>
    <row r="126" spans="1:17" ht="13.5" customHeight="1">
      <c r="B126" s="120" t="s">
        <v>495</v>
      </c>
      <c r="E126" s="283">
        <f>+_xlfn.XLOOKUP($B126,Inputs!$B:$B,Inputs!O:O)</f>
        <v>987</v>
      </c>
      <c r="F126" s="283">
        <f>+_xlfn.XLOOKUP($B126,Inputs!$B:$B,Inputs!P:P)</f>
        <v>1133</v>
      </c>
      <c r="G126" s="284">
        <f>+_xlfn.XLOOKUP($B126,Inputs!$B:$B,Inputs!Q:Q)</f>
        <v>1311</v>
      </c>
      <c r="H126" s="159">
        <f>IFERROR(H127*H40,"")</f>
        <v>1235.9574518224165</v>
      </c>
      <c r="I126" s="159">
        <f t="shared" ref="I126:Q126" si="63">IFERROR(I127*I40,"")</f>
        <v>1339.241272289886</v>
      </c>
      <c r="J126" s="159">
        <f t="shared" si="63"/>
        <v>1420.0904610550497</v>
      </c>
      <c r="K126" s="159">
        <f t="shared" si="63"/>
        <v>1488.6611683561491</v>
      </c>
      <c r="L126" s="159">
        <f t="shared" si="63"/>
        <v>1596.0431310710135</v>
      </c>
      <c r="M126" s="159">
        <f t="shared" si="63"/>
        <v>1693.6723062928506</v>
      </c>
      <c r="N126" s="159">
        <f t="shared" si="63"/>
        <v>1809.5056258382363</v>
      </c>
      <c r="O126" s="159">
        <f t="shared" si="63"/>
        <v>1923.0814753344152</v>
      </c>
      <c r="P126" s="159">
        <f t="shared" si="63"/>
        <v>2026.5293259197381</v>
      </c>
      <c r="Q126" s="159">
        <f t="shared" si="63"/>
        <v>2151.7461192778569</v>
      </c>
    </row>
    <row r="127" spans="1:17" ht="13.5" customHeight="1">
      <c r="B127" s="267" t="s">
        <v>496</v>
      </c>
      <c r="E127" s="281">
        <f>+IFERROR(E126/E40,"")</f>
        <v>5.3038852168305659E-2</v>
      </c>
      <c r="F127" s="281">
        <f t="shared" ref="F127:G127" si="64">+IFERROR(F126/F40,"")</f>
        <v>5.9622164921328213E-2</v>
      </c>
      <c r="G127" s="282">
        <f t="shared" si="64"/>
        <v>6.6588785046728965E-2</v>
      </c>
      <c r="H127" s="135">
        <f>IFERROR(AVERAGE(E127:G127),"")</f>
        <v>5.9749934045454277E-2</v>
      </c>
      <c r="I127" s="135">
        <f t="shared" ref="I127:Q127" si="65">IFERROR(AVERAGE(F127:H127),"")</f>
        <v>6.1986961337837154E-2</v>
      </c>
      <c r="J127" s="135">
        <f t="shared" si="65"/>
        <v>6.2775226810006801E-2</v>
      </c>
      <c r="K127" s="135">
        <f t="shared" si="65"/>
        <v>6.1504040731099413E-2</v>
      </c>
      <c r="L127" s="135">
        <f t="shared" si="65"/>
        <v>6.2088742959647787E-2</v>
      </c>
      <c r="M127" s="135">
        <f t="shared" si="65"/>
        <v>6.2122670166917998E-2</v>
      </c>
      <c r="N127" s="135">
        <f t="shared" si="65"/>
        <v>6.1905151285888395E-2</v>
      </c>
      <c r="O127" s="135">
        <f t="shared" si="65"/>
        <v>6.2038854804151389E-2</v>
      </c>
      <c r="P127" s="135">
        <f t="shared" si="65"/>
        <v>6.2022225418985923E-2</v>
      </c>
      <c r="Q127" s="135">
        <f t="shared" si="65"/>
        <v>6.1988743836341897E-2</v>
      </c>
    </row>
    <row r="128" spans="1:17" ht="3.75" customHeight="1">
      <c r="B128" s="267"/>
      <c r="E128" s="281"/>
      <c r="F128" s="281"/>
      <c r="G128" s="282"/>
      <c r="H128" s="135"/>
      <c r="I128" s="135"/>
      <c r="J128" s="135"/>
      <c r="K128" s="135"/>
      <c r="L128" s="135"/>
      <c r="M128" s="135"/>
      <c r="N128" s="135"/>
      <c r="O128" s="135"/>
      <c r="P128" s="135"/>
      <c r="Q128" s="135"/>
    </row>
    <row r="129" spans="2:17" ht="13.5" customHeight="1">
      <c r="B129" s="120" t="s">
        <v>497</v>
      </c>
      <c r="E129" s="283">
        <f>+_xlfn.XLOOKUP($B129,Inputs!$B:$B,Inputs!O:O)</f>
        <v>202</v>
      </c>
      <c r="F129" s="283">
        <f>+_xlfn.XLOOKUP($B129,Inputs!$B:$B,Inputs!P:P)</f>
        <v>2184</v>
      </c>
      <c r="G129" s="284">
        <f>+_xlfn.XLOOKUP($B129,Inputs!$B:$B,Inputs!Q:Q)</f>
        <v>1313</v>
      </c>
      <c r="H129" s="165">
        <f>IFERROR(-((H91+H94+H97-H111-H114)-(G91+G94+G97-G111-G114)),"")</f>
        <v>-637.41026737289576</v>
      </c>
      <c r="I129" s="165">
        <f t="shared" ref="I129:Q129" si="66">IFERROR(-((I91+I94+I97-I111-I114)-(H91+H94+H97-H111-H114)),"")</f>
        <v>584.14038181591241</v>
      </c>
      <c r="J129" s="165">
        <f t="shared" si="66"/>
        <v>-64.952016686111165</v>
      </c>
      <c r="K129" s="165">
        <f t="shared" si="66"/>
        <v>58.029803600849846</v>
      </c>
      <c r="L129" s="165">
        <f t="shared" si="66"/>
        <v>43.857881893523881</v>
      </c>
      <c r="M129" s="165">
        <f t="shared" si="66"/>
        <v>-6.5378623557735409</v>
      </c>
      <c r="N129" s="165">
        <f t="shared" si="66"/>
        <v>112.66919677475744</v>
      </c>
      <c r="O129" s="165">
        <f t="shared" si="66"/>
        <v>-114.27506459326105</v>
      </c>
      <c r="P129" s="165">
        <f t="shared" si="66"/>
        <v>-56.12865565386528</v>
      </c>
      <c r="Q129" s="165">
        <f t="shared" si="66"/>
        <v>75.689558179576125</v>
      </c>
    </row>
    <row r="130" spans="2:17" ht="3.75" customHeight="1">
      <c r="G130" s="138"/>
    </row>
    <row r="131" spans="2:17" ht="13.5" customHeight="1">
      <c r="B131" s="370" t="s">
        <v>498</v>
      </c>
      <c r="C131" s="370"/>
      <c r="D131" s="370"/>
      <c r="E131" s="371">
        <f>+_xlfn.XLOOKUP($B131,Inputs!$B:$B,Inputs!O:O)</f>
        <v>2662</v>
      </c>
      <c r="F131" s="371">
        <f>+_xlfn.XLOOKUP($B131,Inputs!$B:$B,Inputs!P:P)</f>
        <v>-1295</v>
      </c>
      <c r="G131" s="372">
        <f>+_xlfn.XLOOKUP($B131,Inputs!$B:$B,Inputs!Q:Q)</f>
        <v>138</v>
      </c>
      <c r="H131" s="373">
        <f>IFERROR(AVERAGE(E131:G131)*(1+H32),"")</f>
        <v>527.08388043682316</v>
      </c>
      <c r="I131" s="373">
        <f t="shared" ref="I131:Q131" si="67">IFERROR(AVERAGE(F131:H131)*(1+I32),"")</f>
        <v>-219.30768714018473</v>
      </c>
      <c r="J131" s="373">
        <f t="shared" si="67"/>
        <v>155.58397346411058</v>
      </c>
      <c r="K131" s="373">
        <f t="shared" si="67"/>
        <v>165.25778701085093</v>
      </c>
      <c r="L131" s="373">
        <f t="shared" si="67"/>
        <v>35.944305788436608</v>
      </c>
      <c r="M131" s="373">
        <f t="shared" si="67"/>
        <v>126.13457446449587</v>
      </c>
      <c r="N131" s="373">
        <f t="shared" si="67"/>
        <v>116.98421849643438</v>
      </c>
      <c r="O131" s="373">
        <f t="shared" si="67"/>
        <v>98.646554568184627</v>
      </c>
      <c r="P131" s="373">
        <f t="shared" si="67"/>
        <v>120.08213680712288</v>
      </c>
      <c r="Q131" s="373">
        <f t="shared" si="67"/>
        <v>118.88291150003052</v>
      </c>
    </row>
    <row r="132" spans="2:17" ht="5.25" customHeight="1">
      <c r="E132" s="312"/>
      <c r="F132" s="312"/>
      <c r="G132" s="284"/>
      <c r="H132" s="159"/>
      <c r="I132" s="159"/>
      <c r="J132" s="159"/>
      <c r="K132" s="159"/>
      <c r="L132" s="159"/>
      <c r="M132" s="159"/>
      <c r="N132" s="159"/>
      <c r="O132" s="159"/>
      <c r="P132" s="159"/>
      <c r="Q132" s="159"/>
    </row>
    <row r="133" spans="2:17" ht="13.5" customHeight="1">
      <c r="B133" s="388" t="s">
        <v>289</v>
      </c>
      <c r="C133" s="140"/>
      <c r="D133" s="140"/>
      <c r="E133" s="334">
        <f>+_xlfn.XLOOKUP($B133,Inputs!$B:$B,Inputs!O:O)</f>
        <v>10435</v>
      </c>
      <c r="F133" s="334">
        <f>+_xlfn.XLOOKUP($B133,Inputs!$B:$B,Inputs!P:P)</f>
        <v>13931</v>
      </c>
      <c r="G133" s="335">
        <f>+_xlfn.XLOOKUP($B133,Inputs!$B:$B,Inputs!Q:Q)</f>
        <v>13445</v>
      </c>
      <c r="H133" s="480">
        <f>IFERROR(H82+H124+H126+H129+H131,"")</f>
        <v>12639.137524906851</v>
      </c>
      <c r="I133" s="480">
        <f t="shared" ref="I133:Q133" si="68">IFERROR(I82+I124+I126+I129+I131,"")</f>
        <v>14958.293961696061</v>
      </c>
      <c r="J133" s="480">
        <f t="shared" si="68"/>
        <v>14831.939147933228</v>
      </c>
      <c r="K133" s="480">
        <f t="shared" si="68"/>
        <v>16565.85698337073</v>
      </c>
      <c r="L133" s="480">
        <f t="shared" si="68"/>
        <v>17501.755724177026</v>
      </c>
      <c r="M133" s="480">
        <f t="shared" si="68"/>
        <v>18465.018625288358</v>
      </c>
      <c r="N133" s="480">
        <f t="shared" si="68"/>
        <v>19984.236903282068</v>
      </c>
      <c r="O133" s="480">
        <f t="shared" si="68"/>
        <v>20969.089216965276</v>
      </c>
      <c r="P133" s="480">
        <f t="shared" si="68"/>
        <v>22268.618489877412</v>
      </c>
      <c r="Q133" s="480">
        <f t="shared" si="68"/>
        <v>23779.387244664485</v>
      </c>
    </row>
    <row r="134" spans="2:17" ht="3.75" customHeight="1">
      <c r="G134" s="138"/>
    </row>
    <row r="135" spans="2:17" ht="13.5" customHeight="1">
      <c r="B135" s="330" t="s">
        <v>499</v>
      </c>
      <c r="C135" s="330"/>
      <c r="D135" s="330"/>
      <c r="E135" s="331">
        <f>+_xlfn.XLOOKUP($B135,Inputs!$B:$B,Inputs!O:O)</f>
        <v>-1235</v>
      </c>
      <c r="F135" s="331">
        <f>+_xlfn.XLOOKUP($B135,Inputs!$B:$B,Inputs!P:P)</f>
        <v>-924</v>
      </c>
      <c r="G135" s="332">
        <f>+_xlfn.XLOOKUP($B135,Inputs!$B:$B,Inputs!Q:Q)</f>
        <v>-491</v>
      </c>
      <c r="H135" s="333">
        <f>IFERROR(H137+H139,"")</f>
        <v>-938.72156737252351</v>
      </c>
      <c r="I135" s="333">
        <f t="shared" ref="I135:Q135" si="69">IFERROR(I137+I139,"")</f>
        <v>-770.11746913747834</v>
      </c>
      <c r="J135" s="333">
        <f t="shared" si="69"/>
        <v>-683.21191991013461</v>
      </c>
      <c r="K135" s="333">
        <f t="shared" si="69"/>
        <v>-729.75803891963051</v>
      </c>
      <c r="L135" s="333">
        <f t="shared" si="69"/>
        <v>-665.93999630489611</v>
      </c>
      <c r="M135" s="333">
        <f t="shared" si="69"/>
        <v>-650.44520363164111</v>
      </c>
      <c r="N135" s="333">
        <f t="shared" si="69"/>
        <v>-624.32854357883718</v>
      </c>
      <c r="O135" s="333">
        <f t="shared" si="69"/>
        <v>-603.68566947922352</v>
      </c>
      <c r="P135" s="333">
        <f t="shared" si="69"/>
        <v>-606.82238678273222</v>
      </c>
      <c r="Q135" s="333">
        <f t="shared" si="69"/>
        <v>-624.95578512006011</v>
      </c>
    </row>
    <row r="136" spans="2:17" ht="3.75" customHeight="1">
      <c r="B136" s="143"/>
      <c r="E136" s="145"/>
      <c r="F136" s="145"/>
      <c r="G136" s="146"/>
      <c r="H136" s="145"/>
      <c r="I136" s="145"/>
      <c r="J136" s="145"/>
      <c r="K136" s="145"/>
      <c r="L136" s="145"/>
      <c r="M136" s="145"/>
      <c r="N136" s="145"/>
      <c r="O136" s="145"/>
      <c r="P136" s="145"/>
      <c r="Q136" s="145"/>
    </row>
    <row r="137" spans="2:17" s="143" customFormat="1" ht="15.6">
      <c r="B137" s="266" t="s">
        <v>500</v>
      </c>
      <c r="E137" s="309">
        <f>+_xlfn.XLOOKUP($B137,Inputs!$B:$B,Inputs!O:O)</f>
        <v>-1346</v>
      </c>
      <c r="F137" s="309">
        <f>+_xlfn.XLOOKUP($B137,Inputs!$B:$B,Inputs!P:P)</f>
        <v>-1245</v>
      </c>
      <c r="G137" s="310">
        <f>+_xlfn.XLOOKUP($B137,Inputs!$B:$B,Inputs!Q:Q)</f>
        <v>-1048</v>
      </c>
      <c r="H137" s="311">
        <f>Inputs!R241</f>
        <v>-1263.8563712603939</v>
      </c>
      <c r="I137" s="311">
        <f>Inputs!S241</f>
        <v>-1189.7628489655647</v>
      </c>
      <c r="J137" s="311">
        <f>Inputs!T241</f>
        <v>-1151.3239830662937</v>
      </c>
      <c r="K137" s="311">
        <f>Inputs!U241</f>
        <v>-1165.1171867807188</v>
      </c>
      <c r="L137" s="311">
        <f>Inputs!V241</f>
        <v>-1140.0086919501252</v>
      </c>
      <c r="M137" s="311">
        <f>Inputs!W241</f>
        <v>-1141.4878096376351</v>
      </c>
      <c r="N137" s="311">
        <f>Inputs!X241</f>
        <v>-1120.8889548663785</v>
      </c>
      <c r="O137" s="311">
        <f>Inputs!Y241</f>
        <v>-1120.0289337012134</v>
      </c>
      <c r="P137" s="311">
        <f>Inputs!Z241</f>
        <v>-1136.2044527272933</v>
      </c>
      <c r="Q137" s="311">
        <f>Inputs!AA241</f>
        <v>-1166.5162010696204</v>
      </c>
    </row>
    <row r="138" spans="2:17" ht="12" customHeight="1">
      <c r="B138" s="266"/>
      <c r="E138" s="145"/>
      <c r="F138" s="145"/>
      <c r="G138" s="146"/>
      <c r="H138" s="145"/>
      <c r="I138" s="145"/>
      <c r="J138" s="145"/>
      <c r="K138" s="145"/>
      <c r="L138" s="145"/>
      <c r="M138" s="145"/>
      <c r="N138" s="145"/>
      <c r="O138" s="145"/>
      <c r="P138" s="145"/>
      <c r="Q138" s="145"/>
    </row>
    <row r="139" spans="2:17" s="143" customFormat="1" ht="15.6">
      <c r="B139" s="266" t="s">
        <v>501</v>
      </c>
      <c r="E139" s="309">
        <f>+_xlfn.XLOOKUP($B139,Inputs!$B:$B,Inputs!O:O)</f>
        <v>111</v>
      </c>
      <c r="F139" s="309">
        <f>+_xlfn.XLOOKUP($B139,Inputs!$B:$B,Inputs!P:P)</f>
        <v>321</v>
      </c>
      <c r="G139" s="310">
        <f>+_xlfn.XLOOKUP($B139,Inputs!$B:$B,Inputs!Q:Q)</f>
        <v>557</v>
      </c>
      <c r="H139" s="311">
        <f>IFERROR(H140*G101,"")</f>
        <v>325.13480388787036</v>
      </c>
      <c r="I139" s="311">
        <f t="shared" ref="I139:Q139" si="70">IFERROR(I140*H101,"")</f>
        <v>419.64537982808628</v>
      </c>
      <c r="J139" s="311">
        <f t="shared" si="70"/>
        <v>468.11206315615914</v>
      </c>
      <c r="K139" s="311">
        <f t="shared" si="70"/>
        <v>435.35914786108833</v>
      </c>
      <c r="L139" s="311">
        <f t="shared" si="70"/>
        <v>474.06869564522918</v>
      </c>
      <c r="M139" s="311">
        <f t="shared" si="70"/>
        <v>491.04260600599406</v>
      </c>
      <c r="N139" s="311">
        <f t="shared" si="70"/>
        <v>496.56041128754134</v>
      </c>
      <c r="O139" s="311">
        <f t="shared" si="70"/>
        <v>516.3432642219899</v>
      </c>
      <c r="P139" s="311">
        <f t="shared" si="70"/>
        <v>529.38206594456108</v>
      </c>
      <c r="Q139" s="311">
        <f t="shared" si="70"/>
        <v>541.56041594956025</v>
      </c>
    </row>
    <row r="140" spans="2:17" customFormat="1" ht="14.45">
      <c r="B140" s="276" t="s">
        <v>502</v>
      </c>
      <c r="E140" s="275">
        <f>IFERROR(E139/E101,"")</f>
        <v>5.9374164215030755E-3</v>
      </c>
      <c r="F140" s="275">
        <f t="shared" ref="F140:G140" si="71">IFERROR(F139/F101,"")</f>
        <v>1.7713276680278115E-2</v>
      </c>
      <c r="G140" s="305">
        <f t="shared" si="71"/>
        <v>3.1484935843084053E-2</v>
      </c>
      <c r="H140" s="297">
        <f>IFERROR(AVERAGE(E140:G140),"")</f>
        <v>1.837854298162175E-2</v>
      </c>
      <c r="I140" s="297">
        <f t="shared" ref="I140:Q140" si="72">IFERROR(AVERAGE(F140:H140),"")</f>
        <v>2.2525585168327974E-2</v>
      </c>
      <c r="J140" s="297">
        <f t="shared" si="72"/>
        <v>2.4129687997677927E-2</v>
      </c>
      <c r="K140" s="297">
        <f t="shared" si="72"/>
        <v>2.1677938715875884E-2</v>
      </c>
      <c r="L140" s="297">
        <f t="shared" si="72"/>
        <v>2.2777737293960595E-2</v>
      </c>
      <c r="M140" s="297">
        <f t="shared" si="72"/>
        <v>2.2861788002504799E-2</v>
      </c>
      <c r="N140" s="297">
        <f t="shared" si="72"/>
        <v>2.2439154670780424E-2</v>
      </c>
      <c r="O140" s="297">
        <f t="shared" si="72"/>
        <v>2.269289332241527E-2</v>
      </c>
      <c r="P140" s="297">
        <f t="shared" si="72"/>
        <v>2.2664611998566831E-2</v>
      </c>
      <c r="Q140" s="297">
        <f t="shared" si="72"/>
        <v>2.2598886663920844E-2</v>
      </c>
    </row>
    <row r="141" spans="2:17" ht="3.75" customHeight="1">
      <c r="B141" s="143"/>
      <c r="E141" s="145"/>
      <c r="F141" s="145"/>
      <c r="G141" s="146"/>
      <c r="H141" s="145"/>
      <c r="I141" s="145"/>
      <c r="J141" s="145"/>
      <c r="K141" s="145"/>
      <c r="L141" s="145"/>
      <c r="M141" s="145"/>
      <c r="N141" s="145"/>
      <c r="O141" s="145"/>
      <c r="P141" s="145"/>
      <c r="Q141" s="145"/>
    </row>
    <row r="142" spans="2:17" ht="13.5" customHeight="1">
      <c r="B142" s="189" t="s">
        <v>503</v>
      </c>
      <c r="E142" s="309">
        <f>+_xlfn.XLOOKUP($B142,Inputs!$B:$B,Inputs!O:O)</f>
        <v>-2341</v>
      </c>
      <c r="F142" s="309">
        <f>+_xlfn.XLOOKUP($B142,Inputs!$B:$B,Inputs!P:P)</f>
        <v>-5582</v>
      </c>
      <c r="G142" s="310">
        <f>+_xlfn.XLOOKUP($B142,Inputs!$B:$B,Inputs!Q:Q)</f>
        <v>-3809</v>
      </c>
      <c r="H142" s="325">
        <f>AVERAGE(E142/E31,F142/F31,G142/G31)*G31</f>
        <v>-3966.1851235486115</v>
      </c>
      <c r="I142" s="325">
        <f t="shared" ref="I142:Q142" si="73">AVERAGE(F142/F31,G142/G31,H142/H31)*H31</f>
        <v>-4639.2162210985689</v>
      </c>
      <c r="J142" s="325">
        <f t="shared" si="73"/>
        <v>-4320.5540872269294</v>
      </c>
      <c r="K142" s="325">
        <f t="shared" si="73"/>
        <v>-4505.1723641123408</v>
      </c>
      <c r="L142" s="325">
        <f t="shared" si="73"/>
        <v>-4775.0888859512152</v>
      </c>
      <c r="M142" s="325">
        <f t="shared" si="73"/>
        <v>-4823.1059342336839</v>
      </c>
      <c r="N142" s="325">
        <f t="shared" si="73"/>
        <v>-4987.3594191399543</v>
      </c>
      <c r="O142" s="325">
        <f t="shared" si="73"/>
        <v>-5196.073419618423</v>
      </c>
      <c r="P142" s="325">
        <f t="shared" si="73"/>
        <v>-5322.9484344770353</v>
      </c>
      <c r="Q142" s="325">
        <f t="shared" si="73"/>
        <v>-5458.3259658732859</v>
      </c>
    </row>
    <row r="143" spans="2:17" ht="3.75" customHeight="1">
      <c r="B143" s="143"/>
      <c r="E143" s="145"/>
      <c r="F143" s="145"/>
      <c r="G143" s="153"/>
      <c r="H143" s="145"/>
      <c r="I143" s="145"/>
      <c r="J143" s="145"/>
      <c r="K143" s="145"/>
      <c r="L143" s="145"/>
      <c r="M143" s="145"/>
      <c r="N143" s="145"/>
      <c r="O143" s="145"/>
      <c r="P143" s="145"/>
      <c r="Q143" s="145"/>
    </row>
    <row r="144" spans="2:17" ht="13.5" customHeight="1">
      <c r="B144" s="370" t="s">
        <v>504</v>
      </c>
      <c r="C144" s="370"/>
      <c r="D144" s="370"/>
      <c r="E144" s="371">
        <f>+_xlfn.XLOOKUP($B144,Inputs!$B:$B,Inputs!O:O)</f>
        <v>-626</v>
      </c>
      <c r="F144" s="371">
        <f>+_xlfn.XLOOKUP($B144,Inputs!$B:$B,Inputs!P:P)</f>
        <v>-564</v>
      </c>
      <c r="G144" s="372">
        <f>+_xlfn.XLOOKUP($B144,Inputs!$B:$B,Inputs!Q:Q)</f>
        <v>-637</v>
      </c>
      <c r="H144" s="373">
        <f>IFERROR(AVERAGE(E144:G144)*(1+H32),"")</f>
        <v>-639.85531532098071</v>
      </c>
      <c r="I144" s="373">
        <f t="shared" ref="I144:Q144" si="74">IFERROR(AVERAGE(F144:H144)*(1+I32),"")</f>
        <v>-640.90076285509258</v>
      </c>
      <c r="J144" s="373">
        <f t="shared" si="74"/>
        <v>-669.33164055047109</v>
      </c>
      <c r="K144" s="373">
        <f t="shared" si="74"/>
        <v>-695.50039902369633</v>
      </c>
      <c r="L144" s="373">
        <f t="shared" si="74"/>
        <v>-710.05398298860359</v>
      </c>
      <c r="M144" s="373">
        <f t="shared" si="74"/>
        <v>-733.534434960456</v>
      </c>
      <c r="N144" s="373">
        <f t="shared" si="74"/>
        <v>-764.47174598489221</v>
      </c>
      <c r="O144" s="373">
        <f t="shared" si="74"/>
        <v>-780.53145839598187</v>
      </c>
      <c r="P144" s="373">
        <f t="shared" si="74"/>
        <v>-800.58341346106045</v>
      </c>
      <c r="Q144" s="373">
        <f t="shared" si="74"/>
        <v>-830.62092074770817</v>
      </c>
    </row>
    <row r="145" spans="2:17" ht="5.25" customHeight="1">
      <c r="E145" s="326"/>
      <c r="F145" s="326"/>
      <c r="G145" s="310"/>
      <c r="H145" s="311"/>
      <c r="I145" s="311"/>
      <c r="J145" s="311"/>
      <c r="K145" s="311"/>
      <c r="L145" s="311"/>
      <c r="M145" s="311"/>
      <c r="N145" s="311"/>
      <c r="O145" s="311"/>
      <c r="P145" s="311"/>
      <c r="Q145" s="311"/>
    </row>
    <row r="146" spans="2:17" ht="13.5" customHeight="1">
      <c r="B146" s="140" t="s">
        <v>290</v>
      </c>
      <c r="C146" s="140"/>
      <c r="D146" s="140"/>
      <c r="E146" s="334">
        <f>+_xlfn.XLOOKUP($B146,Inputs!$B:$B,Inputs!O:O)</f>
        <v>-4202</v>
      </c>
      <c r="F146" s="334">
        <f>+_xlfn.XLOOKUP($B146,Inputs!$B:$B,Inputs!P:P)</f>
        <v>-7070</v>
      </c>
      <c r="G146" s="335">
        <f>+_xlfn.XLOOKUP($B146,Inputs!$B:$B,Inputs!Q:Q)</f>
        <v>-4937</v>
      </c>
      <c r="H146" s="339">
        <f>IFERROR(+H135+H142+H144,"")</f>
        <v>-5544.7620062421156</v>
      </c>
      <c r="I146" s="339">
        <f t="shared" ref="I146:Q146" si="75">IFERROR(+I135+I142+I144,"")</f>
        <v>-6050.2344530911396</v>
      </c>
      <c r="J146" s="339">
        <f t="shared" si="75"/>
        <v>-5673.0976476875348</v>
      </c>
      <c r="K146" s="339">
        <f t="shared" si="75"/>
        <v>-5930.4308020556673</v>
      </c>
      <c r="L146" s="339">
        <f t="shared" si="75"/>
        <v>-6151.0828652447153</v>
      </c>
      <c r="M146" s="339">
        <f t="shared" si="75"/>
        <v>-6207.0855728257802</v>
      </c>
      <c r="N146" s="339">
        <f t="shared" si="75"/>
        <v>-6376.1597087036844</v>
      </c>
      <c r="O146" s="339">
        <f t="shared" si="75"/>
        <v>-6580.2905474936279</v>
      </c>
      <c r="P146" s="339">
        <f t="shared" si="75"/>
        <v>-6730.3542347208277</v>
      </c>
      <c r="Q146" s="339">
        <f t="shared" si="75"/>
        <v>-6913.9026717410543</v>
      </c>
    </row>
    <row r="147" spans="2:17" ht="3.75" customHeight="1">
      <c r="E147" s="326"/>
      <c r="F147" s="326"/>
      <c r="G147" s="310"/>
      <c r="H147" s="311"/>
      <c r="I147" s="311"/>
      <c r="J147" s="311"/>
      <c r="K147" s="311"/>
      <c r="L147" s="311"/>
      <c r="M147" s="311"/>
      <c r="N147" s="311"/>
      <c r="O147" s="311"/>
      <c r="P147" s="311"/>
      <c r="Q147" s="311"/>
    </row>
    <row r="148" spans="2:17" ht="13.5" customHeight="1">
      <c r="B148" s="330" t="s">
        <v>505</v>
      </c>
      <c r="C148" s="330"/>
      <c r="D148" s="330"/>
      <c r="E148" s="331">
        <f>+_xlfn.XLOOKUP($B148,Inputs!$B:$B,Inputs!O:O)</f>
        <v>-5948</v>
      </c>
      <c r="F148" s="331">
        <f>+_xlfn.XLOOKUP($B148,Inputs!$B:$B,Inputs!P:P)</f>
        <v>-6040</v>
      </c>
      <c r="G148" s="332">
        <f>+_xlfn.XLOOKUP($B148,Inputs!$B:$B,Inputs!Q:Q)</f>
        <v>-6147</v>
      </c>
      <c r="H148" s="331">
        <f>-Inputs!H220*DCF!H149</f>
        <v>-6525.1904814960571</v>
      </c>
      <c r="I148" s="331">
        <f>-Inputs!I220*DCF!I149</f>
        <v>-6874.3252464261013</v>
      </c>
      <c r="J148" s="331">
        <f>-Inputs!J220*DCF!J149</f>
        <v>-7009.5499589778528</v>
      </c>
      <c r="K148" s="331">
        <f>-Inputs!K220*DCF!K149</f>
        <v>-5571.1990712379866</v>
      </c>
      <c r="L148" s="331">
        <f>-Inputs!L220*DCF!L149</f>
        <v>-6359.4191839632113</v>
      </c>
      <c r="M148" s="331">
        <f>-Inputs!M220*DCF!M149</f>
        <v>-7016.33318851069</v>
      </c>
      <c r="N148" s="331">
        <f>-Inputs!N220*DCF!N149</f>
        <v>-7034.7611114510128</v>
      </c>
      <c r="O148" s="331">
        <f>-Inputs!O220*DCF!O149</f>
        <v>-7288.6953456483006</v>
      </c>
      <c r="P148" s="331">
        <f>-Inputs!P220*DCF!P149</f>
        <v>-7331.7200516860148</v>
      </c>
      <c r="Q148" s="331">
        <f>-Inputs!Q220*DCF!Q149</f>
        <v>-7346.457619093896</v>
      </c>
    </row>
    <row r="149" spans="2:17" ht="13.5" customHeight="1">
      <c r="B149" s="267" t="s">
        <v>506</v>
      </c>
      <c r="E149" s="883">
        <f>IFERROR(-E148/(E157+E89),"")</f>
        <v>0.37151780137414114</v>
      </c>
      <c r="F149" s="883">
        <f t="shared" ref="F149:G149" si="76">IFERROR(-F148/(F157+F89),"")</f>
        <v>0.26230077734833024</v>
      </c>
      <c r="G149" s="883">
        <f t="shared" si="76"/>
        <v>0.30242054511463151</v>
      </c>
      <c r="H149" s="884">
        <f>AVERAGE(E149:G149)</f>
        <v>0.31207970794570095</v>
      </c>
      <c r="I149" s="884">
        <f>AVERAGE(F149:H149)</f>
        <v>0.29226701013622086</v>
      </c>
      <c r="J149" s="884">
        <f t="shared" ref="J149:Q149" si="77">AVERAGE(G149:I149)</f>
        <v>0.30225575439885111</v>
      </c>
      <c r="K149" s="884">
        <f t="shared" si="77"/>
        <v>0.30220082416025762</v>
      </c>
      <c r="L149" s="884">
        <f t="shared" si="77"/>
        <v>0.29890786289844318</v>
      </c>
      <c r="M149" s="884">
        <f t="shared" si="77"/>
        <v>0.30112148048585063</v>
      </c>
      <c r="N149" s="884">
        <f t="shared" si="77"/>
        <v>0.30074338918151716</v>
      </c>
      <c r="O149" s="884">
        <f t="shared" si="77"/>
        <v>0.30025757752193699</v>
      </c>
      <c r="P149" s="884">
        <f t="shared" si="77"/>
        <v>0.30070748239643491</v>
      </c>
      <c r="Q149" s="884">
        <f t="shared" si="77"/>
        <v>0.30056948303329634</v>
      </c>
    </row>
    <row r="150" spans="2:17" ht="3.75" customHeight="1">
      <c r="E150" s="326"/>
      <c r="F150" s="326"/>
      <c r="G150" s="310"/>
      <c r="H150" s="311"/>
      <c r="I150" s="311"/>
      <c r="J150" s="311"/>
      <c r="K150" s="311"/>
      <c r="L150" s="311"/>
      <c r="M150" s="311"/>
      <c r="N150" s="311"/>
      <c r="O150" s="311"/>
      <c r="P150" s="311"/>
      <c r="Q150" s="311"/>
    </row>
    <row r="151" spans="2:17" ht="13.5" customHeight="1">
      <c r="B151" s="120" t="s">
        <v>507</v>
      </c>
      <c r="E151" s="283">
        <f>+_xlfn.XLOOKUP($B151,Inputs!$B:$B,Inputs!O:O)</f>
        <v>-407</v>
      </c>
      <c r="F151" s="283">
        <f>+_xlfn.XLOOKUP($B151,Inputs!$B:$B,Inputs!P:P)</f>
        <v>-402</v>
      </c>
      <c r="G151" s="284">
        <f>+_xlfn.XLOOKUP($B151,Inputs!$B:$B,Inputs!Q:Q)</f>
        <v>-651</v>
      </c>
      <c r="H151" s="159">
        <f>-H126*H152</f>
        <v>-520.64231113309302</v>
      </c>
      <c r="I151" s="159">
        <f t="shared" ref="I151:Q151" si="78">-I126*I152</f>
        <v>-568.11681179512811</v>
      </c>
      <c r="J151" s="159">
        <f t="shared" si="78"/>
        <v>-635.2640303045979</v>
      </c>
      <c r="K151" s="159">
        <f t="shared" si="78"/>
        <v>-641.5110620860296</v>
      </c>
      <c r="L151" s="159">
        <f t="shared" si="78"/>
        <v>-692.93811166116677</v>
      </c>
      <c r="M151" s="159">
        <f t="shared" si="78"/>
        <v>-740.94330171863146</v>
      </c>
      <c r="N151" s="159">
        <f t="shared" si="78"/>
        <v>-785.66860338288348</v>
      </c>
      <c r="O151" s="159">
        <f t="shared" si="78"/>
        <v>-837.07058886063635</v>
      </c>
      <c r="P151" s="159">
        <f t="shared" si="78"/>
        <v>-882.85256091842018</v>
      </c>
      <c r="Q151" s="159">
        <f t="shared" si="78"/>
        <v>-936.09052645858105</v>
      </c>
    </row>
    <row r="152" spans="2:17" ht="13.5" customHeight="1">
      <c r="B152" s="267" t="s">
        <v>508</v>
      </c>
      <c r="E152" s="327">
        <f>IFERROR(-E151/E126,"")</f>
        <v>0.41236068895643363</v>
      </c>
      <c r="F152" s="327">
        <f t="shared" ref="F152:G152" si="79">IFERROR(-F151/F126,"")</f>
        <v>0.35481023830538394</v>
      </c>
      <c r="G152" s="327">
        <f t="shared" si="79"/>
        <v>0.49656750572082381</v>
      </c>
      <c r="H152" s="328">
        <f>AVERAGE(E152:G152)</f>
        <v>0.42124614432754709</v>
      </c>
      <c r="I152" s="328">
        <f t="shared" ref="I152:Q152" si="80">AVERAGE(F152:H152)</f>
        <v>0.42420796278458495</v>
      </c>
      <c r="J152" s="328">
        <f t="shared" si="80"/>
        <v>0.4473405376109853</v>
      </c>
      <c r="K152" s="328">
        <f t="shared" si="80"/>
        <v>0.43093154824103913</v>
      </c>
      <c r="L152" s="328">
        <f t="shared" si="80"/>
        <v>0.43416001621220318</v>
      </c>
      <c r="M152" s="328">
        <f t="shared" si="80"/>
        <v>0.43747736735474252</v>
      </c>
      <c r="N152" s="328">
        <f t="shared" si="80"/>
        <v>0.43418964393599496</v>
      </c>
      <c r="O152" s="328">
        <f t="shared" si="80"/>
        <v>0.43527567583431354</v>
      </c>
      <c r="P152" s="328">
        <f t="shared" si="80"/>
        <v>0.43564756237501695</v>
      </c>
      <c r="Q152" s="328">
        <f t="shared" si="80"/>
        <v>0.43503762738177515</v>
      </c>
    </row>
    <row r="153" spans="2:17" ht="3.75" customHeight="1">
      <c r="E153" s="326"/>
      <c r="F153" s="326"/>
      <c r="G153" s="310"/>
      <c r="H153" s="311"/>
      <c r="I153" s="311"/>
      <c r="J153" s="311"/>
      <c r="K153" s="311"/>
      <c r="L153" s="311"/>
      <c r="M153" s="311"/>
      <c r="N153" s="311"/>
      <c r="O153" s="311"/>
      <c r="P153" s="311"/>
      <c r="Q153" s="311"/>
    </row>
    <row r="154" spans="2:17" ht="15.6">
      <c r="B154" s="120" t="s">
        <v>509</v>
      </c>
      <c r="E154" s="283">
        <f>+_xlfn.XLOOKUP($B154,Inputs!$B:$B,Inputs!O:O)</f>
        <v>-55</v>
      </c>
      <c r="F154" s="283">
        <f>+_xlfn.XLOOKUP($B154,Inputs!$B:$B,Inputs!P:P)</f>
        <v>-75</v>
      </c>
      <c r="G154" s="284">
        <f>+_xlfn.XLOOKUP($B154,Inputs!$B:$B,Inputs!Q:Q)</f>
        <v>-189</v>
      </c>
      <c r="H154" s="159">
        <f>+IFERROR(H155*H102,"")</f>
        <v>-111.96369524767057</v>
      </c>
      <c r="I154" s="159">
        <f t="shared" ref="I154:Q154" si="81">+IFERROR(I155*I102,"")</f>
        <v>-136.25281828107447</v>
      </c>
      <c r="J154" s="159">
        <f t="shared" si="81"/>
        <v>-160.5869219156998</v>
      </c>
      <c r="K154" s="159">
        <f t="shared" si="81"/>
        <v>-151.75504895164741</v>
      </c>
      <c r="L154" s="159">
        <f t="shared" si="81"/>
        <v>-168.59993556048448</v>
      </c>
      <c r="M154" s="159">
        <f t="shared" si="81"/>
        <v>-181.09211823573287</v>
      </c>
      <c r="N154" s="159">
        <f t="shared" si="81"/>
        <v>-189.70940350054846</v>
      </c>
      <c r="O154" s="159">
        <f t="shared" si="81"/>
        <v>-203.46408433990013</v>
      </c>
      <c r="P154" s="159">
        <f t="shared" si="81"/>
        <v>-214.52028578383801</v>
      </c>
      <c r="Q154" s="159">
        <f t="shared" si="81"/>
        <v>-227.00821606887894</v>
      </c>
    </row>
    <row r="155" spans="2:17" ht="15.6">
      <c r="B155" s="267" t="s">
        <v>510</v>
      </c>
      <c r="E155" s="269">
        <f>IFERROR(E154/E102,"")</f>
        <v>-1.9110493398193189E-2</v>
      </c>
      <c r="F155" s="269">
        <f t="shared" ref="F155:G155" si="82">IFERROR(F154/F102,"")</f>
        <v>-2.3291925465838508E-2</v>
      </c>
      <c r="G155" s="273">
        <f t="shared" si="82"/>
        <v>-5.9117923052862058E-2</v>
      </c>
      <c r="H155" s="297">
        <f>AVERAGE(E155:G155)</f>
        <v>-3.3840113972297921E-2</v>
      </c>
      <c r="I155" s="297">
        <f t="shared" ref="I155:Q155" si="83">AVERAGE(F155:H155)</f>
        <v>-3.874998749699949E-2</v>
      </c>
      <c r="J155" s="297">
        <f t="shared" si="83"/>
        <v>-4.3902674840719823E-2</v>
      </c>
      <c r="K155" s="297">
        <f t="shared" si="83"/>
        <v>-3.8830925436672409E-2</v>
      </c>
      <c r="L155" s="297">
        <f t="shared" si="83"/>
        <v>-4.0494529258130574E-2</v>
      </c>
      <c r="M155" s="297">
        <f t="shared" si="83"/>
        <v>-4.1076043178507604E-2</v>
      </c>
      <c r="N155" s="297">
        <f t="shared" si="83"/>
        <v>-4.0133832624436865E-2</v>
      </c>
      <c r="O155" s="297">
        <f t="shared" si="83"/>
        <v>-4.0568135020358352E-2</v>
      </c>
      <c r="P155" s="297">
        <f t="shared" si="83"/>
        <v>-4.0592670274434278E-2</v>
      </c>
      <c r="Q155" s="297">
        <f t="shared" si="83"/>
        <v>-4.0431545973076501E-2</v>
      </c>
    </row>
    <row r="156" spans="2:17" ht="3.75" customHeight="1">
      <c r="B156" s="267"/>
      <c r="E156" s="269"/>
      <c r="F156" s="269"/>
      <c r="G156" s="273"/>
      <c r="H156" s="323"/>
      <c r="I156" s="323"/>
      <c r="J156" s="323"/>
      <c r="K156" s="323"/>
      <c r="L156" s="323"/>
      <c r="M156" s="323"/>
      <c r="N156" s="323"/>
      <c r="O156" s="323"/>
      <c r="P156" s="323"/>
      <c r="Q156" s="323"/>
    </row>
    <row r="157" spans="2:17" ht="15.6">
      <c r="B157" s="882" t="s">
        <v>291</v>
      </c>
      <c r="E157" s="141">
        <f>+_xlfn.XLOOKUP($B157,Inputs!$B:$B,Inputs!O:O)</f>
        <v>8021</v>
      </c>
      <c r="F157" s="141">
        <f>+_xlfn.XLOOKUP($B157,Inputs!$B:$B,Inputs!P:P)</f>
        <v>9586</v>
      </c>
      <c r="G157" s="259">
        <f>+_xlfn.XLOOKUP($B157,Inputs!$B:$B,Inputs!Q:Q)</f>
        <v>5735</v>
      </c>
      <c r="H157" s="311">
        <f>Inputs!H225</f>
        <v>8359.618690738107</v>
      </c>
      <c r="I157" s="311">
        <f>Inputs!I225</f>
        <v>8610.6122458644331</v>
      </c>
      <c r="J157" s="311">
        <f>Inputs!J225</f>
        <v>8101.7198882841722</v>
      </c>
      <c r="K157" s="311">
        <f>Inputs!K225</f>
        <v>6853.3797132076988</v>
      </c>
      <c r="L157" s="311">
        <f>Inputs!L225</f>
        <v>7710.1616961058453</v>
      </c>
      <c r="M157" s="311">
        <f>Inputs!M225</f>
        <v>8415.4061873157243</v>
      </c>
      <c r="N157" s="311">
        <f>Inputs!N225</f>
        <v>8540.2391846942974</v>
      </c>
      <c r="O157" s="311">
        <f>Inputs!O225</f>
        <v>8809.0524945796933</v>
      </c>
      <c r="P157" s="311">
        <f>Inputs!P225</f>
        <v>8851.7982238137502</v>
      </c>
      <c r="Q157" s="311">
        <f>Inputs!Q225</f>
        <v>8889.0380069740695</v>
      </c>
    </row>
    <row r="158" spans="2:17" ht="3.75" customHeight="1">
      <c r="B158" s="267"/>
      <c r="E158" s="269"/>
      <c r="F158" s="269"/>
      <c r="G158" s="273"/>
      <c r="H158" s="323"/>
      <c r="I158" s="323"/>
      <c r="J158" s="323"/>
      <c r="K158" s="323"/>
      <c r="L158" s="323"/>
      <c r="M158" s="323"/>
      <c r="N158" s="323"/>
      <c r="O158" s="323"/>
      <c r="P158" s="323"/>
      <c r="Q158" s="323"/>
    </row>
    <row r="159" spans="2:17" ht="15.6">
      <c r="B159" s="120" t="s">
        <v>292</v>
      </c>
      <c r="E159" s="141">
        <f>+_xlfn.XLOOKUP($B159,Inputs!$B:$B,Inputs!O:O)</f>
        <v>-6800</v>
      </c>
      <c r="F159" s="141">
        <f>+_xlfn.XLOOKUP($B159,Inputs!$B:$B,Inputs!P:P)</f>
        <v>-5089</v>
      </c>
      <c r="G159" s="259">
        <f>+_xlfn.XLOOKUP($B159,Inputs!$B:$B,Inputs!Q:Q)</f>
        <v>-6615</v>
      </c>
      <c r="H159" s="311">
        <f>-5047</f>
        <v>-5047</v>
      </c>
      <c r="I159" s="311">
        <v>-6302</v>
      </c>
      <c r="J159" s="311">
        <v>-6357</v>
      </c>
      <c r="K159" s="311">
        <v>-3863</v>
      </c>
      <c r="L159" s="311">
        <v>-4926</v>
      </c>
      <c r="M159" s="311">
        <v>-5923.2</v>
      </c>
      <c r="N159" s="311">
        <v>-5923.2</v>
      </c>
      <c r="O159" s="311">
        <v>-5923.2</v>
      </c>
      <c r="P159" s="311">
        <v>-5923.2</v>
      </c>
      <c r="Q159" s="311">
        <v>-5923.2</v>
      </c>
    </row>
    <row r="160" spans="2:17" ht="15.6">
      <c r="B160" s="267" t="s">
        <v>511</v>
      </c>
      <c r="E160" s="286">
        <f>IFERROR(E159/E245,"")</f>
        <v>-0.31836696474554055</v>
      </c>
      <c r="F160" s="286">
        <f t="shared" ref="F160:G160" si="84">IFERROR(F159/F245,"")</f>
        <v>-0.17562204507022811</v>
      </c>
      <c r="G160" s="273">
        <f t="shared" si="84"/>
        <v>-0.26285464515616308</v>
      </c>
      <c r="H160" s="297"/>
      <c r="I160" s="297"/>
      <c r="J160" s="297"/>
      <c r="K160" s="297"/>
      <c r="L160" s="297"/>
      <c r="M160" s="297"/>
      <c r="N160" s="297"/>
      <c r="O160" s="297"/>
      <c r="P160" s="297"/>
      <c r="Q160" s="297"/>
    </row>
    <row r="161" spans="1:17" ht="3.75" customHeight="1">
      <c r="B161" s="267"/>
      <c r="E161" s="286"/>
      <c r="F161" s="286"/>
      <c r="G161" s="273"/>
      <c r="H161" s="323"/>
      <c r="I161" s="323"/>
      <c r="J161" s="323"/>
      <c r="K161" s="323"/>
      <c r="L161" s="323"/>
      <c r="M161" s="323"/>
      <c r="N161" s="323"/>
      <c r="O161" s="323"/>
      <c r="P161" s="323"/>
      <c r="Q161" s="323"/>
    </row>
    <row r="162" spans="1:17" ht="15.6">
      <c r="B162" s="370" t="s">
        <v>512</v>
      </c>
      <c r="C162" s="370"/>
      <c r="D162" s="370"/>
      <c r="E162" s="371">
        <f>+_xlfn.XLOOKUP($B162,Inputs!$B:$B,Inputs!O:O)</f>
        <v>231</v>
      </c>
      <c r="F162" s="371">
        <f>+_xlfn.XLOOKUP($B162,Inputs!$B:$B,Inputs!P:P)</f>
        <v>251</v>
      </c>
      <c r="G162" s="372">
        <f>+_xlfn.XLOOKUP($B162,Inputs!$B:$B,Inputs!Q:Q)</f>
        <v>788</v>
      </c>
      <c r="H162" s="374">
        <f>IFERROR(AVERAGE(E162:G162)*(1+H32),"")</f>
        <v>444.7817462822361</v>
      </c>
      <c r="I162" s="374">
        <f t="shared" ref="I162:Q162" si="85">IFERROR(AVERAGE(F162:H162)*(1+I32),"")</f>
        <v>516.5842449366711</v>
      </c>
      <c r="J162" s="374">
        <f t="shared" si="85"/>
        <v>610.56044725947095</v>
      </c>
      <c r="K162" s="374">
        <f t="shared" si="85"/>
        <v>560.62886540896011</v>
      </c>
      <c r="L162" s="374">
        <f t="shared" si="85"/>
        <v>597.49251520884707</v>
      </c>
      <c r="M162" s="374">
        <f t="shared" si="85"/>
        <v>625.28206905280047</v>
      </c>
      <c r="N162" s="374">
        <f t="shared" si="85"/>
        <v>637.35621361183223</v>
      </c>
      <c r="O162" s="374">
        <f t="shared" si="85"/>
        <v>657.54123378809265</v>
      </c>
      <c r="P162" s="374">
        <f t="shared" si="85"/>
        <v>674.67126511200274</v>
      </c>
      <c r="Q162" s="374">
        <f t="shared" si="85"/>
        <v>697.46517353842637</v>
      </c>
    </row>
    <row r="163" spans="1:17" ht="5.25" customHeight="1">
      <c r="E163" s="329"/>
      <c r="F163" s="329"/>
      <c r="G163" s="259"/>
      <c r="H163" s="311"/>
      <c r="I163" s="311"/>
      <c r="J163" s="311"/>
      <c r="K163" s="311"/>
      <c r="L163" s="311"/>
      <c r="M163" s="311"/>
      <c r="N163" s="311"/>
      <c r="O163" s="311"/>
      <c r="P163" s="311"/>
      <c r="Q163" s="311"/>
    </row>
    <row r="164" spans="1:17" ht="15.6">
      <c r="B164" s="140" t="s">
        <v>293</v>
      </c>
      <c r="C164" s="140"/>
      <c r="D164" s="140"/>
      <c r="E164" s="334">
        <f>+_xlfn.XLOOKUP($B164,Inputs!$B:$B,Inputs!O:O)</f>
        <v>-4958</v>
      </c>
      <c r="F164" s="334">
        <f>+_xlfn.XLOOKUP($B164,Inputs!$B:$B,Inputs!P:P)</f>
        <v>-1769</v>
      </c>
      <c r="G164" s="335">
        <f>+_xlfn.XLOOKUP($B164,Inputs!$B:$B,Inputs!Q:Q)</f>
        <v>-7079</v>
      </c>
      <c r="H164" s="339">
        <f>IFERROR(+H148+H151+H154+H157+H159+H162,"")</f>
        <v>-3400.3960508564778</v>
      </c>
      <c r="I164" s="339">
        <f t="shared" ref="I164:Q164" si="86">IFERROR(+I148+I151+I154+I157+I159+I162,"")</f>
        <v>-4753.4983857012003</v>
      </c>
      <c r="J164" s="339">
        <f t="shared" si="86"/>
        <v>-5450.1205756545078</v>
      </c>
      <c r="K164" s="339">
        <f t="shared" si="86"/>
        <v>-2813.456603659004</v>
      </c>
      <c r="L164" s="339">
        <f t="shared" si="86"/>
        <v>-3839.3030198701699</v>
      </c>
      <c r="M164" s="339">
        <f t="shared" si="86"/>
        <v>-4820.8803520965294</v>
      </c>
      <c r="N164" s="339">
        <f t="shared" si="86"/>
        <v>-4755.7437200283148</v>
      </c>
      <c r="O164" s="339">
        <f t="shared" si="86"/>
        <v>-4785.836290481051</v>
      </c>
      <c r="P164" s="339">
        <f t="shared" si="86"/>
        <v>-4825.8234094625204</v>
      </c>
      <c r="Q164" s="339">
        <f t="shared" si="86"/>
        <v>-4846.2531811088593</v>
      </c>
    </row>
    <row r="165" spans="1:17" ht="3.75" customHeight="1">
      <c r="B165" s="267"/>
      <c r="E165" s="286"/>
      <c r="F165" s="286"/>
      <c r="G165" s="273"/>
      <c r="H165" s="323"/>
      <c r="I165" s="323"/>
      <c r="J165" s="323"/>
      <c r="K165" s="323"/>
      <c r="L165" s="323"/>
      <c r="M165" s="323"/>
      <c r="N165" s="323"/>
      <c r="O165" s="323"/>
      <c r="P165" s="323"/>
      <c r="Q165" s="323"/>
    </row>
    <row r="166" spans="1:17" ht="15.6">
      <c r="B166" s="481" t="s">
        <v>294</v>
      </c>
      <c r="C166" s="330"/>
      <c r="D166" s="330"/>
      <c r="E166" s="336">
        <f>+_xlfn.XLOOKUP($B166,Inputs!$B:$B,Inputs!O:O)</f>
        <v>1032</v>
      </c>
      <c r="F166" s="336">
        <f>+_xlfn.XLOOKUP($B166,Inputs!$B:$B,Inputs!P:P)</f>
        <v>5101</v>
      </c>
      <c r="G166" s="337">
        <f>+_xlfn.XLOOKUP($B166,Inputs!$B:$B,Inputs!Q:Q)</f>
        <v>1071</v>
      </c>
      <c r="H166" s="338">
        <f>IFERROR(+H133+H146+H164,"")</f>
        <v>3693.9794678082581</v>
      </c>
      <c r="I166" s="338">
        <f t="shared" ref="I166:Q166" si="87">IFERROR(+I133+I146+I164,"")</f>
        <v>4154.5611229037213</v>
      </c>
      <c r="J166" s="338">
        <f t="shared" si="87"/>
        <v>3708.7209245911854</v>
      </c>
      <c r="K166" s="338">
        <f t="shared" si="87"/>
        <v>7821.9695776560584</v>
      </c>
      <c r="L166" s="338">
        <f t="shared" si="87"/>
        <v>7511.3698390621403</v>
      </c>
      <c r="M166" s="338">
        <f t="shared" si="87"/>
        <v>7437.0527003660472</v>
      </c>
      <c r="N166" s="338">
        <f t="shared" si="87"/>
        <v>8852.3334745500688</v>
      </c>
      <c r="O166" s="338">
        <f t="shared" si="87"/>
        <v>9602.9623789905982</v>
      </c>
      <c r="P166" s="338">
        <f t="shared" si="87"/>
        <v>10712.440845694064</v>
      </c>
      <c r="Q166" s="338">
        <f t="shared" si="87"/>
        <v>12019.23139181457</v>
      </c>
    </row>
    <row r="167" spans="1:17" ht="15.6">
      <c r="B167" s="267"/>
      <c r="E167" s="312"/>
      <c r="F167" s="286"/>
      <c r="G167" s="273"/>
      <c r="H167" s="323"/>
      <c r="I167" s="323"/>
      <c r="J167" s="323"/>
      <c r="K167" s="323"/>
      <c r="L167" s="323"/>
      <c r="M167" s="323"/>
      <c r="N167" s="323"/>
      <c r="O167" s="323"/>
      <c r="P167" s="323"/>
      <c r="Q167" s="323"/>
    </row>
    <row r="168" spans="1:17" ht="3.75" customHeight="1">
      <c r="G168" s="138"/>
      <c r="H168" s="125"/>
      <c r="I168" s="125"/>
      <c r="J168" s="125"/>
      <c r="K168" s="125"/>
      <c r="L168" s="125"/>
      <c r="O168" s="125"/>
      <c r="P168" s="125"/>
      <c r="Q168" s="125"/>
    </row>
    <row r="169" spans="1:17" ht="15.6">
      <c r="A169" s="120" t="s">
        <v>417</v>
      </c>
      <c r="B169" s="45" t="s">
        <v>513</v>
      </c>
      <c r="C169" s="45"/>
      <c r="D169" s="45"/>
      <c r="E169" s="131">
        <f t="shared" ref="E169:Q169" si="88">E29</f>
        <v>2022</v>
      </c>
      <c r="F169" s="131">
        <f t="shared" si="88"/>
        <v>2023</v>
      </c>
      <c r="G169" s="154">
        <f t="shared" si="88"/>
        <v>2024</v>
      </c>
      <c r="H169" s="97">
        <f t="shared" si="88"/>
        <v>2025</v>
      </c>
      <c r="I169" s="97">
        <f t="shared" si="88"/>
        <v>2026</v>
      </c>
      <c r="J169" s="97">
        <f t="shared" si="88"/>
        <v>2027</v>
      </c>
      <c r="K169" s="97">
        <f t="shared" si="88"/>
        <v>2028</v>
      </c>
      <c r="L169" s="97">
        <f t="shared" si="88"/>
        <v>2029</v>
      </c>
      <c r="M169" s="97">
        <f t="shared" si="88"/>
        <v>2030</v>
      </c>
      <c r="N169" s="97">
        <f t="shared" si="88"/>
        <v>2031</v>
      </c>
      <c r="O169" s="97">
        <f t="shared" si="88"/>
        <v>2032</v>
      </c>
      <c r="P169" s="97">
        <f t="shared" si="88"/>
        <v>2033</v>
      </c>
      <c r="Q169" s="97">
        <f t="shared" si="88"/>
        <v>2034</v>
      </c>
    </row>
    <row r="170" spans="1:17" ht="3.95" customHeight="1">
      <c r="B170" s="46"/>
      <c r="C170" s="46"/>
      <c r="D170" s="46"/>
      <c r="E170" s="46"/>
      <c r="F170" s="46"/>
      <c r="G170" s="156"/>
      <c r="H170" s="46"/>
      <c r="I170" s="46"/>
      <c r="J170" s="46"/>
      <c r="K170" s="46"/>
      <c r="L170" s="46"/>
      <c r="M170" s="46"/>
      <c r="N170" s="46"/>
      <c r="O170" s="46"/>
      <c r="P170" s="46"/>
      <c r="Q170" s="46"/>
    </row>
    <row r="171" spans="1:17" ht="15.6">
      <c r="B171" s="120" t="s">
        <v>159</v>
      </c>
      <c r="E171" s="142">
        <f>$E$31</f>
        <v>60530</v>
      </c>
      <c r="F171" s="142">
        <f>$F$31</f>
        <v>61860</v>
      </c>
      <c r="G171" s="166">
        <f>$G$31</f>
        <v>62753</v>
      </c>
      <c r="H171" s="142">
        <f ca="1">IFERROR(G171*(1+H172),"")</f>
        <v>65932.414782163381</v>
      </c>
      <c r="I171" s="142">
        <f t="shared" ref="I171:Q171" ca="1" si="89">IFERROR(H171*(1+I172),"")</f>
        <v>68863.861128704026</v>
      </c>
      <c r="J171" s="142">
        <f t="shared" ca="1" si="89"/>
        <v>72104.208144791104</v>
      </c>
      <c r="K171" s="142">
        <f t="shared" ca="1" si="89"/>
        <v>77148.076552276456</v>
      </c>
      <c r="L171" s="142">
        <f t="shared" ca="1" si="89"/>
        <v>81934.092571314381</v>
      </c>
      <c r="M171" s="142">
        <f t="shared" ca="1" si="89"/>
        <v>86898.47680027716</v>
      </c>
      <c r="N171" s="142">
        <f t="shared" ca="1" si="89"/>
        <v>93167.842899972893</v>
      </c>
      <c r="O171" s="142">
        <f t="shared" ca="1" si="89"/>
        <v>98802.243003328083</v>
      </c>
      <c r="P171" s="142">
        <f t="shared" ca="1" si="89"/>
        <v>104145.0037016891</v>
      </c>
      <c r="Q171" s="142">
        <f t="shared" ca="1" si="89"/>
        <v>110639.72424803446</v>
      </c>
    </row>
    <row r="172" spans="1:17" ht="15.6">
      <c r="B172" s="267" t="s">
        <v>456</v>
      </c>
      <c r="C172" s="267"/>
      <c r="D172" s="267"/>
      <c r="E172" s="298">
        <f>$E$32</f>
        <v>5.5448997384481252E-2</v>
      </c>
      <c r="F172" s="298">
        <f>$F$32</f>
        <v>2.1972575582355856E-2</v>
      </c>
      <c r="G172" s="299">
        <f>$G$32</f>
        <v>1.4435822825735531E-2</v>
      </c>
      <c r="H172" s="298">
        <f ca="1">+OFFSET($H$172,$C$7,0)</f>
        <v>5.0665542398983021E-2</v>
      </c>
      <c r="I172" s="298">
        <f ca="1">+OFFSET($I$172,$C$7,0)</f>
        <v>4.4461383012073252E-2</v>
      </c>
      <c r="J172" s="298">
        <f ca="1">+OFFSET($J$172,$C$7,0)</f>
        <v>4.7054390546457769E-2</v>
      </c>
      <c r="K172" s="298">
        <f ca="1">+OFFSET($K$172,$C$7,0)</f>
        <v>6.9952483180411029E-2</v>
      </c>
      <c r="L172" s="298">
        <f ca="1">+OFFSET($L$172,$C$7,0)</f>
        <v>6.2036751049714844E-2</v>
      </c>
      <c r="M172" s="298">
        <f ca="1">+OFFSET($M$172,$C$7,0)</f>
        <v>6.0589970220782607E-2</v>
      </c>
      <c r="N172" s="298">
        <f ca="1">+OFFSET($N$172,$C$7,0)</f>
        <v>7.214586872569595E-2</v>
      </c>
      <c r="O172" s="298">
        <f ca="1">+OFFSET($O$172,$C$7,0)</f>
        <v>6.0475802894829345E-2</v>
      </c>
      <c r="P172" s="298">
        <f ca="1">+OFFSET($P$172,$C$7,0)</f>
        <v>5.4075297644619713E-2</v>
      </c>
      <c r="Q172" s="298">
        <f ca="1">+OFFSET($Q$172,$C$7,0)</f>
        <v>6.2362286384363808E-2</v>
      </c>
    </row>
    <row r="173" spans="1:17" ht="15.6">
      <c r="B173" s="266" t="s">
        <v>428</v>
      </c>
      <c r="G173" s="149"/>
      <c r="H173" s="591">
        <f>IFERROR(+H174+$F$7,"")</f>
        <v>3.0665542398983021E-2</v>
      </c>
      <c r="I173" s="591">
        <f t="shared" ref="I173:Q173" si="90">IFERROR(+I174+$F$7,"")</f>
        <v>2.4461383012073252E-2</v>
      </c>
      <c r="J173" s="591">
        <f t="shared" si="90"/>
        <v>2.7054390546457769E-2</v>
      </c>
      <c r="K173" s="591">
        <f t="shared" si="90"/>
        <v>4.9952483180411025E-2</v>
      </c>
      <c r="L173" s="591">
        <f t="shared" si="90"/>
        <v>4.2036751049714841E-2</v>
      </c>
      <c r="M173" s="591">
        <f t="shared" si="90"/>
        <v>4.0589970220782604E-2</v>
      </c>
      <c r="N173" s="591">
        <f t="shared" si="90"/>
        <v>5.2145868725695946E-2</v>
      </c>
      <c r="O173" s="591">
        <f t="shared" si="90"/>
        <v>4.0475802894829341E-2</v>
      </c>
      <c r="P173" s="591">
        <f t="shared" si="90"/>
        <v>3.4075297644619709E-2</v>
      </c>
      <c r="Q173" s="591">
        <f t="shared" si="90"/>
        <v>4.2362286384363804E-2</v>
      </c>
    </row>
    <row r="174" spans="1:17" ht="15.6">
      <c r="B174" s="266" t="s">
        <v>429</v>
      </c>
      <c r="G174" s="149"/>
      <c r="H174" s="592">
        <f>$H$32</f>
        <v>5.0665542398983021E-2</v>
      </c>
      <c r="I174" s="592">
        <f>$I$32</f>
        <v>4.4461383012073252E-2</v>
      </c>
      <c r="J174" s="592">
        <f>$J$32</f>
        <v>4.7054390546457769E-2</v>
      </c>
      <c r="K174" s="592">
        <f>$K$32</f>
        <v>6.9952483180411029E-2</v>
      </c>
      <c r="L174" s="592">
        <f>$L$32</f>
        <v>6.2036751049714844E-2</v>
      </c>
      <c r="M174" s="592">
        <f>$M$32</f>
        <v>6.0589970220782607E-2</v>
      </c>
      <c r="N174" s="592">
        <f>$N$32</f>
        <v>7.214586872569595E-2</v>
      </c>
      <c r="O174" s="593">
        <f>$O$32</f>
        <v>6.0475802894829345E-2</v>
      </c>
      <c r="P174" s="592">
        <f>$P$32</f>
        <v>5.4075297644619713E-2</v>
      </c>
      <c r="Q174" s="592">
        <f>$Q$32</f>
        <v>6.2362286384363808E-2</v>
      </c>
    </row>
    <row r="175" spans="1:17" ht="15.6">
      <c r="B175" s="266" t="s">
        <v>430</v>
      </c>
      <c r="G175" s="149"/>
      <c r="H175" s="594">
        <f>IFERROR(+H174+$L$7,"")</f>
        <v>7.0665542398983025E-2</v>
      </c>
      <c r="I175" s="594">
        <f t="shared" ref="I175:Q175" si="91">IFERROR(+I174+$L$7,"")</f>
        <v>6.4461383012073256E-2</v>
      </c>
      <c r="J175" s="594">
        <f t="shared" si="91"/>
        <v>6.7054390546457773E-2</v>
      </c>
      <c r="K175" s="594">
        <f t="shared" si="91"/>
        <v>8.9952483180411033E-2</v>
      </c>
      <c r="L175" s="594">
        <f t="shared" si="91"/>
        <v>8.2036751049714848E-2</v>
      </c>
      <c r="M175" s="594">
        <f t="shared" si="91"/>
        <v>8.0589970220782611E-2</v>
      </c>
      <c r="N175" s="594">
        <f t="shared" si="91"/>
        <v>9.2145868725695954E-2</v>
      </c>
      <c r="O175" s="594">
        <f t="shared" si="91"/>
        <v>8.0475802894829349E-2</v>
      </c>
      <c r="P175" s="594">
        <f t="shared" si="91"/>
        <v>7.4075297644619717E-2</v>
      </c>
      <c r="Q175" s="594">
        <f t="shared" si="91"/>
        <v>8.2362286384363811E-2</v>
      </c>
    </row>
    <row r="176" spans="1:17" ht="3.75" customHeight="1">
      <c r="G176" s="149"/>
    </row>
    <row r="177" spans="2:29" ht="15.6">
      <c r="B177" s="120" t="s">
        <v>438</v>
      </c>
      <c r="E177" s="142">
        <f t="shared" ref="E177:G178" si="92">+E60</f>
        <v>8175</v>
      </c>
      <c r="F177" s="142">
        <f t="shared" si="92"/>
        <v>9382</v>
      </c>
      <c r="G177" s="166">
        <f t="shared" si="92"/>
        <v>9381</v>
      </c>
      <c r="H177" s="167">
        <f ca="1">IFERROR(H178*H171,"")</f>
        <v>8803.5274003210507</v>
      </c>
      <c r="I177" s="167">
        <f t="shared" ref="I177:Q177" ca="1" si="93">IFERROR(I178*I171,"")</f>
        <v>9151.3494499755489</v>
      </c>
      <c r="J177" s="167">
        <f t="shared" ca="1" si="93"/>
        <v>9626.658681266681</v>
      </c>
      <c r="K177" s="167">
        <f t="shared" ca="1" si="93"/>
        <v>11036.892406837289</v>
      </c>
      <c r="L177" s="167">
        <f t="shared" ca="1" si="93"/>
        <v>11519.993687664852</v>
      </c>
      <c r="M177" s="167">
        <f t="shared" ca="1" si="93"/>
        <v>12229.819375483188</v>
      </c>
      <c r="N177" s="167">
        <f t="shared" ca="1" si="93"/>
        <v>13323.657066426649</v>
      </c>
      <c r="O177" s="167">
        <f t="shared" ca="1" si="93"/>
        <v>14374.504772883611</v>
      </c>
      <c r="P177" s="167">
        <f t="shared" ca="1" si="93"/>
        <v>15411.980847928846</v>
      </c>
      <c r="Q177" s="167">
        <f t="shared" ca="1" si="93"/>
        <v>16603.214033012679</v>
      </c>
    </row>
    <row r="178" spans="2:29" ht="15.6">
      <c r="B178" s="267" t="s">
        <v>457</v>
      </c>
      <c r="C178" s="267"/>
      <c r="D178" s="267"/>
      <c r="E178" s="298">
        <f t="shared" si="92"/>
        <v>0.13505699653064596</v>
      </c>
      <c r="F178" s="298">
        <f t="shared" si="92"/>
        <v>0.15166505011315876</v>
      </c>
      <c r="G178" s="299">
        <f t="shared" si="92"/>
        <v>0.14949086099469347</v>
      </c>
      <c r="H178" s="298">
        <f ca="1">OFFSET(H178,$C$8,0)</f>
        <v>0.13352350933008234</v>
      </c>
      <c r="I178" s="298">
        <f ca="1">+OFFSET(I178,$C$8,0)</f>
        <v>0.13289044935880104</v>
      </c>
      <c r="J178" s="298">
        <f ca="1">+OFFSET(J178,$C$8,0)</f>
        <v>0.13351035853463045</v>
      </c>
      <c r="K178" s="298">
        <f ca="1">+OFFSET(K178,$C$8,0)</f>
        <v>0.14306114812024587</v>
      </c>
      <c r="L178" s="298">
        <f ca="1">+OFFSET(L178,$C$8,0)</f>
        <v>0.14060073561732556</v>
      </c>
      <c r="M178" s="298">
        <f t="shared" ref="M178:Q178" ca="1" si="94">+OFFSET(M178,$C$8,0)</f>
        <v>0.14073686704073715</v>
      </c>
      <c r="N178" s="298">
        <f t="shared" ca="1" si="94"/>
        <v>0.14300703602992321</v>
      </c>
      <c r="O178" s="298">
        <f t="shared" ca="1" si="94"/>
        <v>0.14548763606914689</v>
      </c>
      <c r="P178" s="298">
        <f t="shared" ca="1" si="94"/>
        <v>0.14798579192598255</v>
      </c>
      <c r="Q178" s="298">
        <f t="shared" ca="1" si="94"/>
        <v>0.1500655767705209</v>
      </c>
    </row>
    <row r="179" spans="2:29" ht="15.6">
      <c r="B179" s="266" t="s">
        <v>428</v>
      </c>
      <c r="G179" s="149"/>
      <c r="H179" s="594">
        <f>IFERROR(H180+$F$8,"")</f>
        <v>0.12352350933008234</v>
      </c>
      <c r="I179" s="594">
        <f t="shared" ref="I179:Q179" si="95">IFERROR(I180+$F$8,"")</f>
        <v>0.12289044935880104</v>
      </c>
      <c r="J179" s="594">
        <f t="shared" si="95"/>
        <v>0.12351035853463045</v>
      </c>
      <c r="K179" s="594">
        <f t="shared" si="95"/>
        <v>0.13306114812024586</v>
      </c>
      <c r="L179" s="594">
        <f t="shared" si="95"/>
        <v>0.13060073561732555</v>
      </c>
      <c r="M179" s="594">
        <f t="shared" si="95"/>
        <v>0.13073686704073714</v>
      </c>
      <c r="N179" s="594">
        <f t="shared" si="95"/>
        <v>0.1330070360299232</v>
      </c>
      <c r="O179" s="594">
        <f t="shared" si="95"/>
        <v>0.13548763606914688</v>
      </c>
      <c r="P179" s="594">
        <f t="shared" si="95"/>
        <v>0.13798579192598254</v>
      </c>
      <c r="Q179" s="594">
        <f t="shared" si="95"/>
        <v>0.14006557677052089</v>
      </c>
    </row>
    <row r="180" spans="2:29" ht="15.6">
      <c r="B180" s="266" t="s">
        <v>429</v>
      </c>
      <c r="G180" s="149"/>
      <c r="H180" s="592">
        <f t="shared" ref="H180:Q180" si="96">IFERROR(VALUE(H61),"")</f>
        <v>0.13352350933008234</v>
      </c>
      <c r="I180" s="592">
        <f t="shared" si="96"/>
        <v>0.13289044935880104</v>
      </c>
      <c r="J180" s="592">
        <f t="shared" si="96"/>
        <v>0.13351035853463045</v>
      </c>
      <c r="K180" s="592">
        <f t="shared" si="96"/>
        <v>0.14306114812024587</v>
      </c>
      <c r="L180" s="592">
        <f t="shared" si="96"/>
        <v>0.14060073561732556</v>
      </c>
      <c r="M180" s="592">
        <f t="shared" si="96"/>
        <v>0.14073686704073715</v>
      </c>
      <c r="N180" s="592">
        <f t="shared" si="96"/>
        <v>0.14300703602992321</v>
      </c>
      <c r="O180" s="592">
        <f t="shared" si="96"/>
        <v>0.14548763606914689</v>
      </c>
      <c r="P180" s="592">
        <f t="shared" si="96"/>
        <v>0.14798579192598255</v>
      </c>
      <c r="Q180" s="592">
        <f t="shared" si="96"/>
        <v>0.1500655767705209</v>
      </c>
    </row>
    <row r="181" spans="2:29" ht="15.6">
      <c r="B181" s="266" t="s">
        <v>430</v>
      </c>
      <c r="G181" s="149"/>
      <c r="H181" s="594">
        <f>+IFERROR(H180+$L$8,"")</f>
        <v>0.14352350933008234</v>
      </c>
      <c r="I181" s="594">
        <f t="shared" ref="I181:Q181" si="97">+IFERROR(I180+$L$8,"")</f>
        <v>0.14289044935880105</v>
      </c>
      <c r="J181" s="594">
        <f t="shared" si="97"/>
        <v>0.14351035853463046</v>
      </c>
      <c r="K181" s="594">
        <f t="shared" si="97"/>
        <v>0.15306114812024588</v>
      </c>
      <c r="L181" s="594">
        <f t="shared" si="97"/>
        <v>0.15060073561732557</v>
      </c>
      <c r="M181" s="594">
        <f t="shared" si="97"/>
        <v>0.15073686704073716</v>
      </c>
      <c r="N181" s="594">
        <f t="shared" si="97"/>
        <v>0.15300703602992322</v>
      </c>
      <c r="O181" s="594">
        <f t="shared" si="97"/>
        <v>0.1554876360691469</v>
      </c>
      <c r="P181" s="594">
        <f t="shared" si="97"/>
        <v>0.15798579192598255</v>
      </c>
      <c r="Q181" s="594">
        <f t="shared" si="97"/>
        <v>0.16006557677052091</v>
      </c>
    </row>
    <row r="182" spans="2:29" ht="3.75" customHeight="1">
      <c r="G182" s="149"/>
    </row>
    <row r="183" spans="2:29" ht="15.6">
      <c r="B183" s="169" t="s">
        <v>434</v>
      </c>
      <c r="C183" s="170"/>
      <c r="D183" s="170"/>
      <c r="E183" s="171">
        <f>+IFERROR(E177*(1-E80),"")</f>
        <v>6932.4</v>
      </c>
      <c r="F183" s="171">
        <f t="shared" ref="F183:G183" si="98">+IFERROR(F177*(1-F80),"")</f>
        <v>8068.5199999999995</v>
      </c>
      <c r="G183" s="321">
        <f t="shared" si="98"/>
        <v>8105.1840000000002</v>
      </c>
      <c r="H183" s="171">
        <f ca="1">+IFERROR(H177*(1-H80),"")</f>
        <v>7547.5574912085804</v>
      </c>
      <c r="I183" s="171">
        <f t="shared" ref="I183:Q183" ca="1" si="99">+IFERROR(I177*(1-I80),"")</f>
        <v>7874.2277934011836</v>
      </c>
      <c r="J183" s="171">
        <f t="shared" ca="1" si="99"/>
        <v>8284.6311525152814</v>
      </c>
      <c r="K183" s="171">
        <f t="shared" ca="1" si="99"/>
        <v>9485.7321209183301</v>
      </c>
      <c r="L183" s="171">
        <f t="shared" ca="1" si="99"/>
        <v>9909.0908666490013</v>
      </c>
      <c r="M183" s="171">
        <f t="shared" ca="1" si="99"/>
        <v>10518.517023145343</v>
      </c>
      <c r="N183" s="171">
        <f t="shared" ca="1" si="99"/>
        <v>11456.98042272231</v>
      </c>
      <c r="O183" s="171">
        <f t="shared" ca="1" si="99"/>
        <v>12362.713847919302</v>
      </c>
      <c r="P183" s="171">
        <f t="shared" ca="1" si="99"/>
        <v>13254.372434076533</v>
      </c>
      <c r="Q183" s="320">
        <f t="shared" ca="1" si="99"/>
        <v>14278.468270305199</v>
      </c>
    </row>
    <row r="184" spans="2:29" ht="3.75" customHeight="1">
      <c r="G184" s="149"/>
    </row>
    <row r="185" spans="2:29" ht="15.6">
      <c r="B185" s="120" t="s">
        <v>514</v>
      </c>
      <c r="E185" s="142">
        <f t="shared" ref="E185:Q185" si="100">+E124</f>
        <v>4802</v>
      </c>
      <c r="F185" s="142">
        <f t="shared" si="100"/>
        <v>4396</v>
      </c>
      <c r="G185" s="166">
        <f t="shared" si="100"/>
        <v>4667</v>
      </c>
      <c r="H185" s="172">
        <f t="shared" si="100"/>
        <v>4724.9082173295192</v>
      </c>
      <c r="I185" s="172">
        <f t="shared" si="100"/>
        <v>4951.4633538111557</v>
      </c>
      <c r="J185" s="172">
        <f t="shared" si="100"/>
        <v>5243.3934394936596</v>
      </c>
      <c r="K185" s="172">
        <f t="shared" si="100"/>
        <v>5527.7423894380627</v>
      </c>
      <c r="L185" s="172">
        <f t="shared" si="100"/>
        <v>5841.6913654829295</v>
      </c>
      <c r="M185" s="172">
        <f t="shared" si="100"/>
        <v>6170.046906237555</v>
      </c>
      <c r="N185" s="172">
        <f t="shared" si="100"/>
        <v>6493.0385241379518</v>
      </c>
      <c r="O185" s="172">
        <f t="shared" si="100"/>
        <v>6627.9763973500858</v>
      </c>
      <c r="P185" s="172">
        <f t="shared" si="100"/>
        <v>6839.688194334929</v>
      </c>
      <c r="Q185" s="172">
        <f t="shared" si="100"/>
        <v>7045.6911467317341</v>
      </c>
      <c r="R185" s="121"/>
      <c r="S185" s="121"/>
      <c r="T185" s="121"/>
      <c r="U185" s="121"/>
      <c r="V185" s="121"/>
      <c r="W185" s="121"/>
      <c r="X185" s="121"/>
      <c r="Y185" s="121"/>
      <c r="Z185" s="121"/>
      <c r="AA185" s="121"/>
      <c r="AB185" s="121"/>
      <c r="AC185" s="121"/>
    </row>
    <row r="186" spans="2:29" ht="3.75" customHeight="1">
      <c r="G186" s="149"/>
      <c r="R186" s="121"/>
      <c r="S186" s="121"/>
      <c r="T186" s="121"/>
      <c r="U186" s="121"/>
      <c r="V186" s="121"/>
      <c r="W186" s="121"/>
      <c r="X186" s="121"/>
      <c r="Y186" s="121"/>
      <c r="Z186" s="121"/>
      <c r="AA186" s="121"/>
      <c r="AB186" s="121"/>
      <c r="AC186" s="121"/>
    </row>
    <row r="187" spans="2:29" ht="15.6">
      <c r="B187" s="120" t="s">
        <v>495</v>
      </c>
      <c r="E187" s="142">
        <f t="shared" ref="E187:Q187" si="101">+E126</f>
        <v>987</v>
      </c>
      <c r="F187" s="142">
        <f t="shared" si="101"/>
        <v>1133</v>
      </c>
      <c r="G187" s="166">
        <f t="shared" si="101"/>
        <v>1311</v>
      </c>
      <c r="H187" s="142">
        <f t="shared" si="101"/>
        <v>1235.9574518224165</v>
      </c>
      <c r="I187" s="142">
        <f t="shared" si="101"/>
        <v>1339.241272289886</v>
      </c>
      <c r="J187" s="142">
        <f t="shared" si="101"/>
        <v>1420.0904610550497</v>
      </c>
      <c r="K187" s="142">
        <f t="shared" si="101"/>
        <v>1488.6611683561491</v>
      </c>
      <c r="L187" s="142">
        <f t="shared" si="101"/>
        <v>1596.0431310710135</v>
      </c>
      <c r="M187" s="142">
        <f t="shared" si="101"/>
        <v>1693.6723062928506</v>
      </c>
      <c r="N187" s="142">
        <f t="shared" si="101"/>
        <v>1809.5056258382363</v>
      </c>
      <c r="O187" s="142">
        <f t="shared" si="101"/>
        <v>1923.0814753344152</v>
      </c>
      <c r="P187" s="142">
        <f t="shared" si="101"/>
        <v>2026.5293259197381</v>
      </c>
      <c r="Q187" s="142">
        <f t="shared" si="101"/>
        <v>2151.7461192778569</v>
      </c>
      <c r="R187" s="121"/>
      <c r="S187" s="121"/>
      <c r="T187" s="121"/>
      <c r="U187" s="121"/>
      <c r="V187" s="121"/>
      <c r="W187" s="121"/>
      <c r="X187" s="121"/>
      <c r="Y187" s="121"/>
      <c r="Z187" s="121"/>
      <c r="AA187" s="121"/>
      <c r="AB187" s="121"/>
      <c r="AC187" s="121"/>
    </row>
    <row r="188" spans="2:29" ht="3.75" customHeight="1">
      <c r="G188" s="138"/>
      <c r="R188" s="121"/>
      <c r="S188" s="121"/>
      <c r="T188" s="121"/>
      <c r="U188" s="121"/>
      <c r="V188" s="121"/>
      <c r="W188" s="121"/>
      <c r="X188" s="121"/>
      <c r="Y188" s="121"/>
      <c r="Z188" s="121"/>
      <c r="AA188" s="121"/>
      <c r="AB188" s="121"/>
      <c r="AC188" s="121"/>
    </row>
    <row r="189" spans="2:29" ht="15.6">
      <c r="B189" s="120" t="s">
        <v>515</v>
      </c>
      <c r="E189" s="142">
        <f t="shared" ref="E189:Q189" si="102">+E129</f>
        <v>202</v>
      </c>
      <c r="F189" s="142">
        <f t="shared" si="102"/>
        <v>2184</v>
      </c>
      <c r="G189" s="173">
        <f t="shared" si="102"/>
        <v>1313</v>
      </c>
      <c r="H189" s="165">
        <f t="shared" si="102"/>
        <v>-637.41026737289576</v>
      </c>
      <c r="I189" s="165">
        <f t="shared" si="102"/>
        <v>584.14038181591241</v>
      </c>
      <c r="J189" s="165">
        <f t="shared" si="102"/>
        <v>-64.952016686111165</v>
      </c>
      <c r="K189" s="165">
        <f t="shared" si="102"/>
        <v>58.029803600849846</v>
      </c>
      <c r="L189" s="165">
        <f t="shared" si="102"/>
        <v>43.857881893523881</v>
      </c>
      <c r="M189" s="165">
        <f t="shared" si="102"/>
        <v>-6.5378623557735409</v>
      </c>
      <c r="N189" s="165">
        <f t="shared" si="102"/>
        <v>112.66919677475744</v>
      </c>
      <c r="O189" s="165">
        <f t="shared" si="102"/>
        <v>-114.27506459326105</v>
      </c>
      <c r="P189" s="165">
        <f t="shared" si="102"/>
        <v>-56.12865565386528</v>
      </c>
      <c r="Q189" s="165">
        <f t="shared" si="102"/>
        <v>75.689558179576125</v>
      </c>
      <c r="R189" s="121"/>
      <c r="S189" s="121"/>
      <c r="T189" s="121"/>
      <c r="U189" s="121"/>
      <c r="V189" s="121"/>
      <c r="W189" s="121"/>
      <c r="X189" s="121"/>
      <c r="Y189" s="121"/>
      <c r="Z189" s="121"/>
      <c r="AA189" s="121"/>
      <c r="AB189" s="121"/>
      <c r="AC189" s="121"/>
    </row>
    <row r="190" spans="2:29" ht="3.75" customHeight="1">
      <c r="G190" s="138"/>
      <c r="R190" s="121"/>
      <c r="S190" s="121"/>
      <c r="T190" s="121"/>
      <c r="U190" s="121"/>
      <c r="V190" s="121"/>
      <c r="W190" s="121"/>
      <c r="X190" s="121"/>
      <c r="Y190" s="121"/>
      <c r="Z190" s="121"/>
      <c r="AA190" s="121"/>
      <c r="AB190" s="121"/>
      <c r="AC190" s="121"/>
    </row>
    <row r="191" spans="2:29" ht="13.5" customHeight="1">
      <c r="B191" s="120" t="s">
        <v>499</v>
      </c>
      <c r="E191" s="142">
        <f t="shared" ref="E191:Q191" si="103">+E135</f>
        <v>-1235</v>
      </c>
      <c r="F191" s="142">
        <f t="shared" si="103"/>
        <v>-924</v>
      </c>
      <c r="G191" s="166">
        <f t="shared" si="103"/>
        <v>-491</v>
      </c>
      <c r="H191" s="142">
        <f t="shared" si="103"/>
        <v>-938.72156737252351</v>
      </c>
      <c r="I191" s="142">
        <f t="shared" si="103"/>
        <v>-770.11746913747834</v>
      </c>
      <c r="J191" s="142">
        <f t="shared" si="103"/>
        <v>-683.21191991013461</v>
      </c>
      <c r="K191" s="142">
        <f t="shared" si="103"/>
        <v>-729.75803891963051</v>
      </c>
      <c r="L191" s="142">
        <f t="shared" si="103"/>
        <v>-665.93999630489611</v>
      </c>
      <c r="M191" s="142">
        <f t="shared" si="103"/>
        <v>-650.44520363164111</v>
      </c>
      <c r="N191" s="142">
        <f t="shared" si="103"/>
        <v>-624.32854357883718</v>
      </c>
      <c r="O191" s="142">
        <f t="shared" si="103"/>
        <v>-603.68566947922352</v>
      </c>
      <c r="P191" s="142">
        <f t="shared" si="103"/>
        <v>-606.82238678273222</v>
      </c>
      <c r="Q191" s="142">
        <f t="shared" si="103"/>
        <v>-624.95578512006011</v>
      </c>
      <c r="R191" s="121"/>
      <c r="S191" s="121"/>
      <c r="T191" s="121"/>
      <c r="U191" s="121"/>
      <c r="V191" s="121"/>
      <c r="W191" s="121"/>
      <c r="X191" s="121"/>
      <c r="Y191" s="121"/>
      <c r="Z191" s="121"/>
      <c r="AA191" s="121"/>
      <c r="AB191" s="121"/>
      <c r="AC191" s="121"/>
    </row>
    <row r="192" spans="2:29" ht="3.75" customHeight="1">
      <c r="B192" s="143"/>
      <c r="E192" s="145"/>
      <c r="F192" s="145"/>
      <c r="G192" s="153"/>
      <c r="H192" s="168"/>
      <c r="I192" s="168"/>
      <c r="J192" s="168"/>
      <c r="K192" s="168"/>
      <c r="L192" s="168"/>
      <c r="M192" s="168"/>
      <c r="N192" s="168"/>
      <c r="O192" s="168"/>
      <c r="P192" s="168"/>
      <c r="Q192" s="168"/>
      <c r="R192" s="121"/>
      <c r="S192" s="121"/>
      <c r="T192" s="121"/>
      <c r="U192" s="121"/>
      <c r="V192" s="121"/>
      <c r="W192" s="121"/>
      <c r="X192" s="121"/>
      <c r="Y192" s="121"/>
      <c r="Z192" s="121"/>
      <c r="AA192" s="121"/>
      <c r="AB192" s="121"/>
      <c r="AC192" s="121"/>
    </row>
    <row r="193" spans="2:29" ht="15.6">
      <c r="B193" s="174" t="s">
        <v>31</v>
      </c>
      <c r="C193" s="175"/>
      <c r="D193" s="175"/>
      <c r="E193" s="176">
        <f t="shared" ref="E193:Q193" si="104">IFERROR(E183+E185+E191+E189+E187,"")</f>
        <v>11688.4</v>
      </c>
      <c r="F193" s="176">
        <f t="shared" si="104"/>
        <v>14857.52</v>
      </c>
      <c r="G193" s="177">
        <f t="shared" si="104"/>
        <v>14905.184000000001</v>
      </c>
      <c r="H193" s="176">
        <f t="shared" ca="1" si="104"/>
        <v>11932.291325615097</v>
      </c>
      <c r="I193" s="176">
        <f t="shared" ca="1" si="104"/>
        <v>13978.95533218066</v>
      </c>
      <c r="J193" s="176">
        <f t="shared" ca="1" si="104"/>
        <v>14199.951116467744</v>
      </c>
      <c r="K193" s="176">
        <f t="shared" ca="1" si="104"/>
        <v>15830.407443393762</v>
      </c>
      <c r="L193" s="176">
        <f t="shared" ca="1" si="104"/>
        <v>16724.743248791572</v>
      </c>
      <c r="M193" s="176">
        <f t="shared" ca="1" si="104"/>
        <v>17725.253169688334</v>
      </c>
      <c r="N193" s="176">
        <f t="shared" ca="1" si="104"/>
        <v>19247.865225894417</v>
      </c>
      <c r="O193" s="176">
        <f t="shared" ca="1" si="104"/>
        <v>20195.81098653132</v>
      </c>
      <c r="P193" s="176">
        <f t="shared" ca="1" si="104"/>
        <v>21457.638911894603</v>
      </c>
      <c r="Q193" s="322">
        <f t="shared" ca="1" si="104"/>
        <v>22926.639309374306</v>
      </c>
      <c r="R193" s="121"/>
      <c r="S193" s="121" t="s">
        <v>516</v>
      </c>
      <c r="T193" s="121"/>
      <c r="U193" s="121">
        <f ca="1">+J193/(1+$C$12)^(J196-2)</f>
        <v>14059.080144834703</v>
      </c>
      <c r="V193" s="121">
        <f ca="1">+K193/(1+$C$12)^(K196-2)</f>
        <v>14432.053895896232</v>
      </c>
      <c r="W193" s="121">
        <f ca="1">+L193/(1+$C$12)^(L196-2)</f>
        <v>14039.8187228937</v>
      </c>
      <c r="X193" s="121">
        <f ca="1">+M193/(1+$C$12)^(M196-2)</f>
        <v>13701.259116822957</v>
      </c>
      <c r="Y193" s="121">
        <f ca="1">+N193/(1+$C$12)^(N196-2)</f>
        <v>13699.874656206612</v>
      </c>
      <c r="Z193" s="121"/>
      <c r="AA193" s="121">
        <f ca="1">+O193/(1+$C$12)^(O196-2)</f>
        <v>13236.138836680913</v>
      </c>
      <c r="AB193" s="121">
        <f ca="1">+P193/(1+$C$12)^(P196-2)</f>
        <v>12949.34915631737</v>
      </c>
      <c r="AC193" s="121">
        <f ca="1">+Q193/(1+$C$12)^(Q196-2)</f>
        <v>12740.087144009996</v>
      </c>
    </row>
    <row r="194" spans="2:29" ht="15.6">
      <c r="B194" s="178" t="s">
        <v>517</v>
      </c>
      <c r="C194" s="179"/>
      <c r="D194" s="179"/>
      <c r="E194" s="179"/>
      <c r="F194" s="179"/>
      <c r="G194" s="180"/>
      <c r="H194" s="181">
        <f ca="1">IFERROR(H193/(1+$C$12)^H196,"")</f>
        <v>11813.916729881556</v>
      </c>
      <c r="I194" s="181">
        <f t="shared" ref="I194:P194" ca="1" si="105">IFERROR(I193/(1+$C$12)^I196,"")</f>
        <v>12744.14682526369</v>
      </c>
      <c r="J194" s="181">
        <f t="shared" ca="1" si="105"/>
        <v>11920.346792980754</v>
      </c>
      <c r="K194" s="181">
        <f t="shared" ca="1" si="105"/>
        <v>12236.582023986657</v>
      </c>
      <c r="L194" s="181">
        <f t="shared" ca="1" si="105"/>
        <v>11904.015509077586</v>
      </c>
      <c r="M194" s="181">
        <f t="shared" ca="1" si="105"/>
        <v>11616.959181573759</v>
      </c>
      <c r="N194" s="181">
        <f t="shared" ca="1" si="105"/>
        <v>11615.78533161359</v>
      </c>
      <c r="O194" s="181">
        <f t="shared" ca="1" si="105"/>
        <v>11222.595184596439</v>
      </c>
      <c r="P194" s="181">
        <f t="shared" ca="1" si="105"/>
        <v>10979.433298373209</v>
      </c>
      <c r="Q194" s="182">
        <f ca="1">IFERROR(Q193/(1+$C$12)^Q196,"")</f>
        <v>10802.005206947373</v>
      </c>
      <c r="R194" s="121"/>
      <c r="S194" s="121" t="s">
        <v>518</v>
      </c>
      <c r="T194" s="356">
        <f t="shared" ref="T194:Y194" ca="1" si="106">+I193/(1+$C$12)^(I196-1)</f>
        <v>13840.276754775176</v>
      </c>
      <c r="U194" s="356">
        <f t="shared" ca="1" si="106"/>
        <v>12945.621302847529</v>
      </c>
      <c r="V194" s="356">
        <f t="shared" ca="1" si="106"/>
        <v>13289.056071509762</v>
      </c>
      <c r="W194" s="356">
        <f t="shared" ca="1" si="106"/>
        <v>12927.885357705045</v>
      </c>
      <c r="X194" s="356">
        <f t="shared" ca="1" si="106"/>
        <v>12616.139183454565</v>
      </c>
      <c r="Y194" s="356">
        <f t="shared" ca="1" si="106"/>
        <v>12614.864370119461</v>
      </c>
      <c r="Z194" s="356"/>
      <c r="AA194" s="356">
        <f ca="1">+O193/(1+$C$12)^(O196-1)</f>
        <v>12187.855757728064</v>
      </c>
      <c r="AB194" s="356">
        <f ca="1">+P193/(1+$C$12)^(P196-1)</f>
        <v>11923.779405839909</v>
      </c>
      <c r="AC194" s="356">
        <f ca="1">+Q193/(1+$C$12)^(Q196-1)</f>
        <v>11731.090642670837</v>
      </c>
    </row>
    <row r="195" spans="2:29" ht="3.75" customHeight="1">
      <c r="G195" s="138"/>
      <c r="R195" s="121"/>
      <c r="S195" s="121"/>
      <c r="T195" s="121"/>
      <c r="U195" s="121"/>
      <c r="V195" s="121"/>
      <c r="W195" s="121"/>
      <c r="X195" s="121"/>
      <c r="Y195" s="121"/>
      <c r="Z195" s="121"/>
      <c r="AA195" s="121"/>
      <c r="AB195" s="121"/>
      <c r="AC195" s="121"/>
    </row>
    <row r="196" spans="2:29" ht="15.6">
      <c r="B196" s="120" t="s">
        <v>519</v>
      </c>
      <c r="G196" s="138"/>
      <c r="H196" s="183">
        <f ca="1">+H197/2</f>
        <v>0.12083333333333333</v>
      </c>
      <c r="I196" s="183">
        <f ca="1">+H196+1</f>
        <v>1.1208333333333333</v>
      </c>
      <c r="J196" s="183">
        <f t="shared" ref="J196:Q196" ca="1" si="107">+I196+1</f>
        <v>2.1208333333333336</v>
      </c>
      <c r="K196" s="183">
        <f ca="1">+J196+1</f>
        <v>3.1208333333333336</v>
      </c>
      <c r="L196" s="183">
        <f t="shared" ca="1" si="107"/>
        <v>4.1208333333333336</v>
      </c>
      <c r="M196" s="183">
        <f t="shared" ca="1" si="107"/>
        <v>5.1208333333333336</v>
      </c>
      <c r="N196" s="183">
        <f t="shared" ca="1" si="107"/>
        <v>6.1208333333333336</v>
      </c>
      <c r="O196" s="183">
        <f t="shared" ca="1" si="107"/>
        <v>7.1208333333333336</v>
      </c>
      <c r="P196" s="183">
        <f t="shared" ca="1" si="107"/>
        <v>8.1208333333333336</v>
      </c>
      <c r="Q196" s="183">
        <f t="shared" ca="1" si="107"/>
        <v>9.1208333333333336</v>
      </c>
      <c r="R196" s="121"/>
      <c r="S196" s="121"/>
      <c r="T196" s="121"/>
      <c r="U196" s="121"/>
      <c r="V196" s="121"/>
      <c r="W196" s="121"/>
      <c r="X196" s="121"/>
      <c r="Y196" s="121"/>
      <c r="Z196" s="121"/>
      <c r="AA196" s="121"/>
      <c r="AB196" s="121"/>
      <c r="AC196" s="121"/>
    </row>
    <row r="197" spans="2:29" ht="15.6">
      <c r="B197" s="120" t="s">
        <v>520</v>
      </c>
      <c r="G197" s="138"/>
      <c r="H197" s="183">
        <f ca="1">YEARFRAC(P197,P198)</f>
        <v>0.24166666666666667</v>
      </c>
      <c r="P197" s="184">
        <f ca="1">TODAY()</f>
        <v>45934</v>
      </c>
      <c r="R197" s="121"/>
      <c r="S197" s="121"/>
      <c r="T197" s="121"/>
      <c r="U197" s="121"/>
      <c r="V197" s="121"/>
      <c r="W197" s="121"/>
      <c r="X197" s="121"/>
      <c r="Y197" s="121"/>
      <c r="Z197" s="121"/>
      <c r="AA197" s="121"/>
      <c r="AB197" s="121"/>
      <c r="AC197" s="121"/>
    </row>
    <row r="198" spans="2:29" s="121" customFormat="1" ht="13.5" customHeight="1">
      <c r="G198" s="185"/>
      <c r="P198" s="184">
        <v>46022</v>
      </c>
    </row>
    <row r="199" spans="2:29" ht="15.6">
      <c r="B199" s="120" t="s">
        <v>521</v>
      </c>
      <c r="G199" s="138"/>
      <c r="L199" s="186" t="str">
        <f ca="1">IFERROR((#REF!*(1+$C$13))/($C$12-$C$13),"")</f>
        <v/>
      </c>
      <c r="P199" s="187"/>
      <c r="Q199" s="188">
        <f ca="1">IFERROR(+(Q193*(1+$C$13))/($C$12-$C$13),"")</f>
        <v>354264.64426922327</v>
      </c>
      <c r="R199" s="121">
        <v>2025</v>
      </c>
      <c r="S199" s="121">
        <v>2026</v>
      </c>
      <c r="T199" s="624"/>
      <c r="U199" s="625"/>
      <c r="V199" s="625"/>
      <c r="W199" s="121"/>
      <c r="X199" s="121"/>
      <c r="Y199" s="121"/>
      <c r="Z199" s="121"/>
      <c r="AA199" s="121"/>
      <c r="AB199" s="121"/>
      <c r="AC199" s="121"/>
    </row>
    <row r="200" spans="2:29" ht="15.6">
      <c r="B200" s="120" t="s">
        <v>522</v>
      </c>
      <c r="G200" s="138"/>
      <c r="L200" s="186" t="str">
        <f ca="1">IFERROR(L199/(1+$C$12)^#REF!,"")</f>
        <v/>
      </c>
      <c r="Q200" s="159">
        <f ca="1">IFERROR(Q199/(1+$C$12)^$Q$196,"")</f>
        <v>166913.62743552253</v>
      </c>
      <c r="R200" s="684">
        <f ca="1">+Q199/(1+$C$12)^$P$196</f>
        <v>181269.94529531931</v>
      </c>
      <c r="S200" s="121">
        <f ca="1">+Q199/(1+$C$12)^$O$196</f>
        <v>196861.05665674995</v>
      </c>
      <c r="T200" s="625"/>
      <c r="U200" s="128"/>
      <c r="V200" s="128"/>
      <c r="W200" s="121"/>
      <c r="X200" s="121"/>
      <c r="Y200" s="121"/>
      <c r="Z200" s="121"/>
      <c r="AA200" s="121"/>
      <c r="AB200" s="121"/>
      <c r="AC200" s="121"/>
    </row>
    <row r="201" spans="2:29" ht="15.6">
      <c r="B201" s="120" t="s">
        <v>523</v>
      </c>
      <c r="G201" s="138"/>
      <c r="L201" s="189"/>
      <c r="Q201" s="159">
        <f ca="1">+SUM(H194:Q194,Q200)</f>
        <v>283769.41351981717</v>
      </c>
      <c r="R201" s="684">
        <f ca="1">+SUM(T194:AC194,R200)</f>
        <v>295346.51414196962</v>
      </c>
      <c r="S201" s="121">
        <f ca="1">+SUM(S200,U193:AC193)</f>
        <v>305718.71833041246</v>
      </c>
      <c r="T201" s="625"/>
      <c r="U201" s="128"/>
      <c r="V201" s="128"/>
      <c r="W201" s="121"/>
      <c r="X201" s="121"/>
      <c r="Y201" s="121"/>
      <c r="Z201" s="121"/>
      <c r="AA201" s="121"/>
      <c r="AB201" s="121"/>
      <c r="AC201" s="121"/>
    </row>
    <row r="202" spans="2:29" ht="15.6">
      <c r="B202" s="120" t="s">
        <v>524</v>
      </c>
      <c r="G202" s="138"/>
      <c r="L202" s="189"/>
      <c r="Q202" s="324">
        <f>Inputs!Q32</f>
        <v>14591</v>
      </c>
      <c r="R202" s="684">
        <f>+H89</f>
        <v>18284.979467808258</v>
      </c>
      <c r="S202" s="684">
        <f>+I89</f>
        <v>22439.540590711978</v>
      </c>
      <c r="T202" s="125"/>
      <c r="U202" s="125"/>
      <c r="V202" s="125"/>
      <c r="W202" s="121"/>
      <c r="X202" s="121"/>
      <c r="Y202" s="121"/>
      <c r="Z202" s="121"/>
      <c r="AA202" s="121"/>
      <c r="AB202" s="121"/>
      <c r="AC202" s="121"/>
    </row>
    <row r="203" spans="2:29" ht="15.6">
      <c r="B203" s="120" t="s">
        <v>525</v>
      </c>
      <c r="G203" s="138"/>
      <c r="L203" s="189"/>
      <c r="Q203" s="324">
        <v>86</v>
      </c>
      <c r="R203" s="684">
        <f>+Q203</f>
        <v>86</v>
      </c>
      <c r="S203" s="684">
        <f>+Q203</f>
        <v>86</v>
      </c>
      <c r="T203" s="125"/>
      <c r="U203" s="125"/>
      <c r="V203" s="125"/>
      <c r="W203" s="121"/>
      <c r="X203" s="121"/>
      <c r="Y203" s="121"/>
      <c r="Z203" s="121"/>
      <c r="AA203" s="121"/>
      <c r="AB203" s="121"/>
      <c r="AC203" s="121"/>
    </row>
    <row r="204" spans="2:29" ht="15.6">
      <c r="B204" s="120" t="s">
        <v>526</v>
      </c>
      <c r="G204" s="138"/>
      <c r="M204" s="190"/>
      <c r="Q204" s="324">
        <v>0</v>
      </c>
      <c r="R204" s="684">
        <f>+Q204</f>
        <v>0</v>
      </c>
      <c r="S204" s="684">
        <f>+Q204</f>
        <v>0</v>
      </c>
      <c r="T204" s="125"/>
      <c r="U204" s="125"/>
      <c r="V204" s="125"/>
      <c r="W204" s="121"/>
      <c r="X204" s="121"/>
      <c r="Y204" s="121"/>
      <c r="Z204" s="121"/>
      <c r="AA204" s="121"/>
      <c r="AB204" s="121"/>
      <c r="AC204" s="121"/>
    </row>
    <row r="205" spans="2:29" ht="15.6">
      <c r="B205" s="120" t="s">
        <v>527</v>
      </c>
      <c r="G205" s="138"/>
      <c r="Q205" s="324">
        <f>Inputs!Q114</f>
        <v>58396</v>
      </c>
      <c r="R205" s="684">
        <f>+H117</f>
        <v>58285.618690738105</v>
      </c>
      <c r="S205" s="684">
        <f>+I117</f>
        <v>60594.230936602544</v>
      </c>
      <c r="T205" s="125"/>
      <c r="U205" s="125"/>
      <c r="V205" s="125"/>
      <c r="W205" s="121"/>
      <c r="X205" s="121"/>
      <c r="Y205" s="121"/>
      <c r="Z205" s="121"/>
      <c r="AA205" s="121"/>
      <c r="AB205" s="121"/>
      <c r="AC205" s="121"/>
    </row>
    <row r="206" spans="2:29" ht="15.6">
      <c r="B206" s="120" t="s">
        <v>207</v>
      </c>
      <c r="G206" s="138"/>
      <c r="Q206" s="159">
        <f ca="1">Q201+Q202-Q203-Q204-Q205</f>
        <v>239878.41351981717</v>
      </c>
      <c r="R206" s="684">
        <f ca="1">R201+R202-R203-R204-R205</f>
        <v>255259.87491903978</v>
      </c>
      <c r="S206" s="684">
        <f ca="1">S201+S202-S203-S204-S205</f>
        <v>267478.02798452193</v>
      </c>
      <c r="T206" s="125"/>
      <c r="U206" s="125"/>
      <c r="V206" s="125"/>
      <c r="W206" s="121"/>
      <c r="X206" s="121"/>
      <c r="Y206" s="121"/>
      <c r="Z206" s="121"/>
      <c r="AA206" s="121"/>
      <c r="AB206" s="121"/>
      <c r="AC206" s="121"/>
    </row>
    <row r="207" spans="2:29" ht="3.75" customHeight="1">
      <c r="G207" s="138"/>
      <c r="Q207" s="191"/>
      <c r="R207" s="125"/>
      <c r="S207" s="125"/>
      <c r="T207" s="125"/>
      <c r="U207" s="125"/>
      <c r="V207" s="125"/>
      <c r="W207" s="121"/>
      <c r="X207" s="121"/>
      <c r="Y207" s="121"/>
      <c r="Z207" s="121"/>
      <c r="AA207" s="121"/>
      <c r="AB207" s="121"/>
      <c r="AC207" s="121"/>
    </row>
    <row r="208" spans="2:29" ht="15.6">
      <c r="B208" s="120" t="s">
        <v>528</v>
      </c>
      <c r="G208" s="138"/>
      <c r="O208" s="143"/>
      <c r="Q208" s="188" cm="1">
        <f t="array" aca="1" ref="Q208" ca="1">IFERROR(_FV(R4,"Shares outstanding",TRUE)/1000000,"")</f>
        <v>931.51919999999996</v>
      </c>
      <c r="R208" s="125"/>
      <c r="S208" s="125"/>
      <c r="T208" s="125"/>
      <c r="U208" s="125"/>
      <c r="V208" s="125"/>
      <c r="W208" s="121"/>
      <c r="X208" s="121"/>
      <c r="Y208" s="121"/>
      <c r="Z208" s="121"/>
      <c r="AA208" s="121"/>
      <c r="AB208" s="121"/>
      <c r="AC208" s="121"/>
    </row>
    <row r="209" spans="1:29" ht="15.6">
      <c r="B209" s="140" t="s">
        <v>529</v>
      </c>
      <c r="G209" s="138"/>
      <c r="N209" s="192"/>
      <c r="Q209" s="193">
        <f ca="1">IFERROR(Q206/Q$208,"")</f>
        <v>257.51311783999427</v>
      </c>
      <c r="R209" s="125"/>
      <c r="S209" s="125"/>
      <c r="T209" s="125"/>
      <c r="U209" s="125"/>
      <c r="V209" s="125"/>
      <c r="W209" s="121"/>
      <c r="X209" s="121"/>
      <c r="Y209" s="121"/>
      <c r="Z209" s="121"/>
      <c r="AA209" s="121"/>
      <c r="AB209" s="121"/>
      <c r="AC209" s="121"/>
    </row>
    <row r="210" spans="1:29" ht="3.75" customHeight="1">
      <c r="G210" s="138"/>
      <c r="R210" s="125"/>
      <c r="S210" s="125"/>
      <c r="T210" s="125"/>
      <c r="U210" s="125"/>
      <c r="V210" s="125"/>
      <c r="W210" s="121"/>
      <c r="X210" s="121"/>
      <c r="Y210" s="121"/>
      <c r="Z210" s="121"/>
      <c r="AA210" s="121"/>
      <c r="AB210" s="121"/>
      <c r="AC210" s="121"/>
    </row>
    <row r="211" spans="1:29" ht="15.6">
      <c r="B211" s="120" t="s">
        <v>530</v>
      </c>
      <c r="G211" s="138"/>
      <c r="Q211" s="193" cm="1">
        <f t="array" aca="1" ref="Q211" ca="1">IFERROR(_FV(R4,"Price"),"")</f>
        <v>288.37</v>
      </c>
      <c r="R211" s="121"/>
      <c r="S211" s="121"/>
      <c r="T211" s="121"/>
      <c r="U211" s="121"/>
      <c r="V211" s="121"/>
      <c r="W211" s="121"/>
      <c r="X211" s="121"/>
      <c r="Y211" s="121"/>
      <c r="Z211" s="121"/>
      <c r="AA211" s="121"/>
      <c r="AB211" s="121"/>
      <c r="AC211" s="121"/>
    </row>
    <row r="212" spans="1:29" ht="15.6">
      <c r="B212" s="140" t="s">
        <v>531</v>
      </c>
      <c r="C212" s="140"/>
      <c r="D212" s="140"/>
      <c r="E212" s="140"/>
      <c r="F212" s="140"/>
      <c r="G212" s="194"/>
      <c r="H212" s="140"/>
      <c r="I212" s="140"/>
      <c r="J212" s="140"/>
      <c r="K212" s="140"/>
      <c r="L212" s="140"/>
      <c r="M212" s="140"/>
      <c r="N212" s="140"/>
      <c r="O212" s="140"/>
      <c r="P212" s="140"/>
      <c r="Q212" s="195">
        <f ca="1">IFERROR(Q209/Q211-1,"")</f>
        <v>-0.10700448090996195</v>
      </c>
      <c r="R212" s="121"/>
      <c r="S212" s="121"/>
      <c r="T212" s="121"/>
      <c r="U212" s="121"/>
      <c r="V212" s="121"/>
      <c r="W212" s="121"/>
      <c r="X212" s="121"/>
      <c r="Y212" s="121"/>
      <c r="Z212" s="121"/>
      <c r="AA212" s="121"/>
      <c r="AB212" s="121"/>
      <c r="AC212" s="121"/>
    </row>
    <row r="213" spans="1:29" ht="5.25" customHeight="1">
      <c r="B213" s="140"/>
      <c r="C213" s="140"/>
      <c r="D213" s="140"/>
      <c r="E213" s="140"/>
      <c r="F213" s="140"/>
      <c r="G213" s="194"/>
      <c r="H213" s="140"/>
      <c r="I213" s="140"/>
      <c r="J213" s="140"/>
      <c r="K213" s="140"/>
      <c r="L213" s="140"/>
      <c r="M213" s="140"/>
      <c r="N213" s="140"/>
      <c r="O213" s="140"/>
      <c r="P213" s="140"/>
      <c r="Q213" s="195"/>
      <c r="R213" s="121"/>
      <c r="S213" s="121"/>
      <c r="T213" s="121"/>
      <c r="U213" s="121"/>
      <c r="V213" s="121"/>
      <c r="W213" s="121"/>
      <c r="X213" s="121"/>
      <c r="Y213" s="121"/>
      <c r="Z213" s="121"/>
      <c r="AA213" s="121"/>
      <c r="AB213" s="121"/>
      <c r="AC213" s="121"/>
    </row>
    <row r="214" spans="1:29" ht="15.6">
      <c r="A214" s="120" t="s">
        <v>417</v>
      </c>
      <c r="B214" s="45" t="s">
        <v>532</v>
      </c>
      <c r="C214" s="45"/>
      <c r="D214" s="45"/>
      <c r="E214" s="131">
        <f>E169</f>
        <v>2022</v>
      </c>
      <c r="F214" s="131">
        <f t="shared" ref="F214:Q214" si="108">F169</f>
        <v>2023</v>
      </c>
      <c r="G214" s="131">
        <f t="shared" si="108"/>
        <v>2024</v>
      </c>
      <c r="H214" s="131">
        <f t="shared" si="108"/>
        <v>2025</v>
      </c>
      <c r="I214" s="131">
        <f t="shared" si="108"/>
        <v>2026</v>
      </c>
      <c r="J214" s="131">
        <f t="shared" si="108"/>
        <v>2027</v>
      </c>
      <c r="K214" s="131">
        <f t="shared" si="108"/>
        <v>2028</v>
      </c>
      <c r="L214" s="131">
        <f t="shared" si="108"/>
        <v>2029</v>
      </c>
      <c r="M214" s="131">
        <f t="shared" si="108"/>
        <v>2030</v>
      </c>
      <c r="N214" s="131">
        <f t="shared" si="108"/>
        <v>2031</v>
      </c>
      <c r="O214" s="131">
        <f t="shared" si="108"/>
        <v>2032</v>
      </c>
      <c r="P214" s="131">
        <f t="shared" si="108"/>
        <v>2033</v>
      </c>
      <c r="Q214" s="131">
        <f t="shared" si="108"/>
        <v>2034</v>
      </c>
      <c r="R214" s="121"/>
      <c r="S214" s="121"/>
      <c r="T214" s="121"/>
      <c r="U214" s="121"/>
      <c r="V214" s="121"/>
      <c r="W214" s="121"/>
      <c r="X214" s="121"/>
      <c r="Y214" s="121"/>
      <c r="Z214" s="121"/>
      <c r="AA214" s="121"/>
      <c r="AB214" s="121"/>
      <c r="AC214" s="121"/>
    </row>
    <row r="215" spans="1:29" ht="3.75" customHeight="1">
      <c r="B215" s="46"/>
      <c r="C215" s="46"/>
      <c r="D215" s="46"/>
      <c r="E215" s="46"/>
      <c r="F215" s="46"/>
      <c r="G215" s="156"/>
      <c r="H215" s="46"/>
      <c r="I215" s="46"/>
      <c r="J215" s="46"/>
      <c r="K215" s="46"/>
      <c r="L215" s="46"/>
      <c r="M215" s="46"/>
      <c r="N215" s="46"/>
      <c r="O215" s="46"/>
      <c r="P215" s="46"/>
      <c r="Q215" s="46"/>
      <c r="R215" s="121"/>
      <c r="S215" s="121"/>
      <c r="T215" s="121"/>
      <c r="U215" s="121"/>
      <c r="V215" s="121"/>
      <c r="W215" s="121"/>
      <c r="X215" s="121"/>
      <c r="Y215" s="121"/>
      <c r="Z215" s="121"/>
      <c r="AA215" s="121"/>
      <c r="AB215" s="121"/>
      <c r="AC215" s="121"/>
    </row>
    <row r="216" spans="1:29" ht="15.6">
      <c r="B216" s="174" t="s">
        <v>533</v>
      </c>
      <c r="C216" s="175"/>
      <c r="D216" s="175"/>
      <c r="E216" s="176"/>
      <c r="F216" s="176"/>
      <c r="G216" s="177"/>
      <c r="H216" s="176">
        <f ca="1">IFERROR(H193/(1+WACC!$G$16)^H196,"")</f>
        <v>11808.169322467274</v>
      </c>
      <c r="I216" s="176">
        <f ca="1">IFERROR(I193/(1+WACC!$G$16)^I196,"")</f>
        <v>12686.752492887008</v>
      </c>
      <c r="J216" s="176">
        <f ca="1">IFERROR(J193/(1+WACC!$G$16)^J196,"")</f>
        <v>11818.969870472556</v>
      </c>
      <c r="K216" s="176">
        <f ca="1">IFERROR(K193/(1+WACC!$G$16)^K196,"")</f>
        <v>12083.754551937063</v>
      </c>
      <c r="L216" s="176">
        <f ca="1">IFERROR(L193/(1+WACC!$G$16)^L196,"")</f>
        <v>11708.096351825987</v>
      </c>
      <c r="M216" s="176">
        <f ca="1">IFERROR(M193/(1+WACC!$G$16)^M196,"")</f>
        <v>11379.843812798132</v>
      </c>
      <c r="N216" s="176">
        <f ca="1">IFERROR(N193/(1+WACC!$G$16)^N196,"")</f>
        <v>11332.962447285558</v>
      </c>
      <c r="O216" s="176">
        <f ca="1">IFERROR(O193/(1+WACC!$G$16)^O196,"")</f>
        <v>10905.339847124729</v>
      </c>
      <c r="P216" s="176">
        <f ca="1">IFERROR(P193/(1+WACC!$G$16)^P196,"")</f>
        <v>10626.172593696918</v>
      </c>
      <c r="Q216" s="622">
        <f ca="1">IFERROR(Q193/(1+WACC!$G$16)^Q196,"")</f>
        <v>10412.436298934379</v>
      </c>
      <c r="R216" s="121"/>
      <c r="S216" s="121"/>
      <c r="T216" s="121"/>
      <c r="U216" s="121"/>
      <c r="V216" s="121"/>
      <c r="W216" s="121"/>
      <c r="X216" s="121"/>
      <c r="Y216" s="121"/>
      <c r="Z216" s="121"/>
      <c r="AA216" s="121"/>
      <c r="AB216" s="121"/>
      <c r="AC216" s="121"/>
    </row>
    <row r="217" spans="1:29" ht="15.6">
      <c r="B217" s="178" t="s">
        <v>534</v>
      </c>
      <c r="C217" s="179"/>
      <c r="D217" s="179"/>
      <c r="E217" s="179"/>
      <c r="F217" s="179"/>
      <c r="G217" s="180"/>
      <c r="H217" s="181">
        <f ca="1">IFERROR((H66*H80)/(1+WACC!$G$20)^H196,"")</f>
        <v>244.11303177030834</v>
      </c>
      <c r="I217" s="181">
        <f ca="1">IFERROR((I66*I80)/(1+WACC!$G$20)^I196,"")</f>
        <v>244.99115189151104</v>
      </c>
      <c r="J217" s="181">
        <f ca="1">IFERROR((J66*J80)/(1+WACC!$G$20)^J196,"")</f>
        <v>245.33734709286253</v>
      </c>
      <c r="K217" s="181">
        <f ca="1">IFERROR((K66*K80)/(1+WACC!$G$20)^K196,"")</f>
        <v>250.17903389118209</v>
      </c>
      <c r="L217" s="181">
        <f ca="1">IFERROR((L66*L80)/(1+WACC!$G$20)^L196,"")</f>
        <v>252.86443714559132</v>
      </c>
      <c r="M217" s="181">
        <f ca="1">IFERROR((M66*M80)/(1+WACC!$G$20)^M196,"")</f>
        <v>255.98721963895815</v>
      </c>
      <c r="N217" s="181">
        <f ca="1">IFERROR((N66*N80)/(1+WACC!$G$20)^N196,"")</f>
        <v>258.5690318573383</v>
      </c>
      <c r="O217" s="181">
        <f ca="1">IFERROR((O66*O80)/(1+WACC!$G$20)^O196,"")</f>
        <v>261.01259924364462</v>
      </c>
      <c r="P217" s="181">
        <f ca="1">IFERROR((P66*P80)/(1+WACC!$G$20)^P196,"")</f>
        <v>263.81693616834923</v>
      </c>
      <c r="Q217" s="623">
        <f ca="1">IFERROR((Q66*Q80)/(1+WACC!$G$20)^Q196,"")</f>
        <v>266.43067898057609</v>
      </c>
      <c r="R217" s="121"/>
      <c r="S217" s="121"/>
      <c r="T217" s="121"/>
      <c r="U217" s="121"/>
      <c r="V217" s="121"/>
      <c r="W217" s="121"/>
      <c r="X217" s="121"/>
      <c r="Y217" s="121"/>
      <c r="Z217" s="121"/>
      <c r="AA217" s="121"/>
      <c r="AB217" s="121"/>
      <c r="AC217" s="121"/>
    </row>
    <row r="218" spans="1:29" ht="3.75" customHeight="1">
      <c r="B218" s="140"/>
      <c r="C218" s="140"/>
      <c r="D218" s="140"/>
      <c r="E218" s="140"/>
      <c r="F218" s="140"/>
      <c r="G218" s="194"/>
      <c r="H218" s="140"/>
      <c r="I218" s="140"/>
      <c r="J218" s="140"/>
      <c r="K218" s="140"/>
      <c r="L218" s="140"/>
      <c r="M218" s="140"/>
      <c r="N218" s="140"/>
      <c r="O218" s="140"/>
      <c r="P218" s="140"/>
      <c r="Q218" s="195"/>
      <c r="R218" s="121"/>
      <c r="S218" s="121"/>
      <c r="T218" s="121"/>
      <c r="U218" s="121"/>
      <c r="V218" s="121"/>
      <c r="W218" s="121"/>
      <c r="X218" s="121"/>
      <c r="Y218" s="121"/>
      <c r="Z218" s="121"/>
      <c r="AA218" s="121"/>
      <c r="AB218" s="121"/>
      <c r="AC218" s="121"/>
    </row>
    <row r="219" spans="1:29" ht="15.6">
      <c r="B219" s="120" t="s">
        <v>535</v>
      </c>
      <c r="C219" s="140"/>
      <c r="D219" s="140"/>
      <c r="E219" s="140"/>
      <c r="F219" s="140"/>
      <c r="G219" s="194"/>
      <c r="H219" s="140"/>
      <c r="I219" s="140"/>
      <c r="J219" s="140"/>
      <c r="K219" s="140"/>
      <c r="L219" s="140"/>
      <c r="M219" s="140"/>
      <c r="N219" s="140"/>
      <c r="O219" s="140"/>
      <c r="P219" s="140"/>
      <c r="Q219" s="159">
        <f ca="1">IFERROR((Q193*(1+$C$13))/(WACC!$G$16-DCF!$C$13),"")</f>
        <v>332209.73071777256</v>
      </c>
      <c r="R219" s="121"/>
      <c r="S219" s="121"/>
      <c r="T219" s="121"/>
      <c r="U219" s="121"/>
      <c r="V219" s="121"/>
      <c r="W219" s="121"/>
      <c r="X219" s="121"/>
      <c r="Y219" s="121"/>
      <c r="Z219" s="121"/>
      <c r="AA219" s="121"/>
      <c r="AB219" s="121"/>
      <c r="AC219" s="121"/>
    </row>
    <row r="220" spans="1:29" ht="15.6">
      <c r="B220" s="120" t="s">
        <v>536</v>
      </c>
      <c r="C220" s="140"/>
      <c r="D220" s="140"/>
      <c r="E220" s="140"/>
      <c r="F220" s="140"/>
      <c r="G220" s="194"/>
      <c r="H220" s="140"/>
      <c r="I220" s="140"/>
      <c r="J220" s="140"/>
      <c r="K220" s="140"/>
      <c r="L220" s="140"/>
      <c r="M220" s="140"/>
      <c r="N220" s="140"/>
      <c r="O220" s="140"/>
      <c r="P220" s="140"/>
      <c r="Q220" s="159">
        <f ca="1">IFERROR(Q219/(1+WACC!$G$16)^$Q$196,"")</f>
        <v>150877.44053139872</v>
      </c>
      <c r="R220" s="121"/>
      <c r="S220" s="121"/>
      <c r="T220" s="121"/>
      <c r="U220" s="121"/>
      <c r="V220" s="121"/>
      <c r="W220" s="121"/>
      <c r="X220" s="121"/>
      <c r="Y220" s="121"/>
      <c r="Z220" s="121"/>
      <c r="AA220" s="121"/>
      <c r="AB220" s="121"/>
      <c r="AC220" s="121"/>
    </row>
    <row r="221" spans="1:29" ht="15.6">
      <c r="B221" s="120" t="s">
        <v>537</v>
      </c>
      <c r="C221" s="140"/>
      <c r="D221" s="140"/>
      <c r="E221" s="140"/>
      <c r="F221" s="140"/>
      <c r="G221" s="194"/>
      <c r="H221" s="140"/>
      <c r="I221" s="140"/>
      <c r="J221" s="140"/>
      <c r="K221" s="140"/>
      <c r="L221" s="140"/>
      <c r="M221" s="140"/>
      <c r="N221" s="140"/>
      <c r="O221" s="140"/>
      <c r="P221" s="140"/>
      <c r="Q221" s="159">
        <f ca="1">IFERROR((Q217*(1+$C$13))/(WACC!$G$16-$C$13),"")</f>
        <v>3860.6122303716757</v>
      </c>
      <c r="R221" s="121"/>
      <c r="S221" s="121"/>
      <c r="T221" s="121"/>
      <c r="U221" s="121"/>
      <c r="V221" s="121"/>
      <c r="W221" s="121"/>
      <c r="X221" s="121"/>
      <c r="Y221" s="121"/>
      <c r="Z221" s="121"/>
      <c r="AA221" s="121"/>
      <c r="AB221" s="121"/>
      <c r="AC221" s="121"/>
    </row>
    <row r="222" spans="1:29" ht="15.6">
      <c r="B222" s="120" t="s">
        <v>538</v>
      </c>
      <c r="C222" s="140"/>
      <c r="D222" s="140"/>
      <c r="E222" s="140"/>
      <c r="F222" s="140"/>
      <c r="G222" s="194"/>
      <c r="H222" s="140"/>
      <c r="I222" s="140"/>
      <c r="J222" s="140"/>
      <c r="K222" s="140"/>
      <c r="L222" s="140"/>
      <c r="M222" s="140"/>
      <c r="N222" s="140"/>
      <c r="O222" s="140"/>
      <c r="P222" s="140"/>
      <c r="Q222" s="159">
        <f ca="1">IFERROR(Q221/(1+WACC!$G$18)^$Q$196,"")</f>
        <v>1.2977842332422079E-40</v>
      </c>
      <c r="R222" s="121"/>
      <c r="S222" s="121"/>
      <c r="T222" s="121"/>
      <c r="U222" s="121"/>
      <c r="V222" s="121"/>
      <c r="W222" s="121"/>
      <c r="X222" s="121"/>
      <c r="Y222" s="121"/>
      <c r="Z222" s="121"/>
      <c r="AA222" s="121"/>
      <c r="AB222" s="121"/>
      <c r="AC222" s="121"/>
    </row>
    <row r="223" spans="1:29" ht="15.6">
      <c r="B223" s="120" t="s">
        <v>539</v>
      </c>
      <c r="G223" s="138"/>
      <c r="Q223" s="159">
        <f ca="1">+SUM(H216:Q217,Q220,Q222)</f>
        <v>268183.23958850862</v>
      </c>
      <c r="R223" s="121"/>
      <c r="S223" s="121"/>
      <c r="T223" s="121"/>
      <c r="U223" s="121"/>
      <c r="V223" s="121"/>
      <c r="W223" s="121"/>
      <c r="X223" s="121"/>
      <c r="Y223" s="121"/>
      <c r="Z223" s="121"/>
      <c r="AA223" s="121"/>
      <c r="AB223" s="121"/>
      <c r="AC223" s="121"/>
    </row>
    <row r="224" spans="1:29" ht="15.6">
      <c r="B224" s="120" t="s">
        <v>207</v>
      </c>
      <c r="G224" s="138"/>
      <c r="Q224" s="159">
        <f ca="1">+Q223-Q202+Q203+Q204+Q205</f>
        <v>312074.23958850862</v>
      </c>
      <c r="R224" s="121"/>
      <c r="S224" s="121"/>
      <c r="T224" s="121"/>
      <c r="U224" s="121"/>
      <c r="V224" s="121"/>
      <c r="W224" s="121"/>
      <c r="X224" s="121"/>
      <c r="Y224" s="121"/>
      <c r="Z224" s="121"/>
      <c r="AA224" s="121"/>
      <c r="AB224" s="121"/>
      <c r="AC224" s="121"/>
    </row>
    <row r="225" spans="1:29" ht="15.6">
      <c r="B225" s="140" t="s">
        <v>529</v>
      </c>
      <c r="C225" s="140"/>
      <c r="D225" s="140"/>
      <c r="E225" s="140"/>
      <c r="F225" s="140"/>
      <c r="G225" s="194"/>
      <c r="H225" s="140"/>
      <c r="I225" s="140"/>
      <c r="J225" s="140"/>
      <c r="K225" s="140"/>
      <c r="L225" s="140"/>
      <c r="M225" s="140"/>
      <c r="N225" s="140"/>
      <c r="O225" s="140"/>
      <c r="P225" s="140"/>
      <c r="Q225" s="387">
        <f ca="1">IFERROR(Q224/Q208,"")</f>
        <v>335.01643292860592</v>
      </c>
      <c r="R225" s="121"/>
      <c r="S225" s="121"/>
      <c r="T225" s="121"/>
      <c r="U225" s="121"/>
      <c r="V225" s="121"/>
      <c r="W225" s="121"/>
      <c r="X225" s="121"/>
      <c r="Y225" s="121"/>
      <c r="Z225" s="121"/>
      <c r="AA225" s="121"/>
      <c r="AB225" s="121"/>
      <c r="AC225" s="121"/>
    </row>
    <row r="226" spans="1:29" ht="3.75" customHeight="1">
      <c r="B226" s="140"/>
      <c r="C226" s="140"/>
      <c r="D226" s="140"/>
      <c r="E226" s="140"/>
      <c r="F226" s="140"/>
      <c r="G226" s="194"/>
      <c r="H226" s="140"/>
      <c r="I226" s="140"/>
      <c r="J226" s="140"/>
      <c r="K226" s="140"/>
      <c r="L226" s="140"/>
      <c r="M226" s="140"/>
      <c r="N226" s="140"/>
      <c r="O226" s="140"/>
      <c r="P226" s="140"/>
      <c r="Q226" s="387"/>
      <c r="R226" s="121"/>
      <c r="S226" s="121"/>
      <c r="T226" s="121"/>
      <c r="U226" s="121"/>
      <c r="V226" s="121"/>
      <c r="W226" s="121"/>
      <c r="X226" s="121"/>
      <c r="Y226" s="121"/>
      <c r="Z226" s="121"/>
      <c r="AA226" s="121"/>
      <c r="AB226" s="121"/>
      <c r="AC226" s="121"/>
    </row>
    <row r="227" spans="1:29" ht="15.6">
      <c r="B227" s="388" t="s">
        <v>531</v>
      </c>
      <c r="C227" s="140"/>
      <c r="D227" s="140"/>
      <c r="E227" s="140"/>
      <c r="F227" s="140"/>
      <c r="G227" s="194"/>
      <c r="H227" s="140"/>
      <c r="I227" s="140"/>
      <c r="J227" s="140"/>
      <c r="K227" s="140"/>
      <c r="L227" s="140"/>
      <c r="M227" s="140"/>
      <c r="N227" s="140"/>
      <c r="O227" s="140"/>
      <c r="P227" s="140"/>
      <c r="Q227" s="195">
        <f ca="1">IFERROR(Q225/Q211-1,"")</f>
        <v>0.16175896566427128</v>
      </c>
      <c r="R227" s="121"/>
      <c r="S227" s="121"/>
      <c r="T227" s="121"/>
      <c r="U227" s="121"/>
      <c r="V227" s="121"/>
      <c r="W227" s="121"/>
      <c r="X227" s="121"/>
      <c r="Y227" s="121"/>
      <c r="Z227" s="121"/>
      <c r="AA227" s="121"/>
      <c r="AB227" s="121"/>
      <c r="AC227" s="121"/>
    </row>
    <row r="228" spans="1:29" ht="3.75" customHeight="1">
      <c r="G228" s="138"/>
    </row>
    <row r="229" spans="1:29" ht="15.6">
      <c r="A229" s="120" t="s">
        <v>417</v>
      </c>
      <c r="B229" s="45" t="s">
        <v>540</v>
      </c>
      <c r="C229" s="45"/>
      <c r="D229" s="45"/>
      <c r="E229" s="131">
        <f>E29</f>
        <v>2022</v>
      </c>
      <c r="F229" s="131">
        <f>F29</f>
        <v>2023</v>
      </c>
      <c r="G229" s="132">
        <f>G29</f>
        <v>2024</v>
      </c>
      <c r="H229" s="97">
        <f t="shared" ref="H229:Q229" si="109">1+G229</f>
        <v>2025</v>
      </c>
      <c r="I229" s="97">
        <f t="shared" si="109"/>
        <v>2026</v>
      </c>
      <c r="J229" s="97">
        <f t="shared" si="109"/>
        <v>2027</v>
      </c>
      <c r="K229" s="97">
        <f t="shared" si="109"/>
        <v>2028</v>
      </c>
      <c r="L229" s="97">
        <f t="shared" si="109"/>
        <v>2029</v>
      </c>
      <c r="M229" s="97">
        <f t="shared" si="109"/>
        <v>2030</v>
      </c>
      <c r="N229" s="97">
        <f t="shared" si="109"/>
        <v>2031</v>
      </c>
      <c r="O229" s="97">
        <f t="shared" si="109"/>
        <v>2032</v>
      </c>
      <c r="P229" s="97">
        <f t="shared" si="109"/>
        <v>2033</v>
      </c>
      <c r="Q229" s="97">
        <f t="shared" si="109"/>
        <v>2034</v>
      </c>
    </row>
    <row r="230" spans="1:29" ht="3.75" customHeight="1">
      <c r="B230" s="46"/>
      <c r="C230" s="46"/>
      <c r="D230" s="46"/>
      <c r="E230" s="46"/>
      <c r="F230" s="46"/>
      <c r="G230" s="196"/>
      <c r="H230" s="46"/>
      <c r="I230" s="46"/>
      <c r="J230" s="46"/>
      <c r="K230" s="46"/>
      <c r="L230" s="46"/>
      <c r="M230" s="46"/>
      <c r="N230" s="46"/>
      <c r="O230" s="46"/>
      <c r="P230" s="46"/>
      <c r="Q230" s="46"/>
    </row>
    <row r="231" spans="1:29" ht="15.6">
      <c r="B231" s="120" t="s">
        <v>438</v>
      </c>
      <c r="E231" s="142">
        <f>+E60</f>
        <v>8175</v>
      </c>
      <c r="F231" s="142">
        <f>+F60</f>
        <v>9382</v>
      </c>
      <c r="G231" s="173">
        <f>+G60</f>
        <v>9381</v>
      </c>
      <c r="H231" s="167">
        <f>+H60</f>
        <v>8803.5274003210507</v>
      </c>
      <c r="I231" s="167">
        <f t="shared" ref="I231:Q231" si="110">+I60</f>
        <v>9151.3494499755489</v>
      </c>
      <c r="J231" s="167">
        <f t="shared" si="110"/>
        <v>9626.658681266681</v>
      </c>
      <c r="K231" s="167">
        <f t="shared" si="110"/>
        <v>11036.892406837289</v>
      </c>
      <c r="L231" s="167">
        <f t="shared" si="110"/>
        <v>11519.993687664848</v>
      </c>
      <c r="M231" s="167">
        <f t="shared" si="110"/>
        <v>12229.819375483186</v>
      </c>
      <c r="N231" s="167">
        <f t="shared" si="110"/>
        <v>13323.657066426647</v>
      </c>
      <c r="O231" s="167">
        <f t="shared" si="110"/>
        <v>14374.504772883607</v>
      </c>
      <c r="P231" s="167">
        <f t="shared" si="110"/>
        <v>15411.980847928842</v>
      </c>
      <c r="Q231" s="167">
        <f t="shared" si="110"/>
        <v>16603.214033012675</v>
      </c>
    </row>
    <row r="232" spans="1:29" ht="3.75" customHeight="1">
      <c r="G232" s="138"/>
    </row>
    <row r="233" spans="1:29" ht="15" customHeight="1">
      <c r="B233" s="120" t="s">
        <v>272</v>
      </c>
      <c r="E233" s="159">
        <f>+E82</f>
        <v>1782</v>
      </c>
      <c r="F233" s="159">
        <f t="shared" ref="F233:Q233" si="111">+F82</f>
        <v>7513</v>
      </c>
      <c r="G233" s="197">
        <f t="shared" si="111"/>
        <v>6016</v>
      </c>
      <c r="H233" s="159">
        <f t="shared" si="111"/>
        <v>6788.5982426909886</v>
      </c>
      <c r="I233" s="159">
        <f t="shared" si="111"/>
        <v>8302.7566409192914</v>
      </c>
      <c r="J233" s="159">
        <f t="shared" si="111"/>
        <v>8077.8232906065186</v>
      </c>
      <c r="K233" s="159">
        <f t="shared" si="111"/>
        <v>9326.1658349648187</v>
      </c>
      <c r="L233" s="159">
        <f t="shared" si="111"/>
        <v>9984.2190399411229</v>
      </c>
      <c r="M233" s="159">
        <f t="shared" si="111"/>
        <v>10481.702700649228</v>
      </c>
      <c r="N233" s="159">
        <f t="shared" si="111"/>
        <v>11452.03933803469</v>
      </c>
      <c r="O233" s="159">
        <f t="shared" si="111"/>
        <v>12433.65985430585</v>
      </c>
      <c r="P233" s="159">
        <f t="shared" si="111"/>
        <v>13338.447488469488</v>
      </c>
      <c r="Q233" s="159">
        <f t="shared" si="111"/>
        <v>14387.377508975289</v>
      </c>
    </row>
    <row r="234" spans="1:29" ht="3.75" customHeight="1">
      <c r="G234" s="138"/>
    </row>
    <row r="235" spans="1:29" ht="15" customHeight="1">
      <c r="B235" s="120" t="s">
        <v>460</v>
      </c>
      <c r="E235" s="198">
        <f t="shared" ref="E235:Q235" si="112">+E124</f>
        <v>4802</v>
      </c>
      <c r="F235" s="198">
        <f t="shared" si="112"/>
        <v>4396</v>
      </c>
      <c r="G235" s="199">
        <f t="shared" si="112"/>
        <v>4667</v>
      </c>
      <c r="H235" s="198">
        <f t="shared" si="112"/>
        <v>4724.9082173295192</v>
      </c>
      <c r="I235" s="198">
        <f t="shared" si="112"/>
        <v>4951.4633538111557</v>
      </c>
      <c r="J235" s="198">
        <f t="shared" si="112"/>
        <v>5243.3934394936596</v>
      </c>
      <c r="K235" s="198">
        <f t="shared" si="112"/>
        <v>5527.7423894380627</v>
      </c>
      <c r="L235" s="198">
        <f t="shared" si="112"/>
        <v>5841.6913654829295</v>
      </c>
      <c r="M235" s="198">
        <f t="shared" si="112"/>
        <v>6170.046906237555</v>
      </c>
      <c r="N235" s="198">
        <f t="shared" si="112"/>
        <v>6493.0385241379518</v>
      </c>
      <c r="O235" s="198">
        <f t="shared" si="112"/>
        <v>6627.9763973500858</v>
      </c>
      <c r="P235" s="198">
        <f t="shared" si="112"/>
        <v>6839.688194334929</v>
      </c>
      <c r="Q235" s="198">
        <f t="shared" si="112"/>
        <v>7045.6911467317341</v>
      </c>
    </row>
    <row r="236" spans="1:29" ht="3.95" customHeight="1">
      <c r="B236" s="143"/>
      <c r="E236" s="200"/>
      <c r="F236" s="200"/>
      <c r="G236" s="201"/>
      <c r="H236" s="202"/>
      <c r="I236" s="202"/>
      <c r="J236" s="202"/>
      <c r="K236" s="202"/>
      <c r="L236" s="202"/>
      <c r="M236" s="202"/>
      <c r="N236" s="202"/>
      <c r="O236" s="202"/>
      <c r="P236" s="202"/>
      <c r="Q236" s="202"/>
    </row>
    <row r="237" spans="1:29" ht="13.5" customHeight="1">
      <c r="B237" s="120" t="s">
        <v>495</v>
      </c>
      <c r="E237" s="159">
        <f>+E126</f>
        <v>987</v>
      </c>
      <c r="F237" s="159">
        <f t="shared" ref="F237:Q237" si="113">+F126</f>
        <v>1133</v>
      </c>
      <c r="G237" s="197">
        <f t="shared" si="113"/>
        <v>1311</v>
      </c>
      <c r="H237" s="159">
        <f t="shared" si="113"/>
        <v>1235.9574518224165</v>
      </c>
      <c r="I237" s="159">
        <f t="shared" si="113"/>
        <v>1339.241272289886</v>
      </c>
      <c r="J237" s="159">
        <f t="shared" si="113"/>
        <v>1420.0904610550497</v>
      </c>
      <c r="K237" s="159">
        <f t="shared" si="113"/>
        <v>1488.6611683561491</v>
      </c>
      <c r="L237" s="159">
        <f t="shared" si="113"/>
        <v>1596.0431310710135</v>
      </c>
      <c r="M237" s="159">
        <f t="shared" si="113"/>
        <v>1693.6723062928506</v>
      </c>
      <c r="N237" s="159">
        <f t="shared" si="113"/>
        <v>1809.5056258382363</v>
      </c>
      <c r="O237" s="159">
        <f t="shared" si="113"/>
        <v>1923.0814753344152</v>
      </c>
      <c r="P237" s="159">
        <f t="shared" si="113"/>
        <v>2026.5293259197381</v>
      </c>
      <c r="Q237" s="159">
        <f t="shared" si="113"/>
        <v>2151.7461192778569</v>
      </c>
    </row>
    <row r="238" spans="1:29" ht="3.95" customHeight="1">
      <c r="B238" s="143"/>
      <c r="E238" s="200"/>
      <c r="F238" s="200"/>
      <c r="G238" s="201"/>
      <c r="H238" s="202"/>
      <c r="I238" s="202"/>
      <c r="J238" s="202"/>
      <c r="K238" s="202"/>
      <c r="L238" s="202"/>
      <c r="M238" s="202"/>
      <c r="N238" s="202"/>
      <c r="O238" s="202"/>
      <c r="P238" s="202"/>
      <c r="Q238" s="202"/>
    </row>
    <row r="239" spans="1:29" ht="15" customHeight="1">
      <c r="B239" s="120" t="s">
        <v>515</v>
      </c>
      <c r="E239" s="159">
        <f t="shared" ref="E239:Q239" si="114">E189</f>
        <v>202</v>
      </c>
      <c r="F239" s="159">
        <f t="shared" si="114"/>
        <v>2184</v>
      </c>
      <c r="G239" s="197">
        <f t="shared" si="114"/>
        <v>1313</v>
      </c>
      <c r="H239" s="159">
        <f t="shared" si="114"/>
        <v>-637.41026737289576</v>
      </c>
      <c r="I239" s="159">
        <f t="shared" si="114"/>
        <v>584.14038181591241</v>
      </c>
      <c r="J239" s="159">
        <f t="shared" si="114"/>
        <v>-64.952016686111165</v>
      </c>
      <c r="K239" s="159">
        <f t="shared" si="114"/>
        <v>58.029803600849846</v>
      </c>
      <c r="L239" s="159">
        <f t="shared" si="114"/>
        <v>43.857881893523881</v>
      </c>
      <c r="M239" s="159">
        <f t="shared" si="114"/>
        <v>-6.5378623557735409</v>
      </c>
      <c r="N239" s="159">
        <f t="shared" si="114"/>
        <v>112.66919677475744</v>
      </c>
      <c r="O239" s="159">
        <f t="shared" si="114"/>
        <v>-114.27506459326105</v>
      </c>
      <c r="P239" s="159">
        <f t="shared" si="114"/>
        <v>-56.12865565386528</v>
      </c>
      <c r="Q239" s="159">
        <f t="shared" si="114"/>
        <v>75.689558179576125</v>
      </c>
    </row>
    <row r="240" spans="1:29" ht="3.75" customHeight="1">
      <c r="E240" s="159"/>
      <c r="F240" s="159"/>
      <c r="G240" s="197"/>
      <c r="H240" s="159"/>
      <c r="I240" s="159"/>
      <c r="J240" s="159"/>
      <c r="K240" s="159"/>
      <c r="L240" s="159"/>
      <c r="M240" s="159"/>
      <c r="N240" s="159"/>
      <c r="O240" s="159"/>
      <c r="P240" s="159"/>
      <c r="Q240" s="159"/>
    </row>
    <row r="241" spans="1:17" ht="15" customHeight="1">
      <c r="B241" s="120" t="s">
        <v>32</v>
      </c>
      <c r="E241" s="142">
        <f>E135</f>
        <v>-1235</v>
      </c>
      <c r="F241" s="142">
        <f t="shared" ref="F241:G241" si="115">F135</f>
        <v>-924</v>
      </c>
      <c r="G241" s="173">
        <f t="shared" si="115"/>
        <v>-491</v>
      </c>
      <c r="H241" s="142">
        <f t="shared" ref="H241:Q241" si="116">H191</f>
        <v>-938.72156737252351</v>
      </c>
      <c r="I241" s="142">
        <f t="shared" si="116"/>
        <v>-770.11746913747834</v>
      </c>
      <c r="J241" s="142">
        <f t="shared" si="116"/>
        <v>-683.21191991013461</v>
      </c>
      <c r="K241" s="142">
        <f t="shared" si="116"/>
        <v>-729.75803891963051</v>
      </c>
      <c r="L241" s="142">
        <f t="shared" si="116"/>
        <v>-665.93999630489611</v>
      </c>
      <c r="M241" s="142">
        <f t="shared" si="116"/>
        <v>-650.44520363164111</v>
      </c>
      <c r="N241" s="142">
        <f t="shared" si="116"/>
        <v>-624.32854357883718</v>
      </c>
      <c r="O241" s="142">
        <f t="shared" si="116"/>
        <v>-603.68566947922352</v>
      </c>
      <c r="P241" s="142">
        <f t="shared" si="116"/>
        <v>-606.82238678273222</v>
      </c>
      <c r="Q241" s="142">
        <f t="shared" si="116"/>
        <v>-624.95578512006011</v>
      </c>
    </row>
    <row r="242" spans="1:17" ht="3.75" customHeight="1">
      <c r="G242" s="138"/>
    </row>
    <row r="243" spans="1:17" ht="15" customHeight="1">
      <c r="B243" s="120" t="s">
        <v>541</v>
      </c>
      <c r="E243" s="198">
        <f>+E157-E159</f>
        <v>14821</v>
      </c>
      <c r="F243" s="198">
        <f t="shared" ref="F243:G243" si="117">+F157-F159</f>
        <v>14675</v>
      </c>
      <c r="G243" s="199">
        <f t="shared" si="117"/>
        <v>12350</v>
      </c>
      <c r="H243" s="198">
        <f>IFERROR(H157-H159,"")</f>
        <v>13406.618690738107</v>
      </c>
      <c r="I243" s="198">
        <f t="shared" ref="I243:Q243" si="118">IFERROR(I157-I159,"")</f>
        <v>14912.612245864433</v>
      </c>
      <c r="J243" s="198">
        <f t="shared" si="118"/>
        <v>14458.719888284173</v>
      </c>
      <c r="K243" s="198">
        <f t="shared" si="118"/>
        <v>10716.379713207698</v>
      </c>
      <c r="L243" s="198">
        <f t="shared" si="118"/>
        <v>12636.161696105846</v>
      </c>
      <c r="M243" s="198">
        <f t="shared" si="118"/>
        <v>14338.606187315723</v>
      </c>
      <c r="N243" s="198">
        <f t="shared" si="118"/>
        <v>14463.439184694296</v>
      </c>
      <c r="O243" s="198">
        <f t="shared" si="118"/>
        <v>14732.252494579694</v>
      </c>
      <c r="P243" s="198">
        <f t="shared" si="118"/>
        <v>14774.998223813749</v>
      </c>
      <c r="Q243" s="198">
        <f t="shared" si="118"/>
        <v>14812.238006974068</v>
      </c>
    </row>
    <row r="244" spans="1:17" ht="3.95" customHeight="1">
      <c r="G244" s="138"/>
    </row>
    <row r="245" spans="1:17" ht="15" customHeight="1">
      <c r="B245" s="174" t="s">
        <v>431</v>
      </c>
      <c r="C245" s="175"/>
      <c r="D245" s="175"/>
      <c r="E245" s="176">
        <f t="shared" ref="E245:F245" si="119">+E233+E235+E237+E239+E241+E243</f>
        <v>21359</v>
      </c>
      <c r="F245" s="176">
        <f t="shared" si="119"/>
        <v>28977</v>
      </c>
      <c r="G245" s="177">
        <f>+G233+G235+G237+G239+G241+G243</f>
        <v>25166</v>
      </c>
      <c r="H245" s="176">
        <f>IFERROR(+H233+H235+H237+H239+H241+H243,"")</f>
        <v>24579.950767835609</v>
      </c>
      <c r="I245" s="176">
        <f t="shared" ref="I245:Q245" si="120">IFERROR(+I233+I235+I237+I239+I241+I243,"")</f>
        <v>29320.096425563199</v>
      </c>
      <c r="J245" s="176">
        <f t="shared" si="120"/>
        <v>28451.863142843154</v>
      </c>
      <c r="K245" s="176">
        <f t="shared" si="120"/>
        <v>26387.220870647947</v>
      </c>
      <c r="L245" s="176">
        <f t="shared" si="120"/>
        <v>29436.033118189538</v>
      </c>
      <c r="M245" s="176">
        <f t="shared" si="120"/>
        <v>32027.045034507944</v>
      </c>
      <c r="N245" s="176">
        <f t="shared" si="120"/>
        <v>33706.363325901097</v>
      </c>
      <c r="O245" s="176">
        <f t="shared" si="120"/>
        <v>34999.009487497562</v>
      </c>
      <c r="P245" s="176">
        <f t="shared" si="120"/>
        <v>36316.712190101302</v>
      </c>
      <c r="Q245" s="322">
        <f t="shared" si="120"/>
        <v>37847.786555018465</v>
      </c>
    </row>
    <row r="246" spans="1:17" ht="15" customHeight="1">
      <c r="B246" s="178" t="s">
        <v>542</v>
      </c>
      <c r="C246" s="179"/>
      <c r="D246" s="179"/>
      <c r="E246" s="179"/>
      <c r="F246" s="179"/>
      <c r="G246" s="180"/>
      <c r="H246" s="181">
        <f t="shared" ref="H246:Q246" ca="1" si="121">IFERROR(H245/(1+$C$12)^H$196,"")</f>
        <v>24336.104749003774</v>
      </c>
      <c r="I246" s="181">
        <f t="shared" ca="1" si="121"/>
        <v>26730.152926239956</v>
      </c>
      <c r="J246" s="181">
        <f t="shared" ca="1" si="121"/>
        <v>23884.312895682928</v>
      </c>
      <c r="K246" s="181">
        <f t="shared" ca="1" si="121"/>
        <v>20396.783451299114</v>
      </c>
      <c r="L246" s="181">
        <f t="shared" ca="1" si="121"/>
        <v>20951.412500157094</v>
      </c>
      <c r="M246" s="181">
        <f t="shared" ca="1" si="121"/>
        <v>20990.21499498533</v>
      </c>
      <c r="N246" s="181">
        <f t="shared" ca="1" si="121"/>
        <v>20341.262582009098</v>
      </c>
      <c r="O246" s="181">
        <f t="shared" ca="1" si="121"/>
        <v>19448.573548345339</v>
      </c>
      <c r="P246" s="181">
        <f t="shared" ca="1" si="121"/>
        <v>18582.516032852189</v>
      </c>
      <c r="Q246" s="182">
        <f t="shared" ca="1" si="121"/>
        <v>17832.181242175251</v>
      </c>
    </row>
    <row r="247" spans="1:17" ht="3.75" customHeight="1">
      <c r="G247" s="138"/>
    </row>
    <row r="248" spans="1:17" ht="15" customHeight="1">
      <c r="B248" s="120" t="s">
        <v>521</v>
      </c>
      <c r="G248" s="138"/>
      <c r="Q248" s="159">
        <f ca="1">IFERROR((Q245*(1+$C$13))/(WACC!$G$11-$C$13),"")</f>
        <v>487160.92047079752</v>
      </c>
    </row>
    <row r="249" spans="1:17" ht="15" customHeight="1">
      <c r="B249" s="120" t="s">
        <v>522</v>
      </c>
      <c r="G249" s="138"/>
      <c r="Q249" s="203">
        <f ca="1">IFERROR(Q248/(1+WACC!$G$11)^$Q$196,"")</f>
        <v>205522.21420291698</v>
      </c>
    </row>
    <row r="250" spans="1:17" ht="15" customHeight="1">
      <c r="B250" s="120" t="s">
        <v>207</v>
      </c>
      <c r="G250" s="138"/>
      <c r="Q250" s="159">
        <f ca="1">+SUM(Q249,H246:Q246)</f>
        <v>419015.72912566701</v>
      </c>
    </row>
    <row r="251" spans="1:17" ht="3.75" customHeight="1">
      <c r="G251" s="138"/>
    </row>
    <row r="252" spans="1:17" ht="15" customHeight="1">
      <c r="B252" s="140" t="s">
        <v>529</v>
      </c>
      <c r="G252" s="138"/>
      <c r="N252" s="192"/>
      <c r="Q252" s="193">
        <f ca="1">IFERROR(Q250/Q208,"")</f>
        <v>449.81974512781596</v>
      </c>
    </row>
    <row r="253" spans="1:17" ht="3.75" customHeight="1">
      <c r="G253" s="138"/>
    </row>
    <row r="254" spans="1:17" ht="15" customHeight="1">
      <c r="B254" s="140" t="s">
        <v>531</v>
      </c>
      <c r="C254" s="140"/>
      <c r="D254" s="140"/>
      <c r="E254" s="140"/>
      <c r="F254" s="140"/>
      <c r="G254" s="194"/>
      <c r="H254" s="140"/>
      <c r="I254" s="140"/>
      <c r="J254" s="140"/>
      <c r="K254" s="140"/>
      <c r="L254" s="140"/>
      <c r="M254" s="140"/>
      <c r="N254" s="140"/>
      <c r="O254" s="140"/>
      <c r="P254" s="140"/>
      <c r="Q254" s="195">
        <f ca="1">IFERROR(Q252/Q211-1,"")</f>
        <v>0.55987011522632724</v>
      </c>
    </row>
    <row r="255" spans="1:17" s="200" customFormat="1" ht="3.75" customHeight="1">
      <c r="G255" s="201"/>
    </row>
    <row r="256" spans="1:17" ht="15" customHeight="1">
      <c r="A256" s="120" t="s">
        <v>417</v>
      </c>
      <c r="B256" s="45" t="s">
        <v>543</v>
      </c>
      <c r="C256" s="45"/>
      <c r="D256" s="45"/>
      <c r="E256" s="131">
        <f>+E229</f>
        <v>2022</v>
      </c>
      <c r="F256" s="131">
        <f>+F229</f>
        <v>2023</v>
      </c>
      <c r="G256" s="132">
        <f>+G229</f>
        <v>2024</v>
      </c>
      <c r="H256" s="97">
        <f t="shared" ref="H256:Q256" si="122">1+G256</f>
        <v>2025</v>
      </c>
      <c r="I256" s="97">
        <f t="shared" si="122"/>
        <v>2026</v>
      </c>
      <c r="J256" s="97">
        <f t="shared" si="122"/>
        <v>2027</v>
      </c>
      <c r="K256" s="97">
        <f t="shared" si="122"/>
        <v>2028</v>
      </c>
      <c r="L256" s="97">
        <f t="shared" si="122"/>
        <v>2029</v>
      </c>
      <c r="M256" s="97">
        <f t="shared" si="122"/>
        <v>2030</v>
      </c>
      <c r="N256" s="97">
        <f t="shared" si="122"/>
        <v>2031</v>
      </c>
      <c r="O256" s="97">
        <f t="shared" si="122"/>
        <v>2032</v>
      </c>
      <c r="P256" s="97">
        <f t="shared" si="122"/>
        <v>2033</v>
      </c>
      <c r="Q256" s="97">
        <f t="shared" si="122"/>
        <v>2034</v>
      </c>
    </row>
    <row r="257" spans="2:17" ht="3.75" customHeight="1">
      <c r="B257" s="46"/>
      <c r="C257" s="46"/>
      <c r="D257" s="46"/>
      <c r="E257" s="46"/>
      <c r="F257" s="46"/>
      <c r="G257" s="196"/>
      <c r="H257" s="46"/>
      <c r="I257" s="46"/>
      <c r="J257" s="46"/>
      <c r="K257" s="46"/>
      <c r="L257" s="46"/>
      <c r="M257" s="46"/>
      <c r="N257" s="46"/>
      <c r="O257" s="46"/>
      <c r="P257" s="46"/>
      <c r="Q257" s="46"/>
    </row>
    <row r="258" spans="2:17" ht="15" customHeight="1">
      <c r="B258" s="120" t="s">
        <v>433</v>
      </c>
      <c r="E258" s="159">
        <f t="shared" ref="E258:G258" si="123">+E151+E148</f>
        <v>-6355</v>
      </c>
      <c r="F258" s="159">
        <f t="shared" si="123"/>
        <v>-6442</v>
      </c>
      <c r="G258" s="197">
        <f t="shared" si="123"/>
        <v>-6798</v>
      </c>
      <c r="H258" s="159">
        <f>IFERROR(H151+H148,"")</f>
        <v>-7045.8327926291504</v>
      </c>
      <c r="I258" s="159">
        <f t="shared" ref="I258:Q258" si="124">IFERROR(I151+I148,"")</f>
        <v>-7442.4420582212297</v>
      </c>
      <c r="J258" s="159">
        <f t="shared" si="124"/>
        <v>-7644.8139892824511</v>
      </c>
      <c r="K258" s="159">
        <f t="shared" si="124"/>
        <v>-6212.7101333240162</v>
      </c>
      <c r="L258" s="159">
        <f t="shared" si="124"/>
        <v>-7052.3572956243779</v>
      </c>
      <c r="M258" s="159">
        <f t="shared" si="124"/>
        <v>-7757.2764902293211</v>
      </c>
      <c r="N258" s="159">
        <f t="shared" si="124"/>
        <v>-7820.4297148338965</v>
      </c>
      <c r="O258" s="159">
        <f t="shared" si="124"/>
        <v>-8125.7659345089369</v>
      </c>
      <c r="P258" s="159">
        <f t="shared" si="124"/>
        <v>-8214.5726126044356</v>
      </c>
      <c r="Q258" s="159">
        <f t="shared" si="124"/>
        <v>-8282.5481455524769</v>
      </c>
    </row>
    <row r="259" spans="2:17" ht="15" customHeight="1">
      <c r="B259" s="143" t="s">
        <v>544</v>
      </c>
      <c r="E259" s="200">
        <f>E272+E273</f>
        <v>3.5662177328843998</v>
      </c>
      <c r="F259" s="200">
        <f>F272+F273</f>
        <v>0.85744709170770661</v>
      </c>
      <c r="G259" s="200">
        <f>G272+G273</f>
        <v>1.1299867021276595</v>
      </c>
      <c r="H259" s="200">
        <v>1</v>
      </c>
      <c r="I259" s="200">
        <v>1</v>
      </c>
      <c r="J259" s="200">
        <v>1</v>
      </c>
      <c r="K259" s="200">
        <v>1</v>
      </c>
      <c r="L259" s="200">
        <v>1</v>
      </c>
      <c r="M259" s="200">
        <v>1</v>
      </c>
      <c r="N259" s="200">
        <v>1</v>
      </c>
      <c r="O259" s="200">
        <v>1</v>
      </c>
      <c r="P259" s="200">
        <v>1</v>
      </c>
      <c r="Q259" s="200">
        <v>1</v>
      </c>
    </row>
    <row r="260" spans="2:17" ht="15" customHeight="1">
      <c r="B260" s="120" t="s">
        <v>545</v>
      </c>
      <c r="E260" s="200">
        <f>IFERROR(1-E259,"")</f>
        <v>-2.5662177328843998</v>
      </c>
      <c r="F260" s="200">
        <f t="shared" ref="F260:Q260" si="125">IFERROR(1-F259,"")</f>
        <v>0.14255290829229339</v>
      </c>
      <c r="G260" s="201">
        <f t="shared" si="125"/>
        <v>-0.1299867021276595</v>
      </c>
      <c r="H260" s="200">
        <f t="shared" si="125"/>
        <v>0</v>
      </c>
      <c r="I260" s="200">
        <f t="shared" si="125"/>
        <v>0</v>
      </c>
      <c r="J260" s="200">
        <f t="shared" si="125"/>
        <v>0</v>
      </c>
      <c r="K260" s="200">
        <f t="shared" si="125"/>
        <v>0</v>
      </c>
      <c r="L260" s="200">
        <f t="shared" si="125"/>
        <v>0</v>
      </c>
      <c r="M260" s="200">
        <f t="shared" si="125"/>
        <v>0</v>
      </c>
      <c r="N260" s="200">
        <f t="shared" si="125"/>
        <v>0</v>
      </c>
      <c r="O260" s="200">
        <f t="shared" si="125"/>
        <v>0</v>
      </c>
      <c r="P260" s="200">
        <f t="shared" si="125"/>
        <v>0</v>
      </c>
      <c r="Q260" s="200">
        <f t="shared" si="125"/>
        <v>0</v>
      </c>
    </row>
    <row r="261" spans="2:17" ht="3.75" customHeight="1">
      <c r="G261" s="138"/>
    </row>
    <row r="262" spans="2:17" ht="15" customHeight="1">
      <c r="B262" s="204" t="s">
        <v>546</v>
      </c>
      <c r="C262" s="205"/>
      <c r="D262" s="205"/>
      <c r="E262" s="205"/>
      <c r="F262" s="205"/>
      <c r="G262" s="206"/>
      <c r="H262" s="207">
        <f ca="1">IFERROR(-H258/(1+WACC!$G$11)^H$196,"")</f>
        <v>6965.7322845432491</v>
      </c>
      <c r="I262" s="207">
        <f ca="1">IFERROR(-I258/(1+WACC!$G$11)^I$196,"")</f>
        <v>6693.5370764098388</v>
      </c>
      <c r="J262" s="207">
        <f ca="1">IFERROR(-J258/(1+WACC!$G$11)^J$196,"")</f>
        <v>6254.7923814221867</v>
      </c>
      <c r="K262" s="207">
        <f ca="1">IFERROR(-K258/(1+WACC!$G$11)^K$196,"")</f>
        <v>4624.159774771073</v>
      </c>
      <c r="L262" s="207">
        <f ca="1">IFERROR(-L258/(1+WACC!$G$11)^L$196,"")</f>
        <v>4775.20270452163</v>
      </c>
      <c r="M262" s="207">
        <f ca="1">IFERROR(-M258/(1+WACC!$G$11)^M$196,"")</f>
        <v>4778.2904022092653</v>
      </c>
      <c r="N262" s="207">
        <f ca="1">IFERROR(-N258/(1+WACC!$G$11)^N$196,"")</f>
        <v>4382.2752420152274</v>
      </c>
      <c r="O262" s="207">
        <f ca="1">IFERROR(-O258/(1+WACC!$G$11)^O$196,"")</f>
        <v>4142.2767078874294</v>
      </c>
      <c r="P262" s="207">
        <f ca="1">IFERROR(-P258/(1+WACC!$G$11)^P$196,"")</f>
        <v>3809.4785813948374</v>
      </c>
      <c r="Q262" s="487">
        <f ca="1">IFERROR(-Q258/(1+WACC!$G$11)^Q$196,"")</f>
        <v>3494.2204158558916</v>
      </c>
    </row>
    <row r="263" spans="2:17" ht="3.75" customHeight="1">
      <c r="G263" s="138"/>
    </row>
    <row r="264" spans="2:17" ht="13.5" customHeight="1">
      <c r="B264" s="120" t="s">
        <v>521</v>
      </c>
      <c r="G264" s="138"/>
      <c r="Q264" s="159">
        <f ca="1">IFERROR(+(Q262*(1+$C$13))/(WACC!$G$11-$C$13),"")</f>
        <v>44976.147591661422</v>
      </c>
    </row>
    <row r="265" spans="2:17" ht="15" customHeight="1">
      <c r="B265" s="120" t="s">
        <v>522</v>
      </c>
      <c r="G265" s="138"/>
      <c r="Q265" s="203">
        <f ca="1">IFERROR(Q264/(1+$C$12)^$Q$196,"")</f>
        <v>21190.745574075994</v>
      </c>
    </row>
    <row r="266" spans="2:17" ht="15" customHeight="1">
      <c r="B266" s="120" t="s">
        <v>207</v>
      </c>
      <c r="G266" s="138"/>
      <c r="Q266" s="159">
        <f ca="1">+SUM(Q265,H262:Q262)</f>
        <v>71110.711145106616</v>
      </c>
    </row>
    <row r="267" spans="2:17" ht="3.75" customHeight="1">
      <c r="G267" s="138"/>
      <c r="N267" s="192"/>
    </row>
    <row r="268" spans="2:17" ht="15" customHeight="1">
      <c r="B268" s="140" t="s">
        <v>529</v>
      </c>
      <c r="G268" s="138"/>
      <c r="Q268" s="193">
        <f ca="1">IFERROR(Q265/Q$208,"")</f>
        <v>22.748587011492621</v>
      </c>
    </row>
    <row r="269" spans="2:17" ht="3.75" customHeight="1">
      <c r="B269" s="140"/>
      <c r="G269" s="138"/>
    </row>
    <row r="270" spans="2:17" ht="15" customHeight="1">
      <c r="B270" s="140" t="s">
        <v>531</v>
      </c>
      <c r="C270" s="140"/>
      <c r="D270" s="140"/>
      <c r="E270" s="140"/>
      <c r="F270" s="140"/>
      <c r="G270" s="194"/>
      <c r="H270" s="140"/>
      <c r="I270" s="140"/>
      <c r="J270" s="140"/>
      <c r="K270" s="140"/>
      <c r="L270" s="140"/>
      <c r="M270" s="140"/>
      <c r="N270" s="140"/>
      <c r="O270" s="140"/>
      <c r="P270" s="140"/>
      <c r="Q270" s="208">
        <f ca="1">IFERROR(Q268/Q211-1,"")</f>
        <v>-0.92111319828174698</v>
      </c>
    </row>
    <row r="271" spans="2:17" ht="15" customHeight="1">
      <c r="B271" s="140"/>
      <c r="C271" s="140"/>
      <c r="D271" s="140"/>
      <c r="E271" s="140"/>
      <c r="F271" s="140"/>
      <c r="G271" s="140"/>
      <c r="H271" s="140"/>
      <c r="I271" s="140"/>
      <c r="J271" s="140"/>
      <c r="K271" s="140"/>
      <c r="L271" s="140"/>
      <c r="M271" s="140"/>
      <c r="N271" s="140"/>
      <c r="O271" s="140"/>
      <c r="P271" s="140"/>
      <c r="Q271" s="208"/>
    </row>
    <row r="272" spans="2:17" ht="15" customHeight="1">
      <c r="B272" s="120" t="s">
        <v>547</v>
      </c>
      <c r="E272" s="127">
        <f>-E151/E82</f>
        <v>0.22839506172839505</v>
      </c>
      <c r="F272" s="127">
        <f>-F151/F82</f>
        <v>5.3507254092905632E-2</v>
      </c>
      <c r="G272" s="127">
        <f>-G151/G82</f>
        <v>0.10821143617021277</v>
      </c>
      <c r="H272" s="140"/>
      <c r="I272" s="140"/>
      <c r="J272" s="140"/>
      <c r="K272" s="140"/>
      <c r="L272" s="140"/>
      <c r="M272" s="140"/>
      <c r="N272" s="140"/>
      <c r="O272" s="140"/>
      <c r="P272" s="140"/>
      <c r="Q272" s="208"/>
    </row>
    <row r="273" spans="1:49" ht="15" customHeight="1">
      <c r="B273" s="120" t="s">
        <v>548</v>
      </c>
      <c r="E273" s="127">
        <f>-E148/E82</f>
        <v>3.3378226711560046</v>
      </c>
      <c r="F273" s="127">
        <f>-F148/F82</f>
        <v>0.80393983761480103</v>
      </c>
      <c r="G273" s="127">
        <f>-G148/G82</f>
        <v>1.0217752659574468</v>
      </c>
    </row>
    <row r="274" spans="1:49" ht="15" customHeight="1">
      <c r="A274" s="120" t="s">
        <v>417</v>
      </c>
      <c r="B274" s="61" t="s">
        <v>130</v>
      </c>
      <c r="C274" s="62"/>
      <c r="D274" s="61"/>
      <c r="E274" s="62"/>
      <c r="F274" s="62"/>
      <c r="G274" s="62"/>
      <c r="H274" s="62"/>
      <c r="I274" s="62"/>
      <c r="J274" s="92"/>
      <c r="K274" s="93"/>
      <c r="L274" s="93"/>
      <c r="M274" s="93"/>
      <c r="N274" s="93"/>
      <c r="O274" s="93"/>
    </row>
    <row r="275" spans="1:49" ht="3.75" customHeight="1">
      <c r="B275" s="63"/>
      <c r="C275" s="63"/>
      <c r="D275" s="63"/>
      <c r="E275" s="63"/>
      <c r="F275" s="63"/>
      <c r="G275" s="63"/>
      <c r="H275" s="63"/>
      <c r="I275" s="63"/>
      <c r="J275" s="94"/>
      <c r="K275" s="94"/>
      <c r="L275" s="94"/>
      <c r="M275" s="94"/>
      <c r="N275" s="94"/>
      <c r="O275" s="94"/>
    </row>
    <row r="276" spans="1:49" ht="39.75" customHeight="1">
      <c r="B276" s="970"/>
      <c r="C276" s="970"/>
      <c r="D276" s="950"/>
      <c r="E276" s="950"/>
      <c r="F276" s="950"/>
      <c r="G276" s="950"/>
      <c r="H276" s="950"/>
      <c r="I276" s="950"/>
      <c r="J276" s="950"/>
      <c r="K276" s="950"/>
      <c r="L276" s="950"/>
      <c r="M276" s="950"/>
      <c r="N276" s="950"/>
      <c r="O276" s="950"/>
    </row>
    <row r="277" spans="1:49" ht="39.75" customHeight="1">
      <c r="B277" s="970"/>
      <c r="C277" s="970"/>
      <c r="D277" s="947"/>
      <c r="E277" s="947"/>
      <c r="F277" s="947"/>
      <c r="G277" s="947"/>
      <c r="H277" s="947"/>
      <c r="I277" s="947"/>
      <c r="J277" s="947"/>
      <c r="K277" s="947"/>
      <c r="L277" s="947"/>
      <c r="M277" s="947"/>
      <c r="N277" s="947"/>
      <c r="O277"/>
    </row>
    <row r="278" spans="1:49" ht="39.75" customHeight="1">
      <c r="B278" s="970"/>
      <c r="C278" s="970"/>
      <c r="D278" s="947"/>
      <c r="E278" s="947"/>
      <c r="F278" s="947"/>
      <c r="G278" s="947"/>
      <c r="H278" s="947"/>
      <c r="I278" s="947"/>
      <c r="J278" s="947"/>
      <c r="K278" s="947"/>
      <c r="L278" s="947"/>
      <c r="M278" s="947"/>
      <c r="N278" s="947"/>
      <c r="O278"/>
    </row>
    <row r="279" spans="1:49" ht="39.75" customHeight="1">
      <c r="B279" s="970"/>
      <c r="C279" s="970"/>
      <c r="D279" s="947"/>
      <c r="E279" s="947"/>
      <c r="F279" s="947"/>
      <c r="G279" s="947"/>
      <c r="H279" s="947"/>
      <c r="I279" s="947"/>
      <c r="J279" s="947"/>
      <c r="K279" s="947"/>
      <c r="L279" s="947"/>
      <c r="M279" s="947"/>
      <c r="N279" s="947"/>
      <c r="O279"/>
    </row>
    <row r="280" spans="1:49" ht="39.75" customHeight="1">
      <c r="B280" s="970"/>
      <c r="C280" s="970"/>
      <c r="D280" s="950"/>
      <c r="E280" s="950"/>
      <c r="F280" s="950"/>
      <c r="G280" s="950"/>
      <c r="H280" s="950"/>
      <c r="I280" s="950"/>
      <c r="J280" s="950"/>
      <c r="K280" s="950"/>
      <c r="L280" s="950"/>
      <c r="M280" s="950"/>
      <c r="N280" s="950"/>
      <c r="O280" s="950"/>
    </row>
    <row r="281" spans="1:49" ht="39.75" customHeight="1">
      <c r="B281" s="970"/>
      <c r="C281" s="970"/>
      <c r="D281" s="950"/>
      <c r="E281" s="950"/>
      <c r="F281" s="950"/>
      <c r="G281" s="950"/>
      <c r="H281" s="950"/>
      <c r="I281" s="950"/>
      <c r="J281" s="950"/>
      <c r="K281" s="950"/>
      <c r="L281" s="950"/>
      <c r="M281" s="950"/>
      <c r="N281" s="950"/>
      <c r="O281" s="950"/>
    </row>
    <row r="282" spans="1:49" ht="15" customHeight="1">
      <c r="D282" s="947"/>
      <c r="E282" s="947"/>
      <c r="F282" s="947"/>
      <c r="G282" s="947"/>
      <c r="H282" s="947"/>
      <c r="I282" s="947"/>
      <c r="J282" s="947"/>
      <c r="K282" s="947"/>
      <c r="L282" s="947"/>
      <c r="M282" s="947"/>
      <c r="N282" s="947"/>
      <c r="O282"/>
    </row>
    <row r="283" spans="1:49" s="37" customFormat="1" ht="20.100000000000001" customHeight="1">
      <c r="A283" s="120"/>
      <c r="B283" s="946"/>
      <c r="C283" s="946"/>
      <c r="D283" s="947"/>
      <c r="E283" s="947"/>
      <c r="F283" s="947"/>
      <c r="G283" s="947"/>
      <c r="H283" s="947"/>
      <c r="I283" s="947"/>
      <c r="J283" s="947"/>
      <c r="K283" s="947"/>
      <c r="L283" s="947"/>
      <c r="M283" s="947"/>
      <c r="N283" s="947"/>
      <c r="O283"/>
      <c r="P283" s="120"/>
      <c r="Q283" s="120"/>
      <c r="R283" s="120"/>
      <c r="S283" s="120"/>
      <c r="T283" s="120"/>
      <c r="U283" s="120"/>
      <c r="V283" s="120"/>
      <c r="W283" s="120"/>
      <c r="X283" s="120"/>
      <c r="Y283" s="120"/>
      <c r="Z283" s="120"/>
      <c r="AA283" s="120"/>
      <c r="AB283" s="120"/>
      <c r="AC283" s="120"/>
      <c r="AD283" s="120"/>
      <c r="AE283" s="120"/>
      <c r="AF283" s="120"/>
      <c r="AG283" s="120"/>
      <c r="AH283" s="120"/>
      <c r="AI283" s="120"/>
      <c r="AJ283" s="120"/>
      <c r="AK283" s="120"/>
      <c r="AN283" s="715" t="s">
        <v>549</v>
      </c>
    </row>
    <row r="285" spans="1:49" ht="15" customHeight="1">
      <c r="AN285" s="631" t="str">
        <f>Peers!AM286&amp;" Stock Price - Blended Discount Rate and Terminal Growth Rate"</f>
        <v xml:space="preserve"> Stock Price - Blended Discount Rate and Terminal Growth Rate</v>
      </c>
      <c r="AO285"/>
      <c r="AP285"/>
      <c r="AQ285"/>
      <c r="AR285"/>
      <c r="AS285"/>
      <c r="AT285"/>
      <c r="AW285" s="120">
        <v>1</v>
      </c>
    </row>
    <row r="286" spans="1:49" ht="15" customHeight="1" thickBot="1">
      <c r="AN286" t="s">
        <v>550</v>
      </c>
      <c r="AO286"/>
      <c r="AP286"/>
      <c r="AQ286"/>
      <c r="AR286"/>
      <c r="AS286"/>
      <c r="AT286"/>
      <c r="AW286" s="120">
        <v>2</v>
      </c>
    </row>
    <row r="287" spans="1:49" ht="15" customHeight="1">
      <c r="AN287" s="629"/>
      <c r="AO287" s="630"/>
      <c r="AP287" s="716"/>
      <c r="AQ287" s="629"/>
      <c r="AR287" s="717" t="s">
        <v>441</v>
      </c>
      <c r="AS287" s="629"/>
      <c r="AT287" s="629"/>
      <c r="AW287" s="120">
        <v>3</v>
      </c>
    </row>
    <row r="288" spans="1:49" ht="15" customHeight="1" thickBot="1">
      <c r="AN288" s="621"/>
      <c r="AO288" s="724">
        <f ca="1">Q209</f>
        <v>257.51311783999427</v>
      </c>
      <c r="AP288" s="634">
        <v>9.1999999999999998E-2</v>
      </c>
      <c r="AQ288" s="634">
        <v>8.6999999999999994E-2</v>
      </c>
      <c r="AR288" s="634">
        <f ca="1">C12</f>
        <v>8.6010459902936973E-2</v>
      </c>
      <c r="AS288" s="634">
        <v>7.6999999999999999E-2</v>
      </c>
      <c r="AT288" s="634">
        <v>7.1999999999999995E-2</v>
      </c>
      <c r="AW288" s="120">
        <v>4</v>
      </c>
    </row>
    <row r="289" spans="40:49" ht="15" customHeight="1">
      <c r="AN289"/>
      <c r="AO289" s="626">
        <v>0.01</v>
      </c>
      <c r="AP289" s="632">
        <f t="dataTable" ref="AP289:AT293" dt2D="1" dtr="1" r1="C12" r2="C13" ca="1"/>
        <v>211.11578869643677</v>
      </c>
      <c r="AQ289" s="632">
        <v>228.662220630316</v>
      </c>
      <c r="AR289" s="632">
        <v>228.662220630316</v>
      </c>
      <c r="AS289" s="632">
        <v>271.77180924312671</v>
      </c>
      <c r="AT289" s="632">
        <v>298.63253353853435</v>
      </c>
      <c r="AW289" s="120">
        <v>5</v>
      </c>
    </row>
    <row r="290" spans="40:49" ht="15" customHeight="1">
      <c r="AN290" s="714"/>
      <c r="AO290" s="626">
        <v>1.4999999999999999E-2</v>
      </c>
      <c r="AP290" s="632">
        <v>220.65284482912574</v>
      </c>
      <c r="AQ290" s="632">
        <v>239.93630501777272</v>
      </c>
      <c r="AR290" s="632">
        <v>239.93630501777272</v>
      </c>
      <c r="AS290" s="632">
        <v>287.99117033811399</v>
      </c>
      <c r="AT290" s="632">
        <v>318.43162343391344</v>
      </c>
      <c r="AW290" s="120">
        <v>6</v>
      </c>
    </row>
    <row r="291" spans="40:49" ht="15" customHeight="1">
      <c r="AN291" s="21" t="s">
        <v>443</v>
      </c>
      <c r="AO291" s="626">
        <v>0.02</v>
      </c>
      <c r="AP291" s="632">
        <v>231.51449209135475</v>
      </c>
      <c r="AQ291" s="632">
        <v>252.89308856753638</v>
      </c>
      <c r="AR291" s="632">
        <v>252.89308856753638</v>
      </c>
      <c r="AS291" s="632">
        <v>307.05603337959025</v>
      </c>
      <c r="AT291" s="632">
        <v>342.03823061686541</v>
      </c>
      <c r="AW291" s="120">
        <v>7</v>
      </c>
    </row>
    <row r="292" spans="40:49" ht="15" customHeight="1">
      <c r="AN292"/>
      <c r="AO292" s="626">
        <v>2.5000000000000001E-2</v>
      </c>
      <c r="AP292" s="632">
        <v>243.99728073600602</v>
      </c>
      <c r="AQ292" s="632">
        <v>267.93967591564899</v>
      </c>
      <c r="AR292" s="632">
        <v>267.93967591564899</v>
      </c>
      <c r="AS292" s="632">
        <v>329.78721623673505</v>
      </c>
      <c r="AT292" s="632">
        <v>370.66752017916872</v>
      </c>
      <c r="AW292" s="120">
        <v>8</v>
      </c>
    </row>
    <row r="293" spans="40:49" ht="15" customHeight="1" thickBot="1">
      <c r="AN293" s="621"/>
      <c r="AO293" s="627">
        <v>0.03</v>
      </c>
      <c r="AP293" s="633">
        <v>258.49342238785914</v>
      </c>
      <c r="AQ293" s="633">
        <v>285.62601543009714</v>
      </c>
      <c r="AR293" s="633">
        <v>285.62601543009714</v>
      </c>
      <c r="AS293" s="633">
        <v>357.3548209783786</v>
      </c>
      <c r="AT293" s="633">
        <v>406.1133072563062</v>
      </c>
      <c r="AW293" s="120">
        <v>9</v>
      </c>
    </row>
    <row r="294" spans="40:49" ht="15" customHeight="1">
      <c r="AN294"/>
      <c r="AO294" s="726"/>
      <c r="AP294"/>
      <c r="AQ294"/>
      <c r="AR294"/>
      <c r="AS294"/>
      <c r="AT294"/>
      <c r="AW294" s="120">
        <v>10</v>
      </c>
    </row>
    <row r="295" spans="40:49" ht="15" customHeight="1">
      <c r="AN295" s="631" t="str">
        <f>Peers!AM286&amp;" Stock Price - Blended Revenue Growth and Operating Margin"</f>
        <v xml:space="preserve"> Stock Price - Blended Revenue Growth and Operating Margin</v>
      </c>
      <c r="AO295"/>
      <c r="AP295"/>
      <c r="AQ295"/>
      <c r="AR295"/>
      <c r="AS295"/>
      <c r="AT295"/>
      <c r="AW295" s="120">
        <v>11</v>
      </c>
    </row>
    <row r="296" spans="40:49" ht="15" customHeight="1" thickBot="1">
      <c r="AN296" t="s">
        <v>550</v>
      </c>
      <c r="AO296"/>
      <c r="AP296"/>
      <c r="AQ296"/>
      <c r="AR296"/>
      <c r="AS296"/>
      <c r="AT296"/>
      <c r="AW296" s="120">
        <v>12</v>
      </c>
    </row>
    <row r="297" spans="40:49" ht="15" customHeight="1">
      <c r="AN297" s="629"/>
      <c r="AO297" s="630"/>
      <c r="AP297" s="629"/>
      <c r="AQ297" s="635" t="s">
        <v>210</v>
      </c>
      <c r="AR297" s="629"/>
      <c r="AS297"/>
      <c r="AT297"/>
      <c r="AW297" s="120">
        <v>13</v>
      </c>
    </row>
    <row r="298" spans="40:49" ht="15" customHeight="1" thickBot="1">
      <c r="AN298" s="621"/>
      <c r="AO298" s="724">
        <f ca="1">Q209</f>
        <v>257.51311783999427</v>
      </c>
      <c r="AP298" s="718">
        <v>1</v>
      </c>
      <c r="AQ298" s="718">
        <v>2</v>
      </c>
      <c r="AR298" s="718">
        <v>3</v>
      </c>
      <c r="AS298"/>
      <c r="AT298"/>
      <c r="AW298" s="120">
        <v>14</v>
      </c>
    </row>
    <row r="299" spans="40:49" ht="15" customHeight="1">
      <c r="AN299"/>
      <c r="AO299" s="719">
        <v>1</v>
      </c>
      <c r="AP299">
        <f t="dataTable" ref="AP299:AR301" dt2D="1" dtr="1" r1="C7" r2="C8" ca="1"/>
        <v>219.8270708746648</v>
      </c>
      <c r="AQ299">
        <v>244.72314730576815</v>
      </c>
      <c r="AR299">
        <v>273.78235689698676</v>
      </c>
      <c r="AS299"/>
      <c r="AT299"/>
      <c r="AW299" s="120">
        <v>15</v>
      </c>
    </row>
    <row r="300" spans="40:49" ht="15" customHeight="1">
      <c r="AN300" s="21" t="s">
        <v>438</v>
      </c>
      <c r="AO300" s="719">
        <v>2</v>
      </c>
      <c r="AP300">
        <v>230.81590891532437</v>
      </c>
      <c r="AQ300">
        <v>257.51311783999427</v>
      </c>
      <c r="AR300">
        <v>288.67255448042124</v>
      </c>
      <c r="AS300"/>
      <c r="AT300"/>
      <c r="AW300" s="120">
        <v>16</v>
      </c>
    </row>
    <row r="301" spans="40:49" ht="15" customHeight="1" thickBot="1">
      <c r="AN301" s="621"/>
      <c r="AO301" s="720">
        <v>3</v>
      </c>
      <c r="AP301" s="621">
        <v>241.80474695598386</v>
      </c>
      <c r="AQ301" s="621">
        <v>270.30308837422041</v>
      </c>
      <c r="AR301" s="621">
        <v>303.56275206385567</v>
      </c>
      <c r="AS301"/>
      <c r="AT301"/>
      <c r="AW301" s="120">
        <v>17</v>
      </c>
    </row>
    <row r="302" spans="40:49" ht="15" customHeight="1">
      <c r="AN302"/>
      <c r="AO302" s="721"/>
      <c r="AP302"/>
      <c r="AQ302"/>
      <c r="AR302"/>
      <c r="AS302"/>
      <c r="AT302"/>
      <c r="AW302" s="120">
        <v>18</v>
      </c>
    </row>
    <row r="303" spans="40:49" ht="15" customHeight="1">
      <c r="AN303" s="639" t="s">
        <v>551</v>
      </c>
      <c r="AO303" s="34"/>
      <c r="AP303" s="34"/>
      <c r="AQ303" s="34"/>
      <c r="AR303" s="34"/>
      <c r="AS303" s="34"/>
      <c r="AT303" s="34"/>
      <c r="AW303" s="120">
        <v>19</v>
      </c>
    </row>
    <row r="304" spans="40:49" ht="15" customHeight="1">
      <c r="AW304" s="120">
        <v>20</v>
      </c>
    </row>
    <row r="305" spans="40:49" ht="15" customHeight="1">
      <c r="AW305" s="120">
        <v>21</v>
      </c>
    </row>
    <row r="306" spans="40:49" ht="15" customHeight="1">
      <c r="AR306" s="127"/>
      <c r="AS306" s="127"/>
      <c r="AW306" s="120">
        <v>22</v>
      </c>
    </row>
    <row r="307" spans="40:49" ht="15" customHeight="1">
      <c r="AR307" s="127"/>
      <c r="AS307" s="127"/>
      <c r="AW307" s="120">
        <v>23</v>
      </c>
    </row>
    <row r="308" spans="40:49" ht="15" customHeight="1">
      <c r="AR308" s="168"/>
      <c r="AS308" s="168"/>
      <c r="AW308" s="120">
        <v>24</v>
      </c>
    </row>
    <row r="309" spans="40:49" ht="15" customHeight="1">
      <c r="AW309" s="120">
        <v>25</v>
      </c>
    </row>
    <row r="310" spans="40:49" ht="15" customHeight="1">
      <c r="AN310" s="140"/>
      <c r="AW310" s="120">
        <v>26</v>
      </c>
    </row>
    <row r="311" spans="40:49" ht="15" customHeight="1">
      <c r="AW311" s="120">
        <v>27</v>
      </c>
    </row>
    <row r="312" spans="40:49" ht="15" customHeight="1">
      <c r="AW312" s="120">
        <v>28</v>
      </c>
    </row>
    <row r="313" spans="40:49" ht="15" customHeight="1">
      <c r="AW313" s="120">
        <v>29</v>
      </c>
    </row>
    <row r="314" spans="40:49" ht="15" customHeight="1">
      <c r="AW314" s="120">
        <v>30</v>
      </c>
    </row>
    <row r="315" spans="40:49" ht="15" customHeight="1">
      <c r="AW315" s="120">
        <v>31</v>
      </c>
    </row>
    <row r="316" spans="40:49" ht="15" customHeight="1">
      <c r="AW316" s="120">
        <v>32</v>
      </c>
    </row>
    <row r="317" spans="40:49" ht="15" customHeight="1">
      <c r="AW317" s="120">
        <v>33</v>
      </c>
    </row>
    <row r="318" spans="40:49" ht="15" customHeight="1">
      <c r="AW318" s="120">
        <v>34</v>
      </c>
    </row>
    <row r="319" spans="40:49" ht="15" customHeight="1">
      <c r="AW319" s="120">
        <v>35</v>
      </c>
    </row>
    <row r="320" spans="40:49" ht="15" customHeight="1">
      <c r="AW320" s="120">
        <v>36</v>
      </c>
    </row>
    <row r="321" spans="49:49" ht="15" customHeight="1">
      <c r="AW321" s="120">
        <v>37</v>
      </c>
    </row>
    <row r="322" spans="49:49" ht="15" customHeight="1">
      <c r="AW322" s="120">
        <v>38</v>
      </c>
    </row>
    <row r="323" spans="49:49" ht="15" customHeight="1">
      <c r="AW323" s="120">
        <v>39</v>
      </c>
    </row>
    <row r="324" spans="49:49" ht="15" customHeight="1">
      <c r="AW324" s="120">
        <v>40</v>
      </c>
    </row>
    <row r="325" spans="49:49" ht="15" customHeight="1">
      <c r="AW325" s="120">
        <v>41</v>
      </c>
    </row>
    <row r="326" spans="49:49" ht="15" customHeight="1">
      <c r="AW326" s="120">
        <v>42</v>
      </c>
    </row>
    <row r="327" spans="49:49" ht="15" customHeight="1">
      <c r="AW327" s="120">
        <v>43</v>
      </c>
    </row>
    <row r="328" spans="49:49" ht="15" customHeight="1">
      <c r="AW328" s="120">
        <v>44</v>
      </c>
    </row>
    <row r="329" spans="49:49" ht="15" customHeight="1">
      <c r="AW329" s="120">
        <v>45</v>
      </c>
    </row>
    <row r="330" spans="49:49" ht="15" customHeight="1">
      <c r="AW330" s="120">
        <v>46</v>
      </c>
    </row>
    <row r="331" spans="49:49" ht="15" customHeight="1">
      <c r="AW331" s="120">
        <v>47</v>
      </c>
    </row>
    <row r="332" spans="49:49" ht="15" customHeight="1">
      <c r="AW332" s="120">
        <v>48</v>
      </c>
    </row>
    <row r="333" spans="49:49" ht="15" customHeight="1">
      <c r="AW333" s="120">
        <v>49</v>
      </c>
    </row>
    <row r="334" spans="49:49" ht="15" customHeight="1">
      <c r="AW334" s="120">
        <v>50</v>
      </c>
    </row>
    <row r="335" spans="49:49" ht="15" customHeight="1">
      <c r="AW335" s="120">
        <v>51</v>
      </c>
    </row>
    <row r="336" spans="49:49" ht="15" customHeight="1">
      <c r="AW336" s="120">
        <v>52</v>
      </c>
    </row>
    <row r="337" spans="49:49" ht="15" customHeight="1">
      <c r="AW337" s="120">
        <v>53</v>
      </c>
    </row>
    <row r="338" spans="49:49" ht="15" customHeight="1">
      <c r="AW338" s="120">
        <v>54</v>
      </c>
    </row>
    <row r="339" spans="49:49" ht="15" customHeight="1">
      <c r="AW339" s="120">
        <v>55</v>
      </c>
    </row>
    <row r="340" spans="49:49" ht="15" customHeight="1">
      <c r="AW340" s="120">
        <v>56</v>
      </c>
    </row>
    <row r="341" spans="49:49" ht="15" customHeight="1">
      <c r="AW341" s="120">
        <v>57</v>
      </c>
    </row>
    <row r="342" spans="49:49" ht="15" customHeight="1">
      <c r="AW342" s="120">
        <v>58</v>
      </c>
    </row>
    <row r="343" spans="49:49" ht="15" customHeight="1">
      <c r="AW343" s="120">
        <v>59</v>
      </c>
    </row>
    <row r="344" spans="49:49" ht="15" customHeight="1">
      <c r="AW344" s="120">
        <v>60</v>
      </c>
    </row>
    <row r="345" spans="49:49" ht="15" customHeight="1">
      <c r="AW345" s="120">
        <v>61</v>
      </c>
    </row>
    <row r="346" spans="49:49" ht="15" customHeight="1">
      <c r="AW346" s="120">
        <v>62</v>
      </c>
    </row>
    <row r="347" spans="49:49" ht="15" customHeight="1">
      <c r="AW347" s="120">
        <v>63</v>
      </c>
    </row>
    <row r="348" spans="49:49" ht="15" customHeight="1">
      <c r="AW348" s="120">
        <v>64</v>
      </c>
    </row>
    <row r="349" spans="49:49" ht="15" customHeight="1">
      <c r="AW349" s="120">
        <v>65</v>
      </c>
    </row>
    <row r="350" spans="49:49" ht="15" customHeight="1">
      <c r="AW350" s="120">
        <v>66</v>
      </c>
    </row>
    <row r="351" spans="49:49" ht="15" customHeight="1">
      <c r="AW351" s="120">
        <v>67</v>
      </c>
    </row>
    <row r="352" spans="49:49" ht="15" customHeight="1">
      <c r="AW352" s="120">
        <v>68</v>
      </c>
    </row>
    <row r="353" spans="49:49" ht="15" customHeight="1">
      <c r="AW353" s="120">
        <v>69</v>
      </c>
    </row>
    <row r="354" spans="49:49" ht="15" customHeight="1">
      <c r="AW354" s="120">
        <v>70</v>
      </c>
    </row>
    <row r="355" spans="49:49" ht="15" customHeight="1">
      <c r="AW355" s="120">
        <v>71</v>
      </c>
    </row>
    <row r="356" spans="49:49" ht="15" customHeight="1">
      <c r="AW356" s="120">
        <v>72</v>
      </c>
    </row>
    <row r="357" spans="49:49" ht="15" customHeight="1">
      <c r="AW357" s="120">
        <v>73</v>
      </c>
    </row>
    <row r="358" spans="49:49" ht="15" customHeight="1">
      <c r="AW358" s="120">
        <v>74</v>
      </c>
    </row>
    <row r="359" spans="49:49" ht="15" customHeight="1">
      <c r="AW359" s="120">
        <v>75</v>
      </c>
    </row>
    <row r="360" spans="49:49" ht="15" customHeight="1">
      <c r="AW360" s="120">
        <v>76</v>
      </c>
    </row>
    <row r="361" spans="49:49" ht="15" customHeight="1">
      <c r="AW361" s="120">
        <v>77</v>
      </c>
    </row>
    <row r="362" spans="49:49" ht="15" customHeight="1">
      <c r="AW362" s="120">
        <v>78</v>
      </c>
    </row>
    <row r="363" spans="49:49" ht="15" customHeight="1">
      <c r="AW363" s="120">
        <v>79</v>
      </c>
    </row>
    <row r="364" spans="49:49" ht="15" customHeight="1">
      <c r="AW364" s="120">
        <v>80</v>
      </c>
    </row>
    <row r="365" spans="49:49" ht="15" customHeight="1">
      <c r="AW365" s="120">
        <v>81</v>
      </c>
    </row>
    <row r="366" spans="49:49" ht="15" customHeight="1">
      <c r="AW366" s="120">
        <v>82</v>
      </c>
    </row>
    <row r="367" spans="49:49" ht="15" customHeight="1">
      <c r="AW367" s="120">
        <v>83</v>
      </c>
    </row>
    <row r="368" spans="49:49" ht="15" customHeight="1">
      <c r="AW368" s="120">
        <v>84</v>
      </c>
    </row>
    <row r="369" spans="49:49" ht="15" customHeight="1">
      <c r="AW369" s="120">
        <v>85</v>
      </c>
    </row>
    <row r="370" spans="49:49" ht="15" customHeight="1">
      <c r="AW370" s="120">
        <v>86</v>
      </c>
    </row>
    <row r="371" spans="49:49" ht="15" customHeight="1">
      <c r="AW371" s="120">
        <v>87</v>
      </c>
    </row>
    <row r="372" spans="49:49" ht="15" customHeight="1">
      <c r="AW372" s="120">
        <v>88</v>
      </c>
    </row>
    <row r="373" spans="49:49" ht="15" customHeight="1">
      <c r="AW373" s="120">
        <v>89</v>
      </c>
    </row>
    <row r="374" spans="49:49" ht="15" customHeight="1">
      <c r="AW374" s="120">
        <v>90</v>
      </c>
    </row>
    <row r="375" spans="49:49" ht="15" customHeight="1">
      <c r="AW375" s="120">
        <v>91</v>
      </c>
    </row>
    <row r="376" spans="49:49" ht="15" customHeight="1">
      <c r="AW376" s="120">
        <v>92</v>
      </c>
    </row>
    <row r="377" spans="49:49" ht="15" customHeight="1">
      <c r="AW377" s="120">
        <v>93</v>
      </c>
    </row>
    <row r="378" spans="49:49" ht="15" customHeight="1">
      <c r="AW378" s="120">
        <v>94</v>
      </c>
    </row>
    <row r="379" spans="49:49" ht="15" customHeight="1">
      <c r="AW379" s="120">
        <v>95</v>
      </c>
    </row>
    <row r="380" spans="49:49" ht="15" customHeight="1">
      <c r="AW380" s="120">
        <v>96</v>
      </c>
    </row>
    <row r="381" spans="49:49" ht="15" customHeight="1">
      <c r="AW381" s="120">
        <v>97</v>
      </c>
    </row>
    <row r="382" spans="49:49" ht="15" customHeight="1">
      <c r="AW382" s="120">
        <v>98</v>
      </c>
    </row>
    <row r="383" spans="49:49" ht="15" customHeight="1">
      <c r="AW383" s="120">
        <v>99</v>
      </c>
    </row>
    <row r="384" spans="49:49" ht="15" customHeight="1">
      <c r="AW384" s="120">
        <v>100</v>
      </c>
    </row>
    <row r="385" spans="49:49" ht="15" customHeight="1">
      <c r="AW385" s="120">
        <v>101</v>
      </c>
    </row>
    <row r="386" spans="49:49" ht="15" customHeight="1">
      <c r="AW386" s="120">
        <v>102</v>
      </c>
    </row>
    <row r="387" spans="49:49" ht="15" customHeight="1">
      <c r="AW387" s="120">
        <v>103</v>
      </c>
    </row>
    <row r="388" spans="49:49" ht="15" customHeight="1">
      <c r="AW388" s="120">
        <v>104</v>
      </c>
    </row>
    <row r="389" spans="49:49" ht="15" customHeight="1">
      <c r="AW389" s="120">
        <v>105</v>
      </c>
    </row>
    <row r="390" spans="49:49" ht="15" customHeight="1">
      <c r="AW390" s="120">
        <v>106</v>
      </c>
    </row>
    <row r="391" spans="49:49" ht="15" customHeight="1">
      <c r="AW391" s="120">
        <v>107</v>
      </c>
    </row>
    <row r="392" spans="49:49" ht="15" customHeight="1">
      <c r="AW392" s="120">
        <v>108</v>
      </c>
    </row>
    <row r="393" spans="49:49" ht="15" customHeight="1">
      <c r="AW393" s="120">
        <v>109</v>
      </c>
    </row>
    <row r="394" spans="49:49" ht="15" customHeight="1">
      <c r="AW394" s="120">
        <v>110</v>
      </c>
    </row>
    <row r="395" spans="49:49" ht="15" customHeight="1">
      <c r="AW395" s="120">
        <v>111</v>
      </c>
    </row>
    <row r="396" spans="49:49" ht="15" customHeight="1">
      <c r="AW396" s="120">
        <v>112</v>
      </c>
    </row>
    <row r="397" spans="49:49" ht="15" customHeight="1">
      <c r="AW397" s="120">
        <v>113</v>
      </c>
    </row>
    <row r="398" spans="49:49" ht="15" customHeight="1">
      <c r="AW398" s="120">
        <v>114</v>
      </c>
    </row>
    <row r="399" spans="49:49" ht="15" customHeight="1">
      <c r="AW399" s="120">
        <v>115</v>
      </c>
    </row>
    <row r="400" spans="49:49" ht="15" customHeight="1">
      <c r="AW400" s="120">
        <v>116</v>
      </c>
    </row>
    <row r="401" spans="49:49" ht="15" customHeight="1">
      <c r="AW401" s="120">
        <v>117</v>
      </c>
    </row>
    <row r="402" spans="49:49" ht="15" customHeight="1">
      <c r="AW402" s="120">
        <v>118</v>
      </c>
    </row>
    <row r="403" spans="49:49" ht="15" customHeight="1">
      <c r="AW403" s="120">
        <v>119</v>
      </c>
    </row>
    <row r="404" spans="49:49" ht="15" customHeight="1">
      <c r="AW404" s="120">
        <v>120</v>
      </c>
    </row>
    <row r="405" spans="49:49" ht="15" customHeight="1">
      <c r="AW405" s="120">
        <v>121</v>
      </c>
    </row>
    <row r="406" spans="49:49" ht="15" customHeight="1">
      <c r="AW406" s="120">
        <v>122</v>
      </c>
    </row>
    <row r="407" spans="49:49" ht="15" customHeight="1">
      <c r="AW407" s="120">
        <v>123</v>
      </c>
    </row>
    <row r="408" spans="49:49" ht="15" customHeight="1">
      <c r="AW408" s="120">
        <v>124</v>
      </c>
    </row>
    <row r="409" spans="49:49" ht="15" customHeight="1">
      <c r="AW409" s="120">
        <v>125</v>
      </c>
    </row>
    <row r="410" spans="49:49" ht="15" customHeight="1">
      <c r="AW410" s="120">
        <v>126</v>
      </c>
    </row>
    <row r="411" spans="49:49" ht="15" customHeight="1">
      <c r="AW411" s="120">
        <v>127</v>
      </c>
    </row>
    <row r="412" spans="49:49" ht="15" customHeight="1">
      <c r="AW412" s="120">
        <v>128</v>
      </c>
    </row>
    <row r="413" spans="49:49" ht="15" customHeight="1">
      <c r="AW413" s="120">
        <v>129</v>
      </c>
    </row>
    <row r="414" spans="49:49" ht="15" customHeight="1">
      <c r="AW414" s="120">
        <v>130</v>
      </c>
    </row>
    <row r="415" spans="49:49" ht="15" customHeight="1">
      <c r="AW415" s="120">
        <v>131</v>
      </c>
    </row>
    <row r="416" spans="49:49" ht="15" customHeight="1">
      <c r="AW416" s="120">
        <v>132</v>
      </c>
    </row>
    <row r="417" spans="49:49" ht="15" customHeight="1">
      <c r="AW417" s="120">
        <v>133</v>
      </c>
    </row>
    <row r="418" spans="49:49" ht="15" customHeight="1">
      <c r="AW418" s="120">
        <v>134</v>
      </c>
    </row>
    <row r="419" spans="49:49" ht="15" customHeight="1">
      <c r="AW419" s="120">
        <v>135</v>
      </c>
    </row>
    <row r="420" spans="49:49" ht="15" customHeight="1">
      <c r="AW420" s="120">
        <v>136</v>
      </c>
    </row>
    <row r="421" spans="49:49" ht="15" customHeight="1">
      <c r="AW421" s="120">
        <v>137</v>
      </c>
    </row>
    <row r="422" spans="49:49" ht="15" customHeight="1">
      <c r="AW422" s="120">
        <v>138</v>
      </c>
    </row>
    <row r="423" spans="49:49" ht="15" customHeight="1">
      <c r="AW423" s="120">
        <v>139</v>
      </c>
    </row>
    <row r="424" spans="49:49" ht="15" customHeight="1">
      <c r="AW424" s="120">
        <v>140</v>
      </c>
    </row>
    <row r="425" spans="49:49" ht="15" customHeight="1">
      <c r="AW425" s="120">
        <v>141</v>
      </c>
    </row>
    <row r="426" spans="49:49" ht="15" customHeight="1">
      <c r="AW426" s="120">
        <v>142</v>
      </c>
    </row>
    <row r="427" spans="49:49" ht="15" customHeight="1">
      <c r="AW427" s="120">
        <v>143</v>
      </c>
    </row>
    <row r="428" spans="49:49" ht="15" customHeight="1">
      <c r="AW428" s="120">
        <v>144</v>
      </c>
    </row>
    <row r="429" spans="49:49" ht="15" customHeight="1">
      <c r="AW429" s="120">
        <v>145</v>
      </c>
    </row>
    <row r="430" spans="49:49" ht="15" customHeight="1">
      <c r="AW430" s="120">
        <v>146</v>
      </c>
    </row>
    <row r="431" spans="49:49" ht="15" customHeight="1">
      <c r="AW431" s="120">
        <v>147</v>
      </c>
    </row>
    <row r="432" spans="49:49" ht="15" customHeight="1">
      <c r="AW432" s="120">
        <v>148</v>
      </c>
    </row>
    <row r="433" spans="49:49" ht="15" customHeight="1">
      <c r="AW433" s="120">
        <v>149</v>
      </c>
    </row>
    <row r="434" spans="49:49" ht="15" customHeight="1">
      <c r="AW434" s="120">
        <v>150</v>
      </c>
    </row>
    <row r="435" spans="49:49" ht="15" customHeight="1">
      <c r="AW435" s="120">
        <v>151</v>
      </c>
    </row>
    <row r="436" spans="49:49" ht="15" customHeight="1">
      <c r="AW436" s="120">
        <v>152</v>
      </c>
    </row>
    <row r="437" spans="49:49" ht="15" customHeight="1">
      <c r="AW437" s="120">
        <v>153</v>
      </c>
    </row>
    <row r="438" spans="49:49" ht="15" customHeight="1">
      <c r="AW438" s="120">
        <v>154</v>
      </c>
    </row>
    <row r="439" spans="49:49" ht="15" customHeight="1">
      <c r="AW439" s="120">
        <v>155</v>
      </c>
    </row>
    <row r="440" spans="49:49" ht="15" customHeight="1">
      <c r="AW440" s="120">
        <v>156</v>
      </c>
    </row>
    <row r="441" spans="49:49" ht="15" customHeight="1">
      <c r="AW441" s="120">
        <v>157</v>
      </c>
    </row>
    <row r="442" spans="49:49" ht="15" customHeight="1">
      <c r="AW442" s="120">
        <v>158</v>
      </c>
    </row>
    <row r="443" spans="49:49" ht="15" customHeight="1">
      <c r="AW443" s="120">
        <v>159</v>
      </c>
    </row>
    <row r="444" spans="49:49" ht="15" customHeight="1">
      <c r="AW444" s="120">
        <v>160</v>
      </c>
    </row>
    <row r="445" spans="49:49" ht="15" customHeight="1">
      <c r="AW445" s="120">
        <v>161</v>
      </c>
    </row>
    <row r="446" spans="49:49" ht="15" customHeight="1">
      <c r="AW446" s="120">
        <v>162</v>
      </c>
    </row>
    <row r="447" spans="49:49" ht="15" customHeight="1">
      <c r="AW447" s="120">
        <v>163</v>
      </c>
    </row>
    <row r="448" spans="49:49" ht="15" customHeight="1">
      <c r="AW448" s="120">
        <v>164</v>
      </c>
    </row>
    <row r="449" spans="49:49" ht="15" customHeight="1">
      <c r="AW449" s="120">
        <v>165</v>
      </c>
    </row>
    <row r="450" spans="49:49" ht="15" customHeight="1">
      <c r="AW450" s="120">
        <v>166</v>
      </c>
    </row>
    <row r="451" spans="49:49" ht="15" customHeight="1">
      <c r="AW451" s="120">
        <v>167</v>
      </c>
    </row>
    <row r="452" spans="49:49" ht="15" customHeight="1">
      <c r="AW452" s="120">
        <v>168</v>
      </c>
    </row>
    <row r="453" spans="49:49" ht="15" customHeight="1">
      <c r="AW453" s="120">
        <v>169</v>
      </c>
    </row>
    <row r="454" spans="49:49" ht="15" customHeight="1">
      <c r="AW454" s="120">
        <v>170</v>
      </c>
    </row>
    <row r="455" spans="49:49" ht="15" customHeight="1">
      <c r="AW455" s="120">
        <v>171</v>
      </c>
    </row>
    <row r="456" spans="49:49" ht="15" customHeight="1">
      <c r="AW456" s="120">
        <v>172</v>
      </c>
    </row>
    <row r="457" spans="49:49" ht="15" customHeight="1">
      <c r="AW457" s="120">
        <v>173</v>
      </c>
    </row>
    <row r="458" spans="49:49" ht="15" customHeight="1">
      <c r="AW458" s="120">
        <v>174</v>
      </c>
    </row>
    <row r="459" spans="49:49" ht="15" customHeight="1">
      <c r="AW459" s="120">
        <v>175</v>
      </c>
    </row>
    <row r="460" spans="49:49" ht="15" customHeight="1">
      <c r="AW460" s="120">
        <v>176</v>
      </c>
    </row>
    <row r="461" spans="49:49" ht="15" customHeight="1">
      <c r="AW461" s="120">
        <v>177</v>
      </c>
    </row>
    <row r="462" spans="49:49" ht="15" customHeight="1">
      <c r="AW462" s="120">
        <v>178</v>
      </c>
    </row>
    <row r="463" spans="49:49" ht="15" customHeight="1">
      <c r="AW463" s="120">
        <v>179</v>
      </c>
    </row>
    <row r="464" spans="49:49" ht="15" customHeight="1">
      <c r="AW464" s="120">
        <v>180</v>
      </c>
    </row>
    <row r="465" spans="49:49" ht="15" customHeight="1">
      <c r="AW465" s="120">
        <v>181</v>
      </c>
    </row>
    <row r="466" spans="49:49" ht="15" customHeight="1">
      <c r="AW466" s="120">
        <v>182</v>
      </c>
    </row>
    <row r="467" spans="49:49" ht="15" customHeight="1">
      <c r="AW467" s="120">
        <v>183</v>
      </c>
    </row>
    <row r="468" spans="49:49" ht="15" customHeight="1">
      <c r="AW468" s="120">
        <v>184</v>
      </c>
    </row>
    <row r="469" spans="49:49" ht="15" customHeight="1">
      <c r="AW469" s="120">
        <v>185</v>
      </c>
    </row>
    <row r="470" spans="49:49" ht="15" customHeight="1">
      <c r="AW470" s="120">
        <v>186</v>
      </c>
    </row>
    <row r="471" spans="49:49" ht="15" customHeight="1">
      <c r="AW471" s="120">
        <v>187</v>
      </c>
    </row>
    <row r="472" spans="49:49" ht="15" customHeight="1">
      <c r="AW472" s="120">
        <v>188</v>
      </c>
    </row>
    <row r="473" spans="49:49" ht="15" customHeight="1">
      <c r="AW473" s="120">
        <v>189</v>
      </c>
    </row>
    <row r="474" spans="49:49" ht="15" customHeight="1">
      <c r="AW474" s="120">
        <v>190</v>
      </c>
    </row>
    <row r="475" spans="49:49" ht="15" customHeight="1">
      <c r="AW475" s="120">
        <v>191</v>
      </c>
    </row>
    <row r="476" spans="49:49" ht="15" customHeight="1">
      <c r="AW476" s="120">
        <v>192</v>
      </c>
    </row>
    <row r="477" spans="49:49" ht="15" customHeight="1">
      <c r="AW477" s="120">
        <v>193</v>
      </c>
    </row>
    <row r="478" spans="49:49" ht="15" customHeight="1">
      <c r="AW478" s="120">
        <v>194</v>
      </c>
    </row>
    <row r="479" spans="49:49" ht="15" customHeight="1">
      <c r="AW479" s="120">
        <v>195</v>
      </c>
    </row>
    <row r="480" spans="49:49" ht="15" customHeight="1">
      <c r="AW480" s="120">
        <v>196</v>
      </c>
    </row>
    <row r="481" spans="49:49" ht="15" customHeight="1">
      <c r="AW481" s="120">
        <v>197</v>
      </c>
    </row>
    <row r="482" spans="49:49" ht="15" customHeight="1">
      <c r="AW482" s="120">
        <v>198</v>
      </c>
    </row>
    <row r="483" spans="49:49" ht="15" customHeight="1">
      <c r="AW483" s="120">
        <v>199</v>
      </c>
    </row>
    <row r="484" spans="49:49" ht="15" customHeight="1">
      <c r="AW484" s="120">
        <v>200</v>
      </c>
    </row>
    <row r="485" spans="49:49" ht="15" customHeight="1">
      <c r="AW485" s="120">
        <v>201</v>
      </c>
    </row>
    <row r="486" spans="49:49" ht="15" customHeight="1">
      <c r="AW486" s="120">
        <v>202</v>
      </c>
    </row>
    <row r="487" spans="49:49" ht="15" customHeight="1">
      <c r="AW487" s="120">
        <v>203</v>
      </c>
    </row>
    <row r="488" spans="49:49" ht="15" customHeight="1">
      <c r="AW488" s="120">
        <v>204</v>
      </c>
    </row>
    <row r="489" spans="49:49" ht="15" customHeight="1">
      <c r="AW489" s="120">
        <v>205</v>
      </c>
    </row>
    <row r="490" spans="49:49" ht="15" customHeight="1">
      <c r="AW490" s="120">
        <v>206</v>
      </c>
    </row>
    <row r="491" spans="49:49" ht="15" customHeight="1">
      <c r="AW491" s="120">
        <v>207</v>
      </c>
    </row>
    <row r="492" spans="49:49" ht="15" customHeight="1">
      <c r="AW492" s="120">
        <v>208</v>
      </c>
    </row>
    <row r="493" spans="49:49" ht="15" customHeight="1">
      <c r="AW493" s="120">
        <v>209</v>
      </c>
    </row>
    <row r="494" spans="49:49" ht="15" customHeight="1">
      <c r="AW494" s="120">
        <v>210</v>
      </c>
    </row>
    <row r="495" spans="49:49" ht="15" customHeight="1">
      <c r="AW495" s="120">
        <v>211</v>
      </c>
    </row>
    <row r="496" spans="49:49" ht="15" customHeight="1">
      <c r="AW496" s="120">
        <v>212</v>
      </c>
    </row>
    <row r="497" spans="49:49" ht="15" customHeight="1">
      <c r="AW497" s="120">
        <v>213</v>
      </c>
    </row>
    <row r="498" spans="49:49" ht="15" customHeight="1">
      <c r="AW498" s="120">
        <v>214</v>
      </c>
    </row>
    <row r="499" spans="49:49" ht="15" customHeight="1">
      <c r="AW499" s="120">
        <v>215</v>
      </c>
    </row>
    <row r="500" spans="49:49" ht="15" customHeight="1">
      <c r="AW500" s="120">
        <v>216</v>
      </c>
    </row>
    <row r="501" spans="49:49" ht="15" customHeight="1">
      <c r="AW501" s="120">
        <v>217</v>
      </c>
    </row>
    <row r="502" spans="49:49" ht="15" customHeight="1">
      <c r="AW502" s="120">
        <v>218</v>
      </c>
    </row>
    <row r="503" spans="49:49" ht="15" customHeight="1">
      <c r="AW503" s="120">
        <v>219</v>
      </c>
    </row>
    <row r="504" spans="49:49" ht="15" customHeight="1">
      <c r="AW504" s="120">
        <v>220</v>
      </c>
    </row>
    <row r="505" spans="49:49" ht="15" customHeight="1">
      <c r="AW505" s="120">
        <v>221</v>
      </c>
    </row>
    <row r="506" spans="49:49" ht="15" customHeight="1">
      <c r="AW506" s="120">
        <v>222</v>
      </c>
    </row>
    <row r="507" spans="49:49" ht="15" customHeight="1">
      <c r="AW507" s="120">
        <v>223</v>
      </c>
    </row>
    <row r="508" spans="49:49" ht="15" customHeight="1">
      <c r="AW508" s="120">
        <v>224</v>
      </c>
    </row>
    <row r="509" spans="49:49" ht="15" customHeight="1">
      <c r="AW509" s="120">
        <v>225</v>
      </c>
    </row>
    <row r="510" spans="49:49" ht="15" customHeight="1">
      <c r="AW510" s="120">
        <v>226</v>
      </c>
    </row>
    <row r="511" spans="49:49" ht="15" customHeight="1">
      <c r="AW511" s="120">
        <v>227</v>
      </c>
    </row>
    <row r="512" spans="49:49" ht="15" customHeight="1">
      <c r="AW512" s="120">
        <v>228</v>
      </c>
    </row>
    <row r="513" spans="49:49" ht="15" customHeight="1">
      <c r="AW513" s="120">
        <v>229</v>
      </c>
    </row>
    <row r="514" spans="49:49" ht="15" customHeight="1">
      <c r="AW514" s="120">
        <v>230</v>
      </c>
    </row>
    <row r="515" spans="49:49" ht="15" customHeight="1">
      <c r="AW515" s="120">
        <v>231</v>
      </c>
    </row>
    <row r="516" spans="49:49" ht="15" customHeight="1">
      <c r="AW516" s="120">
        <v>232</v>
      </c>
    </row>
    <row r="517" spans="49:49" ht="15" customHeight="1">
      <c r="AW517" s="120">
        <v>233</v>
      </c>
    </row>
    <row r="518" spans="49:49" ht="15" customHeight="1">
      <c r="AW518" s="120">
        <v>234</v>
      </c>
    </row>
    <row r="519" spans="49:49" ht="15" customHeight="1">
      <c r="AW519" s="120">
        <v>235</v>
      </c>
    </row>
    <row r="520" spans="49:49" ht="15" customHeight="1">
      <c r="AW520" s="120">
        <v>236</v>
      </c>
    </row>
    <row r="521" spans="49:49" ht="15" customHeight="1">
      <c r="AW521" s="120">
        <v>237</v>
      </c>
    </row>
    <row r="522" spans="49:49" ht="15" customHeight="1">
      <c r="AW522" s="120">
        <v>238</v>
      </c>
    </row>
    <row r="523" spans="49:49" ht="15" customHeight="1">
      <c r="AW523" s="120">
        <v>239</v>
      </c>
    </row>
    <row r="524" spans="49:49" ht="15" customHeight="1">
      <c r="AW524" s="120">
        <v>240</v>
      </c>
    </row>
    <row r="525" spans="49:49" ht="15" customHeight="1">
      <c r="AW525" s="120">
        <v>241</v>
      </c>
    </row>
    <row r="526" spans="49:49" ht="15" customHeight="1">
      <c r="AW526" s="120">
        <v>242</v>
      </c>
    </row>
    <row r="527" spans="49:49" ht="15" customHeight="1">
      <c r="AW527" s="120">
        <v>243</v>
      </c>
    </row>
    <row r="528" spans="49:49" ht="15" customHeight="1">
      <c r="AW528" s="120">
        <v>244</v>
      </c>
    </row>
    <row r="529" spans="49:49" ht="15" customHeight="1">
      <c r="AW529" s="120">
        <v>245</v>
      </c>
    </row>
    <row r="530" spans="49:49" ht="15" customHeight="1">
      <c r="AW530" s="120">
        <v>246</v>
      </c>
    </row>
    <row r="531" spans="49:49" ht="15" customHeight="1">
      <c r="AW531" s="120">
        <v>247</v>
      </c>
    </row>
    <row r="532" spans="49:49" ht="15" customHeight="1">
      <c r="AW532" s="120">
        <v>248</v>
      </c>
    </row>
    <row r="533" spans="49:49" ht="15" customHeight="1">
      <c r="AW533" s="120">
        <v>249</v>
      </c>
    </row>
    <row r="534" spans="49:49" ht="15" customHeight="1">
      <c r="AW534" s="120">
        <v>250</v>
      </c>
    </row>
    <row r="535" spans="49:49" ht="15" customHeight="1">
      <c r="AW535" s="120">
        <v>251</v>
      </c>
    </row>
    <row r="536" spans="49:49" ht="15" customHeight="1">
      <c r="AW536" s="120">
        <v>252</v>
      </c>
    </row>
    <row r="537" spans="49:49" ht="15" customHeight="1">
      <c r="AW537" s="120">
        <v>253</v>
      </c>
    </row>
    <row r="538" spans="49:49" ht="15" customHeight="1">
      <c r="AW538" s="120">
        <v>254</v>
      </c>
    </row>
    <row r="539" spans="49:49" ht="15" customHeight="1">
      <c r="AW539" s="120">
        <v>255</v>
      </c>
    </row>
    <row r="540" spans="49:49" ht="15" customHeight="1">
      <c r="AW540" s="120">
        <v>256</v>
      </c>
    </row>
    <row r="541" spans="49:49" ht="15" customHeight="1">
      <c r="AW541" s="120">
        <v>257</v>
      </c>
    </row>
    <row r="542" spans="49:49" ht="15" customHeight="1">
      <c r="AW542" s="120">
        <v>258</v>
      </c>
    </row>
    <row r="543" spans="49:49" ht="15" customHeight="1">
      <c r="AW543" s="120">
        <v>259</v>
      </c>
    </row>
    <row r="544" spans="49:49" ht="15" customHeight="1">
      <c r="AW544" s="120">
        <v>260</v>
      </c>
    </row>
    <row r="545" spans="49:49" ht="15" customHeight="1">
      <c r="AW545" s="120">
        <v>261</v>
      </c>
    </row>
    <row r="546" spans="49:49" ht="15" customHeight="1">
      <c r="AW546" s="120">
        <v>262</v>
      </c>
    </row>
    <row r="547" spans="49:49" ht="15" customHeight="1">
      <c r="AW547" s="120">
        <v>263</v>
      </c>
    </row>
    <row r="548" spans="49:49" ht="15" customHeight="1">
      <c r="AW548" s="120">
        <v>264</v>
      </c>
    </row>
    <row r="549" spans="49:49" ht="15" customHeight="1">
      <c r="AW549" s="120">
        <v>265</v>
      </c>
    </row>
    <row r="550" spans="49:49" ht="15" customHeight="1">
      <c r="AW550" s="120">
        <v>266</v>
      </c>
    </row>
    <row r="551" spans="49:49" ht="15" customHeight="1">
      <c r="AW551" s="120">
        <v>267</v>
      </c>
    </row>
    <row r="552" spans="49:49" ht="15" customHeight="1">
      <c r="AW552" s="120">
        <v>268</v>
      </c>
    </row>
    <row r="553" spans="49:49" ht="15" customHeight="1">
      <c r="AW553" s="120">
        <v>269</v>
      </c>
    </row>
    <row r="554" spans="49:49" ht="15" customHeight="1">
      <c r="AW554" s="120">
        <v>270</v>
      </c>
    </row>
    <row r="555" spans="49:49" ht="15" customHeight="1">
      <c r="AW555" s="120">
        <v>271</v>
      </c>
    </row>
    <row r="556" spans="49:49" ht="15" customHeight="1">
      <c r="AW556" s="120">
        <v>272</v>
      </c>
    </row>
    <row r="557" spans="49:49" ht="15" customHeight="1">
      <c r="AW557" s="120">
        <v>273</v>
      </c>
    </row>
    <row r="558" spans="49:49" ht="15" customHeight="1">
      <c r="AW558" s="120">
        <v>274</v>
      </c>
    </row>
    <row r="559" spans="49:49" ht="15" customHeight="1">
      <c r="AW559" s="120">
        <v>275</v>
      </c>
    </row>
    <row r="560" spans="49:49" ht="15" customHeight="1">
      <c r="AW560" s="120">
        <v>276</v>
      </c>
    </row>
    <row r="561" spans="49:49" ht="15" customHeight="1">
      <c r="AW561" s="120">
        <v>277</v>
      </c>
    </row>
    <row r="562" spans="49:49" ht="15" customHeight="1">
      <c r="AW562" s="120">
        <v>278</v>
      </c>
    </row>
    <row r="563" spans="49:49" ht="15" customHeight="1">
      <c r="AW563" s="120">
        <v>279</v>
      </c>
    </row>
    <row r="564" spans="49:49" ht="15" customHeight="1">
      <c r="AW564" s="120">
        <v>280</v>
      </c>
    </row>
    <row r="565" spans="49:49" ht="15" customHeight="1">
      <c r="AW565" s="120">
        <v>281</v>
      </c>
    </row>
    <row r="566" spans="49:49" ht="15" customHeight="1">
      <c r="AW566" s="120">
        <v>282</v>
      </c>
    </row>
    <row r="567" spans="49:49" ht="15" customHeight="1">
      <c r="AW567" s="120">
        <v>283</v>
      </c>
    </row>
    <row r="568" spans="49:49" ht="15" customHeight="1">
      <c r="AW568" s="120">
        <v>284</v>
      </c>
    </row>
    <row r="569" spans="49:49" ht="15" customHeight="1">
      <c r="AW569" s="120">
        <v>285</v>
      </c>
    </row>
    <row r="570" spans="49:49" ht="15" customHeight="1">
      <c r="AW570" s="120">
        <v>286</v>
      </c>
    </row>
    <row r="571" spans="49:49" ht="15" customHeight="1">
      <c r="AW571" s="120">
        <v>287</v>
      </c>
    </row>
    <row r="572" spans="49:49" ht="15" customHeight="1">
      <c r="AW572" s="120">
        <v>288</v>
      </c>
    </row>
    <row r="573" spans="49:49" ht="15" customHeight="1">
      <c r="AW573" s="120">
        <v>289</v>
      </c>
    </row>
    <row r="574" spans="49:49" ht="15" customHeight="1">
      <c r="AW574" s="120">
        <v>290</v>
      </c>
    </row>
    <row r="575" spans="49:49" ht="15" customHeight="1">
      <c r="AW575" s="120">
        <v>291</v>
      </c>
    </row>
    <row r="576" spans="49:49" ht="15" customHeight="1">
      <c r="AW576" s="120">
        <v>292</v>
      </c>
    </row>
    <row r="577" spans="49:49" ht="15" customHeight="1">
      <c r="AW577" s="120">
        <v>293</v>
      </c>
    </row>
    <row r="578" spans="49:49" ht="15" customHeight="1">
      <c r="AW578" s="120">
        <v>294</v>
      </c>
    </row>
    <row r="579" spans="49:49" ht="15" customHeight="1">
      <c r="AW579" s="120">
        <v>295</v>
      </c>
    </row>
    <row r="580" spans="49:49" ht="15" customHeight="1">
      <c r="AW580" s="120">
        <v>296</v>
      </c>
    </row>
    <row r="581" spans="49:49" ht="15" customHeight="1">
      <c r="AW581" s="120">
        <v>297</v>
      </c>
    </row>
    <row r="582" spans="49:49" ht="15" customHeight="1">
      <c r="AW582" s="120">
        <v>298</v>
      </c>
    </row>
    <row r="583" spans="49:49" ht="15" customHeight="1">
      <c r="AW583" s="120">
        <v>299</v>
      </c>
    </row>
    <row r="584" spans="49:49" ht="15" customHeight="1">
      <c r="AW584" s="120">
        <v>300</v>
      </c>
    </row>
    <row r="585" spans="49:49" ht="15" customHeight="1">
      <c r="AW585" s="120">
        <v>301</v>
      </c>
    </row>
    <row r="586" spans="49:49" ht="15" customHeight="1">
      <c r="AW586" s="120">
        <v>302</v>
      </c>
    </row>
    <row r="587" spans="49:49" ht="15" customHeight="1">
      <c r="AW587" s="120">
        <v>303</v>
      </c>
    </row>
    <row r="588" spans="49:49" ht="15" customHeight="1">
      <c r="AW588" s="120">
        <v>304</v>
      </c>
    </row>
    <row r="589" spans="49:49" ht="15" customHeight="1">
      <c r="AW589" s="120">
        <v>305</v>
      </c>
    </row>
    <row r="590" spans="49:49" ht="15" customHeight="1">
      <c r="AW590" s="120">
        <v>306</v>
      </c>
    </row>
    <row r="591" spans="49:49" ht="15" customHeight="1">
      <c r="AW591" s="120">
        <v>307</v>
      </c>
    </row>
    <row r="592" spans="49:49" ht="15" customHeight="1">
      <c r="AW592" s="120">
        <v>308</v>
      </c>
    </row>
    <row r="593" spans="49:49" ht="15" customHeight="1">
      <c r="AW593" s="120">
        <v>309</v>
      </c>
    </row>
    <row r="594" spans="49:49" ht="15" customHeight="1">
      <c r="AW594" s="120">
        <v>310</v>
      </c>
    </row>
    <row r="595" spans="49:49" ht="15" customHeight="1">
      <c r="AW595" s="120">
        <v>311</v>
      </c>
    </row>
    <row r="596" spans="49:49" ht="15" customHeight="1">
      <c r="AW596" s="120">
        <v>312</v>
      </c>
    </row>
    <row r="597" spans="49:49" ht="15" customHeight="1">
      <c r="AW597" s="120">
        <v>313</v>
      </c>
    </row>
    <row r="598" spans="49:49" ht="15" customHeight="1">
      <c r="AW598" s="120">
        <v>314</v>
      </c>
    </row>
    <row r="599" spans="49:49" ht="15" customHeight="1">
      <c r="AW599" s="120">
        <v>315</v>
      </c>
    </row>
    <row r="600" spans="49:49" ht="15" customHeight="1">
      <c r="AW600" s="120">
        <v>316</v>
      </c>
    </row>
    <row r="601" spans="49:49" ht="15" customHeight="1">
      <c r="AW601" s="120">
        <v>317</v>
      </c>
    </row>
    <row r="602" spans="49:49" ht="15" customHeight="1">
      <c r="AW602" s="120">
        <v>318</v>
      </c>
    </row>
    <row r="603" spans="49:49" ht="15" customHeight="1">
      <c r="AW603" s="120">
        <v>319</v>
      </c>
    </row>
    <row r="604" spans="49:49" ht="15" customHeight="1">
      <c r="AW604" s="120">
        <v>320</v>
      </c>
    </row>
    <row r="605" spans="49:49" ht="15" customHeight="1">
      <c r="AW605" s="120">
        <v>321</v>
      </c>
    </row>
    <row r="606" spans="49:49" ht="15" customHeight="1">
      <c r="AW606" s="120">
        <v>322</v>
      </c>
    </row>
    <row r="607" spans="49:49" ht="15" customHeight="1">
      <c r="AW607" s="120">
        <v>323</v>
      </c>
    </row>
    <row r="608" spans="49:49" ht="15" customHeight="1">
      <c r="AW608" s="120">
        <v>324</v>
      </c>
    </row>
    <row r="609" spans="49:49" ht="15" customHeight="1">
      <c r="AW609" s="120">
        <v>325</v>
      </c>
    </row>
    <row r="610" spans="49:49" ht="15" customHeight="1">
      <c r="AW610" s="120">
        <v>326</v>
      </c>
    </row>
    <row r="611" spans="49:49" ht="15" customHeight="1">
      <c r="AW611" s="120">
        <v>327</v>
      </c>
    </row>
    <row r="612" spans="49:49" ht="15" customHeight="1">
      <c r="AW612" s="120">
        <v>328</v>
      </c>
    </row>
    <row r="613" spans="49:49" ht="15" customHeight="1">
      <c r="AW613" s="120">
        <v>329</v>
      </c>
    </row>
    <row r="614" spans="49:49" ht="15" customHeight="1">
      <c r="AW614" s="120">
        <v>330</v>
      </c>
    </row>
    <row r="615" spans="49:49" ht="15" customHeight="1">
      <c r="AW615" s="120">
        <v>331</v>
      </c>
    </row>
    <row r="616" spans="49:49" ht="15" customHeight="1">
      <c r="AW616" s="120">
        <v>332</v>
      </c>
    </row>
    <row r="617" spans="49:49" ht="15" customHeight="1">
      <c r="AW617" s="120">
        <v>333</v>
      </c>
    </row>
    <row r="618" spans="49:49" ht="15" customHeight="1">
      <c r="AW618" s="120">
        <v>334</v>
      </c>
    </row>
    <row r="619" spans="49:49" ht="15" customHeight="1">
      <c r="AW619" s="120">
        <v>335</v>
      </c>
    </row>
    <row r="620" spans="49:49" ht="15" customHeight="1">
      <c r="AW620" s="120">
        <v>336</v>
      </c>
    </row>
    <row r="621" spans="49:49" ht="15" customHeight="1">
      <c r="AW621" s="120">
        <v>337</v>
      </c>
    </row>
    <row r="622" spans="49:49" ht="15" customHeight="1">
      <c r="AW622" s="120">
        <v>338</v>
      </c>
    </row>
    <row r="623" spans="49:49" ht="15" customHeight="1">
      <c r="AW623" s="120">
        <v>339</v>
      </c>
    </row>
    <row r="624" spans="49:49" ht="15" customHeight="1">
      <c r="AW624" s="120">
        <v>340</v>
      </c>
    </row>
    <row r="625" spans="49:49" ht="15" customHeight="1">
      <c r="AW625" s="120">
        <v>341</v>
      </c>
    </row>
    <row r="626" spans="49:49" ht="15" customHeight="1">
      <c r="AW626" s="120">
        <v>342</v>
      </c>
    </row>
    <row r="627" spans="49:49" ht="15" customHeight="1">
      <c r="AW627" s="120">
        <v>343</v>
      </c>
    </row>
    <row r="628" spans="49:49" ht="15" customHeight="1">
      <c r="AW628" s="120">
        <v>344</v>
      </c>
    </row>
    <row r="629" spans="49:49" ht="15" customHeight="1">
      <c r="AW629" s="120">
        <v>345</v>
      </c>
    </row>
    <row r="630" spans="49:49" ht="15" customHeight="1">
      <c r="AW630" s="120">
        <v>346</v>
      </c>
    </row>
    <row r="631" spans="49:49" ht="15" customHeight="1">
      <c r="AW631" s="120">
        <v>347</v>
      </c>
    </row>
    <row r="632" spans="49:49" ht="15" customHeight="1">
      <c r="AW632" s="120">
        <v>348</v>
      </c>
    </row>
    <row r="633" spans="49:49" ht="15" customHeight="1">
      <c r="AW633" s="120">
        <v>349</v>
      </c>
    </row>
    <row r="634" spans="49:49" ht="15" customHeight="1">
      <c r="AW634" s="120">
        <v>350</v>
      </c>
    </row>
    <row r="635" spans="49:49" ht="15" customHeight="1">
      <c r="AW635" s="120">
        <v>351</v>
      </c>
    </row>
    <row r="636" spans="49:49" ht="15" customHeight="1">
      <c r="AW636" s="120">
        <v>352</v>
      </c>
    </row>
    <row r="637" spans="49:49" ht="15" customHeight="1">
      <c r="AW637" s="120">
        <v>353</v>
      </c>
    </row>
    <row r="638" spans="49:49" ht="15" customHeight="1">
      <c r="AW638" s="120">
        <v>354</v>
      </c>
    </row>
    <row r="639" spans="49:49" ht="15" customHeight="1">
      <c r="AW639" s="120">
        <v>355</v>
      </c>
    </row>
    <row r="640" spans="49:49" ht="15" customHeight="1">
      <c r="AW640" s="120">
        <v>356</v>
      </c>
    </row>
    <row r="641" spans="49:49" ht="15" customHeight="1">
      <c r="AW641" s="120">
        <v>357</v>
      </c>
    </row>
    <row r="642" spans="49:49" ht="15" customHeight="1">
      <c r="AW642" s="120">
        <v>358</v>
      </c>
    </row>
    <row r="643" spans="49:49" ht="15" customHeight="1">
      <c r="AW643" s="120">
        <v>359</v>
      </c>
    </row>
    <row r="644" spans="49:49" ht="15" customHeight="1">
      <c r="AW644" s="120">
        <v>360</v>
      </c>
    </row>
    <row r="645" spans="49:49" ht="15" customHeight="1">
      <c r="AW645" s="120">
        <v>361</v>
      </c>
    </row>
    <row r="646" spans="49:49" ht="15" customHeight="1">
      <c r="AW646" s="120">
        <v>362</v>
      </c>
    </row>
    <row r="647" spans="49:49" ht="15" customHeight="1">
      <c r="AW647" s="120">
        <v>363</v>
      </c>
    </row>
    <row r="648" spans="49:49" ht="15" customHeight="1">
      <c r="AW648" s="120">
        <v>364</v>
      </c>
    </row>
    <row r="649" spans="49:49" ht="15" customHeight="1">
      <c r="AW649" s="120">
        <v>365</v>
      </c>
    </row>
    <row r="650" spans="49:49" ht="15" customHeight="1">
      <c r="AW650" s="120">
        <v>366</v>
      </c>
    </row>
    <row r="651" spans="49:49" ht="15" customHeight="1">
      <c r="AW651" s="120">
        <v>367</v>
      </c>
    </row>
    <row r="652" spans="49:49" ht="15" customHeight="1">
      <c r="AW652" s="120">
        <v>368</v>
      </c>
    </row>
    <row r="653" spans="49:49" ht="15" customHeight="1">
      <c r="AW653" s="120">
        <v>369</v>
      </c>
    </row>
    <row r="654" spans="49:49" ht="15" customHeight="1">
      <c r="AW654" s="120">
        <v>370</v>
      </c>
    </row>
    <row r="655" spans="49:49" ht="15" customHeight="1">
      <c r="AW655" s="120">
        <v>371</v>
      </c>
    </row>
    <row r="656" spans="49:49" ht="15" customHeight="1">
      <c r="AW656" s="120">
        <v>372</v>
      </c>
    </row>
    <row r="657" spans="49:49" ht="15" customHeight="1">
      <c r="AW657" s="120">
        <v>373</v>
      </c>
    </row>
    <row r="658" spans="49:49" ht="15" customHeight="1">
      <c r="AW658" s="120">
        <v>374</v>
      </c>
    </row>
    <row r="659" spans="49:49" ht="15" customHeight="1">
      <c r="AW659" s="120">
        <v>375</v>
      </c>
    </row>
    <row r="660" spans="49:49" ht="15" customHeight="1">
      <c r="AW660" s="120">
        <v>376</v>
      </c>
    </row>
    <row r="661" spans="49:49" ht="15" customHeight="1">
      <c r="AW661" s="120">
        <v>377</v>
      </c>
    </row>
    <row r="662" spans="49:49" ht="15" customHeight="1">
      <c r="AW662" s="120">
        <v>378</v>
      </c>
    </row>
    <row r="663" spans="49:49" ht="15" customHeight="1">
      <c r="AW663" s="120">
        <v>379</v>
      </c>
    </row>
    <row r="664" spans="49:49" ht="15" customHeight="1">
      <c r="AW664" s="120">
        <v>380</v>
      </c>
    </row>
    <row r="665" spans="49:49" ht="15" customHeight="1">
      <c r="AW665" s="120">
        <v>381</v>
      </c>
    </row>
    <row r="666" spans="49:49" ht="15" customHeight="1">
      <c r="AW666" s="120">
        <v>382</v>
      </c>
    </row>
    <row r="667" spans="49:49" ht="15" customHeight="1">
      <c r="AW667" s="120">
        <v>383</v>
      </c>
    </row>
    <row r="668" spans="49:49" ht="15" customHeight="1">
      <c r="AW668" s="120">
        <v>384</v>
      </c>
    </row>
    <row r="669" spans="49:49" ht="15" customHeight="1">
      <c r="AW669" s="120">
        <v>385</v>
      </c>
    </row>
    <row r="670" spans="49:49" ht="15" customHeight="1">
      <c r="AW670" s="120">
        <v>386</v>
      </c>
    </row>
    <row r="671" spans="49:49" ht="15" customHeight="1">
      <c r="AW671" s="120">
        <v>387</v>
      </c>
    </row>
    <row r="672" spans="49:49" ht="15" customHeight="1">
      <c r="AW672" s="120">
        <v>388</v>
      </c>
    </row>
    <row r="673" spans="49:49" ht="15" customHeight="1">
      <c r="AW673" s="120">
        <v>389</v>
      </c>
    </row>
    <row r="674" spans="49:49" ht="15" customHeight="1">
      <c r="AW674" s="120">
        <v>390</v>
      </c>
    </row>
    <row r="675" spans="49:49" ht="15" customHeight="1">
      <c r="AW675" s="120">
        <v>391</v>
      </c>
    </row>
    <row r="676" spans="49:49" ht="15" customHeight="1">
      <c r="AW676" s="120">
        <v>392</v>
      </c>
    </row>
    <row r="677" spans="49:49" ht="15" customHeight="1">
      <c r="AW677" s="120">
        <v>393</v>
      </c>
    </row>
    <row r="678" spans="49:49" ht="15" customHeight="1">
      <c r="AW678" s="120">
        <v>394</v>
      </c>
    </row>
    <row r="679" spans="49:49" ht="15" customHeight="1">
      <c r="AW679" s="120">
        <v>395</v>
      </c>
    </row>
    <row r="680" spans="49:49" ht="15" customHeight="1">
      <c r="AW680" s="120">
        <v>396</v>
      </c>
    </row>
    <row r="681" spans="49:49" ht="15" customHeight="1">
      <c r="AW681" s="120">
        <v>397</v>
      </c>
    </row>
    <row r="682" spans="49:49" ht="15" customHeight="1">
      <c r="AW682" s="120">
        <v>398</v>
      </c>
    </row>
    <row r="683" spans="49:49" ht="15" customHeight="1">
      <c r="AW683" s="120">
        <v>399</v>
      </c>
    </row>
    <row r="684" spans="49:49" ht="15" customHeight="1">
      <c r="AW684" s="120">
        <v>400</v>
      </c>
    </row>
    <row r="685" spans="49:49" ht="15" customHeight="1">
      <c r="AW685" s="120">
        <v>401</v>
      </c>
    </row>
    <row r="686" spans="49:49" ht="15" customHeight="1">
      <c r="AW686" s="120">
        <v>402</v>
      </c>
    </row>
    <row r="687" spans="49:49" ht="15" customHeight="1">
      <c r="AW687" s="120">
        <v>403</v>
      </c>
    </row>
    <row r="688" spans="49:49" ht="15" customHeight="1">
      <c r="AW688" s="120">
        <v>404</v>
      </c>
    </row>
    <row r="689" spans="49:49" ht="15" customHeight="1">
      <c r="AW689" s="120">
        <v>405</v>
      </c>
    </row>
    <row r="690" spans="49:49" ht="15" customHeight="1">
      <c r="AW690" s="120">
        <v>406</v>
      </c>
    </row>
    <row r="691" spans="49:49" ht="15" customHeight="1">
      <c r="AW691" s="120">
        <v>407</v>
      </c>
    </row>
    <row r="692" spans="49:49" ht="15" customHeight="1">
      <c r="AW692" s="120">
        <v>408</v>
      </c>
    </row>
    <row r="693" spans="49:49" ht="15" customHeight="1">
      <c r="AW693" s="120">
        <v>409</v>
      </c>
    </row>
    <row r="694" spans="49:49" ht="15" customHeight="1">
      <c r="AW694" s="120">
        <v>410</v>
      </c>
    </row>
    <row r="695" spans="49:49" ht="15" customHeight="1">
      <c r="AW695" s="120">
        <v>411</v>
      </c>
    </row>
    <row r="696" spans="49:49" ht="15" customHeight="1">
      <c r="AW696" s="120">
        <v>412</v>
      </c>
    </row>
    <row r="697" spans="49:49" ht="15" customHeight="1">
      <c r="AW697" s="120">
        <v>413</v>
      </c>
    </row>
    <row r="698" spans="49:49" ht="15" customHeight="1">
      <c r="AW698" s="120">
        <v>414</v>
      </c>
    </row>
    <row r="699" spans="49:49" ht="15" customHeight="1">
      <c r="AW699" s="120">
        <v>415</v>
      </c>
    </row>
    <row r="700" spans="49:49" ht="15" customHeight="1">
      <c r="AW700" s="120">
        <v>416</v>
      </c>
    </row>
    <row r="701" spans="49:49" ht="15" customHeight="1">
      <c r="AW701" s="120">
        <v>417</v>
      </c>
    </row>
    <row r="702" spans="49:49" ht="15" customHeight="1">
      <c r="AW702" s="120">
        <v>418</v>
      </c>
    </row>
    <row r="703" spans="49:49" ht="15" customHeight="1">
      <c r="AW703" s="120">
        <v>419</v>
      </c>
    </row>
    <row r="704" spans="49:49" ht="15" customHeight="1">
      <c r="AW704" s="120">
        <v>420</v>
      </c>
    </row>
    <row r="705" spans="49:49" ht="15" customHeight="1">
      <c r="AW705" s="120">
        <v>421</v>
      </c>
    </row>
    <row r="706" spans="49:49" ht="15" customHeight="1">
      <c r="AW706" s="120">
        <v>422</v>
      </c>
    </row>
    <row r="707" spans="49:49" ht="15" customHeight="1">
      <c r="AW707" s="120">
        <v>423</v>
      </c>
    </row>
    <row r="708" spans="49:49" ht="15" customHeight="1">
      <c r="AW708" s="120">
        <v>424</v>
      </c>
    </row>
    <row r="709" spans="49:49" ht="15" customHeight="1">
      <c r="AW709" s="120">
        <v>425</v>
      </c>
    </row>
    <row r="710" spans="49:49" ht="15" customHeight="1">
      <c r="AW710" s="120">
        <v>426</v>
      </c>
    </row>
    <row r="711" spans="49:49" ht="15" customHeight="1">
      <c r="AW711" s="120">
        <v>427</v>
      </c>
    </row>
    <row r="712" spans="49:49" ht="15" customHeight="1">
      <c r="AW712" s="120">
        <v>428</v>
      </c>
    </row>
    <row r="713" spans="49:49" ht="15" customHeight="1">
      <c r="AW713" s="120">
        <v>429</v>
      </c>
    </row>
    <row r="714" spans="49:49" ht="15" customHeight="1">
      <c r="AW714" s="120">
        <v>430</v>
      </c>
    </row>
    <row r="715" spans="49:49" ht="15" customHeight="1">
      <c r="AW715" s="120">
        <v>431</v>
      </c>
    </row>
    <row r="716" spans="49:49" ht="15" customHeight="1">
      <c r="AW716" s="120">
        <v>432</v>
      </c>
    </row>
    <row r="717" spans="49:49" ht="15" customHeight="1">
      <c r="AW717" s="120">
        <v>433</v>
      </c>
    </row>
    <row r="718" spans="49:49" ht="15" customHeight="1">
      <c r="AW718" s="120">
        <v>434</v>
      </c>
    </row>
    <row r="719" spans="49:49" ht="15" customHeight="1">
      <c r="AW719" s="120">
        <v>435</v>
      </c>
    </row>
    <row r="720" spans="49:49" ht="15" customHeight="1">
      <c r="AW720" s="120">
        <v>436</v>
      </c>
    </row>
    <row r="721" spans="49:49" ht="15" customHeight="1">
      <c r="AW721" s="120">
        <v>437</v>
      </c>
    </row>
    <row r="722" spans="49:49" ht="15" customHeight="1">
      <c r="AW722" s="120">
        <v>438</v>
      </c>
    </row>
    <row r="723" spans="49:49" ht="15" customHeight="1">
      <c r="AW723" s="120">
        <v>439</v>
      </c>
    </row>
    <row r="724" spans="49:49" ht="15" customHeight="1">
      <c r="AW724" s="120">
        <v>440</v>
      </c>
    </row>
    <row r="725" spans="49:49" ht="15" customHeight="1">
      <c r="AW725" s="120">
        <v>441</v>
      </c>
    </row>
    <row r="726" spans="49:49" ht="15" customHeight="1">
      <c r="AW726" s="120">
        <v>442</v>
      </c>
    </row>
    <row r="727" spans="49:49" ht="15" customHeight="1">
      <c r="AW727" s="120">
        <v>443</v>
      </c>
    </row>
    <row r="728" spans="49:49" ht="15" customHeight="1">
      <c r="AW728" s="120">
        <v>444</v>
      </c>
    </row>
    <row r="729" spans="49:49" ht="15" customHeight="1">
      <c r="AW729" s="120">
        <v>445</v>
      </c>
    </row>
    <row r="730" spans="49:49" ht="15" customHeight="1">
      <c r="AW730" s="120">
        <v>446</v>
      </c>
    </row>
    <row r="731" spans="49:49" ht="15" customHeight="1">
      <c r="AW731" s="120">
        <v>447</v>
      </c>
    </row>
    <row r="732" spans="49:49" ht="15" customHeight="1">
      <c r="AW732" s="120">
        <v>448</v>
      </c>
    </row>
    <row r="733" spans="49:49" ht="15" customHeight="1">
      <c r="AW733" s="120">
        <v>449</v>
      </c>
    </row>
    <row r="734" spans="49:49" ht="15" customHeight="1">
      <c r="AW734" s="120">
        <v>450</v>
      </c>
    </row>
    <row r="735" spans="49:49" ht="15" customHeight="1">
      <c r="AW735" s="120">
        <v>451</v>
      </c>
    </row>
    <row r="736" spans="49:49" ht="15" customHeight="1">
      <c r="AW736" s="120">
        <v>452</v>
      </c>
    </row>
    <row r="737" spans="49:49" ht="15" customHeight="1">
      <c r="AW737" s="120">
        <v>453</v>
      </c>
    </row>
    <row r="738" spans="49:49" ht="15" customHeight="1">
      <c r="AW738" s="120">
        <v>454</v>
      </c>
    </row>
    <row r="739" spans="49:49" ht="15" customHeight="1">
      <c r="AW739" s="120">
        <v>455</v>
      </c>
    </row>
    <row r="740" spans="49:49" ht="15" customHeight="1">
      <c r="AW740" s="120">
        <v>456</v>
      </c>
    </row>
    <row r="741" spans="49:49" ht="15" customHeight="1">
      <c r="AW741" s="120">
        <v>457</v>
      </c>
    </row>
    <row r="742" spans="49:49" ht="15" customHeight="1">
      <c r="AW742" s="120">
        <v>458</v>
      </c>
    </row>
    <row r="743" spans="49:49" ht="15" customHeight="1">
      <c r="AW743" s="120">
        <v>459</v>
      </c>
    </row>
    <row r="744" spans="49:49" ht="15" customHeight="1">
      <c r="AW744" s="120">
        <v>460</v>
      </c>
    </row>
    <row r="745" spans="49:49" ht="15" customHeight="1">
      <c r="AW745" s="120">
        <v>461</v>
      </c>
    </row>
    <row r="746" spans="49:49" ht="15" customHeight="1">
      <c r="AW746" s="120">
        <v>462</v>
      </c>
    </row>
    <row r="747" spans="49:49" ht="15" customHeight="1">
      <c r="AW747" s="120">
        <v>463</v>
      </c>
    </row>
    <row r="748" spans="49:49" ht="15" customHeight="1">
      <c r="AW748" s="120">
        <v>464</v>
      </c>
    </row>
    <row r="749" spans="49:49" ht="15" customHeight="1">
      <c r="AW749" s="120">
        <v>465</v>
      </c>
    </row>
    <row r="750" spans="49:49" ht="15" customHeight="1">
      <c r="AW750" s="120">
        <v>466</v>
      </c>
    </row>
    <row r="751" spans="49:49" ht="15" customHeight="1">
      <c r="AW751" s="120">
        <v>467</v>
      </c>
    </row>
    <row r="752" spans="49:49" ht="15" customHeight="1">
      <c r="AW752" s="120">
        <v>468</v>
      </c>
    </row>
    <row r="753" spans="49:49" ht="15" customHeight="1">
      <c r="AW753" s="120">
        <v>469</v>
      </c>
    </row>
    <row r="754" spans="49:49" ht="15" customHeight="1">
      <c r="AW754" s="120">
        <v>470</v>
      </c>
    </row>
    <row r="755" spans="49:49" ht="15" customHeight="1">
      <c r="AW755" s="120">
        <v>471</v>
      </c>
    </row>
    <row r="756" spans="49:49" ht="15" customHeight="1">
      <c r="AW756" s="120">
        <v>472</v>
      </c>
    </row>
    <row r="757" spans="49:49" ht="15" customHeight="1">
      <c r="AW757" s="120">
        <v>473</v>
      </c>
    </row>
    <row r="758" spans="49:49" ht="15" customHeight="1">
      <c r="AW758" s="120">
        <v>474</v>
      </c>
    </row>
    <row r="759" spans="49:49" ht="15" customHeight="1">
      <c r="AW759" s="120">
        <v>475</v>
      </c>
    </row>
    <row r="760" spans="49:49" ht="15" customHeight="1">
      <c r="AW760" s="120">
        <v>476</v>
      </c>
    </row>
    <row r="761" spans="49:49" ht="15" customHeight="1">
      <c r="AW761" s="120">
        <v>477</v>
      </c>
    </row>
    <row r="762" spans="49:49" ht="15" customHeight="1">
      <c r="AW762" s="120">
        <v>478</v>
      </c>
    </row>
    <row r="763" spans="49:49" ht="15" customHeight="1">
      <c r="AW763" s="120">
        <v>479</v>
      </c>
    </row>
    <row r="764" spans="49:49" ht="15" customHeight="1">
      <c r="AW764" s="120">
        <v>480</v>
      </c>
    </row>
    <row r="765" spans="49:49" ht="15" customHeight="1">
      <c r="AW765" s="120">
        <v>481</v>
      </c>
    </row>
    <row r="766" spans="49:49" ht="15" customHeight="1">
      <c r="AW766" s="120">
        <v>482</v>
      </c>
    </row>
    <row r="767" spans="49:49" ht="15" customHeight="1">
      <c r="AW767" s="120">
        <v>483</v>
      </c>
    </row>
    <row r="768" spans="49:49" ht="15" customHeight="1">
      <c r="AW768" s="120">
        <v>484</v>
      </c>
    </row>
    <row r="769" spans="49:49" ht="15" customHeight="1">
      <c r="AW769" s="120">
        <v>485</v>
      </c>
    </row>
    <row r="770" spans="49:49" ht="15" customHeight="1">
      <c r="AW770" s="120">
        <v>486</v>
      </c>
    </row>
    <row r="771" spans="49:49" ht="15" customHeight="1">
      <c r="AW771" s="120">
        <v>487</v>
      </c>
    </row>
    <row r="772" spans="49:49" ht="15" customHeight="1">
      <c r="AW772" s="120">
        <v>488</v>
      </c>
    </row>
    <row r="773" spans="49:49" ht="15" customHeight="1">
      <c r="AW773" s="120">
        <v>489</v>
      </c>
    </row>
    <row r="774" spans="49:49" ht="15" customHeight="1">
      <c r="AW774" s="120">
        <v>490</v>
      </c>
    </row>
    <row r="775" spans="49:49" ht="15" customHeight="1">
      <c r="AW775" s="120">
        <v>491</v>
      </c>
    </row>
    <row r="776" spans="49:49" ht="15" customHeight="1">
      <c r="AW776" s="120">
        <v>492</v>
      </c>
    </row>
    <row r="777" spans="49:49" ht="15" customHeight="1">
      <c r="AW777" s="120">
        <v>493</v>
      </c>
    </row>
    <row r="778" spans="49:49" ht="15" customHeight="1">
      <c r="AW778" s="120">
        <v>494</v>
      </c>
    </row>
    <row r="779" spans="49:49" ht="15" customHeight="1">
      <c r="AW779" s="120">
        <v>495</v>
      </c>
    </row>
    <row r="780" spans="49:49" ht="15" customHeight="1">
      <c r="AW780" s="120">
        <v>496</v>
      </c>
    </row>
    <row r="781" spans="49:49" ht="15" customHeight="1">
      <c r="AW781" s="120">
        <v>497</v>
      </c>
    </row>
    <row r="782" spans="49:49" ht="15" customHeight="1">
      <c r="AW782" s="120">
        <v>498</v>
      </c>
    </row>
    <row r="783" spans="49:49" ht="15" customHeight="1">
      <c r="AW783" s="120">
        <v>499</v>
      </c>
    </row>
    <row r="784" spans="49:49" ht="15" customHeight="1">
      <c r="AW784" s="120">
        <v>500</v>
      </c>
    </row>
    <row r="785" spans="49:49" ht="15" customHeight="1">
      <c r="AW785" s="120">
        <v>501</v>
      </c>
    </row>
    <row r="786" spans="49:49" ht="15" customHeight="1">
      <c r="AW786" s="120">
        <v>502</v>
      </c>
    </row>
    <row r="787" spans="49:49" ht="15" customHeight="1">
      <c r="AW787" s="120">
        <v>503</v>
      </c>
    </row>
    <row r="788" spans="49:49" ht="15" customHeight="1">
      <c r="AW788" s="120">
        <v>504</v>
      </c>
    </row>
    <row r="789" spans="49:49" ht="15" customHeight="1">
      <c r="AW789" s="120">
        <v>505</v>
      </c>
    </row>
    <row r="790" spans="49:49" ht="15" customHeight="1">
      <c r="AW790" s="120">
        <v>506</v>
      </c>
    </row>
    <row r="791" spans="49:49" ht="15" customHeight="1">
      <c r="AW791" s="120">
        <v>507</v>
      </c>
    </row>
    <row r="792" spans="49:49" ht="15" customHeight="1">
      <c r="AW792" s="120">
        <v>508</v>
      </c>
    </row>
    <row r="793" spans="49:49" ht="15" customHeight="1">
      <c r="AW793" s="120">
        <v>509</v>
      </c>
    </row>
    <row r="794" spans="49:49" ht="15" customHeight="1">
      <c r="AW794" s="120">
        <v>510</v>
      </c>
    </row>
    <row r="795" spans="49:49" ht="15" customHeight="1">
      <c r="AW795" s="120">
        <v>511</v>
      </c>
    </row>
    <row r="796" spans="49:49" ht="15" customHeight="1">
      <c r="AW796" s="120">
        <v>512</v>
      </c>
    </row>
    <row r="797" spans="49:49" ht="15" customHeight="1">
      <c r="AW797" s="120">
        <v>513</v>
      </c>
    </row>
    <row r="798" spans="49:49" ht="15" customHeight="1">
      <c r="AW798" s="120">
        <v>514</v>
      </c>
    </row>
    <row r="799" spans="49:49" ht="15" customHeight="1">
      <c r="AW799" s="120">
        <v>515</v>
      </c>
    </row>
    <row r="800" spans="49:49" ht="15" customHeight="1">
      <c r="AW800" s="120">
        <v>516</v>
      </c>
    </row>
    <row r="801" spans="49:49" ht="15" customHeight="1">
      <c r="AW801" s="120">
        <v>517</v>
      </c>
    </row>
    <row r="802" spans="49:49" ht="15" customHeight="1">
      <c r="AW802" s="120">
        <v>518</v>
      </c>
    </row>
    <row r="803" spans="49:49" ht="15" customHeight="1">
      <c r="AW803" s="120">
        <v>519</v>
      </c>
    </row>
    <row r="804" spans="49:49" ht="15" customHeight="1">
      <c r="AW804" s="120">
        <v>520</v>
      </c>
    </row>
    <row r="805" spans="49:49" ht="15" customHeight="1">
      <c r="AW805" s="120">
        <v>521</v>
      </c>
    </row>
    <row r="806" spans="49:49" ht="15" customHeight="1">
      <c r="AW806" s="120">
        <v>522</v>
      </c>
    </row>
    <row r="807" spans="49:49" ht="15" customHeight="1">
      <c r="AW807" s="120">
        <v>523</v>
      </c>
    </row>
    <row r="808" spans="49:49" ht="15" customHeight="1">
      <c r="AW808" s="120">
        <v>524</v>
      </c>
    </row>
    <row r="809" spans="49:49" ht="15" customHeight="1">
      <c r="AW809" s="120">
        <v>525</v>
      </c>
    </row>
    <row r="810" spans="49:49" ht="15" customHeight="1">
      <c r="AW810" s="120">
        <v>526</v>
      </c>
    </row>
    <row r="811" spans="49:49" ht="15" customHeight="1">
      <c r="AW811" s="120">
        <v>527</v>
      </c>
    </row>
    <row r="812" spans="49:49" ht="15" customHeight="1">
      <c r="AW812" s="120">
        <v>528</v>
      </c>
    </row>
    <row r="813" spans="49:49" ht="15" customHeight="1">
      <c r="AW813" s="120">
        <v>529</v>
      </c>
    </row>
    <row r="814" spans="49:49" ht="15" customHeight="1">
      <c r="AW814" s="120">
        <v>530</v>
      </c>
    </row>
    <row r="815" spans="49:49" ht="15" customHeight="1">
      <c r="AW815" s="120">
        <v>531</v>
      </c>
    </row>
    <row r="816" spans="49:49" ht="15" customHeight="1">
      <c r="AW816" s="120">
        <v>532</v>
      </c>
    </row>
    <row r="817" spans="49:49" ht="15" customHeight="1">
      <c r="AW817" s="120">
        <v>533</v>
      </c>
    </row>
    <row r="818" spans="49:49" ht="15" customHeight="1">
      <c r="AW818" s="120">
        <v>534</v>
      </c>
    </row>
    <row r="819" spans="49:49" ht="15" customHeight="1">
      <c r="AW819" s="120">
        <v>535</v>
      </c>
    </row>
    <row r="820" spans="49:49" ht="15" customHeight="1">
      <c r="AW820" s="120">
        <v>536</v>
      </c>
    </row>
    <row r="821" spans="49:49" ht="15" customHeight="1">
      <c r="AW821" s="120">
        <v>537</v>
      </c>
    </row>
    <row r="822" spans="49:49" ht="15" customHeight="1">
      <c r="AW822" s="120">
        <v>538</v>
      </c>
    </row>
    <row r="823" spans="49:49" ht="15" customHeight="1">
      <c r="AW823" s="120">
        <v>539</v>
      </c>
    </row>
    <row r="824" spans="49:49" ht="15" customHeight="1">
      <c r="AW824" s="120">
        <v>540</v>
      </c>
    </row>
    <row r="825" spans="49:49" ht="15" customHeight="1">
      <c r="AW825" s="120">
        <v>541</v>
      </c>
    </row>
    <row r="826" spans="49:49" ht="15" customHeight="1">
      <c r="AW826" s="120">
        <v>542</v>
      </c>
    </row>
    <row r="827" spans="49:49" ht="15" customHeight="1">
      <c r="AW827" s="120">
        <v>543</v>
      </c>
    </row>
    <row r="828" spans="49:49" ht="15" customHeight="1">
      <c r="AW828" s="120">
        <v>544</v>
      </c>
    </row>
    <row r="829" spans="49:49" ht="15" customHeight="1">
      <c r="AW829" s="120">
        <v>545</v>
      </c>
    </row>
    <row r="830" spans="49:49" ht="15" customHeight="1">
      <c r="AW830" s="120">
        <v>546</v>
      </c>
    </row>
    <row r="831" spans="49:49" ht="15" customHeight="1">
      <c r="AW831" s="120">
        <v>547</v>
      </c>
    </row>
    <row r="832" spans="49:49" ht="15" customHeight="1">
      <c r="AW832" s="120">
        <v>548</v>
      </c>
    </row>
    <row r="833" spans="49:49" ht="15" customHeight="1">
      <c r="AW833" s="120">
        <v>549</v>
      </c>
    </row>
    <row r="834" spans="49:49" ht="15" customHeight="1">
      <c r="AW834" s="120">
        <v>550</v>
      </c>
    </row>
    <row r="835" spans="49:49" ht="15" customHeight="1">
      <c r="AW835" s="120">
        <v>551</v>
      </c>
    </row>
    <row r="836" spans="49:49" ht="15" customHeight="1">
      <c r="AW836" s="120">
        <v>552</v>
      </c>
    </row>
    <row r="837" spans="49:49" ht="15" customHeight="1">
      <c r="AW837" s="120">
        <v>553</v>
      </c>
    </row>
    <row r="838" spans="49:49" ht="15" customHeight="1">
      <c r="AW838" s="120">
        <v>554</v>
      </c>
    </row>
    <row r="839" spans="49:49" ht="15" customHeight="1">
      <c r="AW839" s="120">
        <v>555</v>
      </c>
    </row>
    <row r="840" spans="49:49" ht="15" customHeight="1">
      <c r="AW840" s="120">
        <v>556</v>
      </c>
    </row>
    <row r="841" spans="49:49" ht="15" customHeight="1">
      <c r="AW841" s="120">
        <v>557</v>
      </c>
    </row>
    <row r="842" spans="49:49" ht="15" customHeight="1">
      <c r="AW842" s="120">
        <v>558</v>
      </c>
    </row>
    <row r="843" spans="49:49" ht="15" customHeight="1">
      <c r="AW843" s="120">
        <v>559</v>
      </c>
    </row>
    <row r="844" spans="49:49" ht="15" customHeight="1">
      <c r="AW844" s="120">
        <v>560</v>
      </c>
    </row>
    <row r="845" spans="49:49" ht="15" customHeight="1">
      <c r="AW845" s="120">
        <v>561</v>
      </c>
    </row>
    <row r="846" spans="49:49" ht="15" customHeight="1">
      <c r="AW846" s="120">
        <v>562</v>
      </c>
    </row>
    <row r="847" spans="49:49" ht="15" customHeight="1">
      <c r="AW847" s="120">
        <v>563</v>
      </c>
    </row>
    <row r="848" spans="49:49" ht="15" customHeight="1">
      <c r="AW848" s="120">
        <v>564</v>
      </c>
    </row>
    <row r="849" spans="49:49" ht="15" customHeight="1">
      <c r="AW849" s="120">
        <v>565</v>
      </c>
    </row>
    <row r="850" spans="49:49" ht="15" customHeight="1">
      <c r="AW850" s="120">
        <v>566</v>
      </c>
    </row>
    <row r="851" spans="49:49" ht="15" customHeight="1">
      <c r="AW851" s="120">
        <v>567</v>
      </c>
    </row>
    <row r="852" spans="49:49" ht="15" customHeight="1">
      <c r="AW852" s="120">
        <v>568</v>
      </c>
    </row>
    <row r="853" spans="49:49" ht="15" customHeight="1">
      <c r="AW853" s="120">
        <v>569</v>
      </c>
    </row>
    <row r="854" spans="49:49" ht="15" customHeight="1">
      <c r="AW854" s="120">
        <v>570</v>
      </c>
    </row>
    <row r="855" spans="49:49" ht="15" customHeight="1">
      <c r="AW855" s="120">
        <v>571</v>
      </c>
    </row>
    <row r="856" spans="49:49" ht="15" customHeight="1">
      <c r="AW856" s="120">
        <v>572</v>
      </c>
    </row>
    <row r="857" spans="49:49" ht="15" customHeight="1">
      <c r="AW857" s="120">
        <v>573</v>
      </c>
    </row>
    <row r="858" spans="49:49" ht="15" customHeight="1">
      <c r="AW858" s="120">
        <v>574</v>
      </c>
    </row>
    <row r="859" spans="49:49" ht="15" customHeight="1">
      <c r="AW859" s="120">
        <v>575</v>
      </c>
    </row>
    <row r="860" spans="49:49" ht="15" customHeight="1">
      <c r="AW860" s="120">
        <v>576</v>
      </c>
    </row>
    <row r="861" spans="49:49" ht="15" customHeight="1">
      <c r="AW861" s="120">
        <v>577</v>
      </c>
    </row>
    <row r="862" spans="49:49" ht="15" customHeight="1">
      <c r="AW862" s="120">
        <v>578</v>
      </c>
    </row>
    <row r="863" spans="49:49" ht="15" customHeight="1">
      <c r="AW863" s="120">
        <v>579</v>
      </c>
    </row>
    <row r="864" spans="49:49" ht="15" customHeight="1">
      <c r="AW864" s="120">
        <v>580</v>
      </c>
    </row>
    <row r="865" spans="49:49" ht="15" customHeight="1">
      <c r="AW865" s="120">
        <v>581</v>
      </c>
    </row>
    <row r="866" spans="49:49" ht="15" customHeight="1">
      <c r="AW866" s="120">
        <v>582</v>
      </c>
    </row>
    <row r="867" spans="49:49" ht="15" customHeight="1">
      <c r="AW867" s="120">
        <v>583</v>
      </c>
    </row>
    <row r="868" spans="49:49" ht="15" customHeight="1">
      <c r="AW868" s="120">
        <v>584</v>
      </c>
    </row>
    <row r="869" spans="49:49" ht="15" customHeight="1">
      <c r="AW869" s="120">
        <v>585</v>
      </c>
    </row>
    <row r="870" spans="49:49" ht="15" customHeight="1">
      <c r="AW870" s="120">
        <v>586</v>
      </c>
    </row>
    <row r="871" spans="49:49" ht="15" customHeight="1">
      <c r="AW871" s="120">
        <v>587</v>
      </c>
    </row>
    <row r="872" spans="49:49" ht="15" customHeight="1">
      <c r="AW872" s="120">
        <v>588</v>
      </c>
    </row>
    <row r="873" spans="49:49" ht="15" customHeight="1">
      <c r="AW873" s="120">
        <v>589</v>
      </c>
    </row>
    <row r="874" spans="49:49" ht="15" customHeight="1">
      <c r="AW874" s="120">
        <v>590</v>
      </c>
    </row>
    <row r="875" spans="49:49" ht="15" customHeight="1">
      <c r="AW875" s="120">
        <v>591</v>
      </c>
    </row>
    <row r="876" spans="49:49" ht="15" customHeight="1">
      <c r="AW876" s="120">
        <v>592</v>
      </c>
    </row>
    <row r="877" spans="49:49" ht="15" customHeight="1">
      <c r="AW877" s="120">
        <v>593</v>
      </c>
    </row>
    <row r="878" spans="49:49" ht="15" customHeight="1">
      <c r="AW878" s="120">
        <v>594</v>
      </c>
    </row>
    <row r="879" spans="49:49" ht="15" customHeight="1">
      <c r="AW879" s="120">
        <v>595</v>
      </c>
    </row>
    <row r="880" spans="49:49" ht="15" customHeight="1">
      <c r="AW880" s="120">
        <v>596</v>
      </c>
    </row>
    <row r="881" spans="49:49" ht="15" customHeight="1">
      <c r="AW881" s="120">
        <v>597</v>
      </c>
    </row>
    <row r="882" spans="49:49" ht="15" customHeight="1">
      <c r="AW882" s="120">
        <v>598</v>
      </c>
    </row>
    <row r="883" spans="49:49" ht="15" customHeight="1">
      <c r="AW883" s="120">
        <v>599</v>
      </c>
    </row>
    <row r="884" spans="49:49" ht="15" customHeight="1">
      <c r="AW884" s="120">
        <v>600</v>
      </c>
    </row>
    <row r="885" spans="49:49" ht="15" customHeight="1">
      <c r="AW885" s="120">
        <v>601</v>
      </c>
    </row>
    <row r="886" spans="49:49" ht="15" customHeight="1">
      <c r="AW886" s="120">
        <v>602</v>
      </c>
    </row>
    <row r="887" spans="49:49" ht="15" customHeight="1">
      <c r="AW887" s="120">
        <v>603</v>
      </c>
    </row>
    <row r="888" spans="49:49" ht="15" customHeight="1">
      <c r="AW888" s="120">
        <v>604</v>
      </c>
    </row>
    <row r="889" spans="49:49" ht="15" customHeight="1">
      <c r="AW889" s="120">
        <v>605</v>
      </c>
    </row>
    <row r="890" spans="49:49" ht="15" customHeight="1">
      <c r="AW890" s="120">
        <v>606</v>
      </c>
    </row>
    <row r="891" spans="49:49" ht="15" customHeight="1">
      <c r="AW891" s="120">
        <v>607</v>
      </c>
    </row>
    <row r="892" spans="49:49" ht="15" customHeight="1">
      <c r="AW892" s="120">
        <v>608</v>
      </c>
    </row>
    <row r="893" spans="49:49" ht="15" customHeight="1">
      <c r="AW893" s="120">
        <v>609</v>
      </c>
    </row>
    <row r="894" spans="49:49" ht="15" customHeight="1">
      <c r="AW894" s="120">
        <v>610</v>
      </c>
    </row>
    <row r="895" spans="49:49" ht="15" customHeight="1">
      <c r="AW895" s="120">
        <v>611</v>
      </c>
    </row>
    <row r="896" spans="49:49" ht="15" customHeight="1">
      <c r="AW896" s="120">
        <v>612</v>
      </c>
    </row>
    <row r="897" spans="49:49" ht="15" customHeight="1">
      <c r="AW897" s="120">
        <v>613</v>
      </c>
    </row>
    <row r="898" spans="49:49" ht="15" customHeight="1">
      <c r="AW898" s="120">
        <v>614</v>
      </c>
    </row>
    <row r="899" spans="49:49" ht="15" customHeight="1">
      <c r="AW899" s="120">
        <v>615</v>
      </c>
    </row>
    <row r="900" spans="49:49" ht="15" customHeight="1">
      <c r="AW900" s="120">
        <v>616</v>
      </c>
    </row>
    <row r="901" spans="49:49" ht="15" customHeight="1">
      <c r="AW901" s="120">
        <v>617</v>
      </c>
    </row>
    <row r="902" spans="49:49" ht="15" customHeight="1">
      <c r="AW902" s="120">
        <v>618</v>
      </c>
    </row>
    <row r="903" spans="49:49" ht="15" customHeight="1">
      <c r="AW903" s="120">
        <v>619</v>
      </c>
    </row>
    <row r="904" spans="49:49" ht="15" customHeight="1">
      <c r="AW904" s="120">
        <v>620</v>
      </c>
    </row>
    <row r="905" spans="49:49" ht="15" customHeight="1">
      <c r="AW905" s="120">
        <v>621</v>
      </c>
    </row>
    <row r="906" spans="49:49" ht="15" customHeight="1">
      <c r="AW906" s="120">
        <v>622</v>
      </c>
    </row>
    <row r="907" spans="49:49" ht="15" customHeight="1">
      <c r="AW907" s="120">
        <v>623</v>
      </c>
    </row>
    <row r="908" spans="49:49" ht="15" customHeight="1">
      <c r="AW908" s="120">
        <v>624</v>
      </c>
    </row>
    <row r="909" spans="49:49" ht="15" customHeight="1">
      <c r="AW909" s="120">
        <v>625</v>
      </c>
    </row>
    <row r="910" spans="49:49" ht="15" customHeight="1">
      <c r="AW910" s="120">
        <v>626</v>
      </c>
    </row>
    <row r="911" spans="49:49" ht="15" customHeight="1">
      <c r="AW911" s="120">
        <v>627</v>
      </c>
    </row>
    <row r="912" spans="49:49" ht="15" customHeight="1">
      <c r="AW912" s="120">
        <v>628</v>
      </c>
    </row>
    <row r="913" spans="49:49" ht="15" customHeight="1">
      <c r="AW913" s="120">
        <v>629</v>
      </c>
    </row>
    <row r="914" spans="49:49" ht="15" customHeight="1">
      <c r="AW914" s="120">
        <v>630</v>
      </c>
    </row>
    <row r="915" spans="49:49" ht="15" customHeight="1">
      <c r="AW915" s="120">
        <v>631</v>
      </c>
    </row>
    <row r="916" spans="49:49" ht="15" customHeight="1">
      <c r="AW916" s="120">
        <v>632</v>
      </c>
    </row>
    <row r="917" spans="49:49" ht="15" customHeight="1">
      <c r="AW917" s="120">
        <v>633</v>
      </c>
    </row>
    <row r="918" spans="49:49" ht="15" customHeight="1">
      <c r="AW918" s="120">
        <v>634</v>
      </c>
    </row>
    <row r="919" spans="49:49" ht="15" customHeight="1">
      <c r="AW919" s="120">
        <v>635</v>
      </c>
    </row>
    <row r="920" spans="49:49" ht="15" customHeight="1">
      <c r="AW920" s="120">
        <v>636</v>
      </c>
    </row>
    <row r="921" spans="49:49" ht="15" customHeight="1">
      <c r="AW921" s="120">
        <v>637</v>
      </c>
    </row>
    <row r="922" spans="49:49" ht="15" customHeight="1">
      <c r="AW922" s="120">
        <v>638</v>
      </c>
    </row>
    <row r="923" spans="49:49" ht="15" customHeight="1">
      <c r="AW923" s="120">
        <v>639</v>
      </c>
    </row>
    <row r="924" spans="49:49" ht="15" customHeight="1">
      <c r="AW924" s="120">
        <v>640</v>
      </c>
    </row>
    <row r="925" spans="49:49" ht="15" customHeight="1">
      <c r="AW925" s="120">
        <v>641</v>
      </c>
    </row>
    <row r="926" spans="49:49" ht="15" customHeight="1">
      <c r="AW926" s="120">
        <v>642</v>
      </c>
    </row>
    <row r="927" spans="49:49" ht="15" customHeight="1">
      <c r="AW927" s="120">
        <v>643</v>
      </c>
    </row>
    <row r="928" spans="49:49" ht="15" customHeight="1">
      <c r="AW928" s="120">
        <v>644</v>
      </c>
    </row>
    <row r="929" spans="49:49" ht="15" customHeight="1">
      <c r="AW929" s="120">
        <v>645</v>
      </c>
    </row>
    <row r="930" spans="49:49" ht="15" customHeight="1">
      <c r="AW930" s="120">
        <v>646</v>
      </c>
    </row>
    <row r="931" spans="49:49" ht="15" customHeight="1">
      <c r="AW931" s="120">
        <v>647</v>
      </c>
    </row>
    <row r="932" spans="49:49" ht="15" customHeight="1">
      <c r="AW932" s="120">
        <v>648</v>
      </c>
    </row>
    <row r="933" spans="49:49" ht="15" customHeight="1">
      <c r="AW933" s="120">
        <v>649</v>
      </c>
    </row>
    <row r="934" spans="49:49" ht="15" customHeight="1">
      <c r="AW934" s="120">
        <v>650</v>
      </c>
    </row>
    <row r="935" spans="49:49" ht="15" customHeight="1">
      <c r="AW935" s="120">
        <v>651</v>
      </c>
    </row>
    <row r="936" spans="49:49" ht="15" customHeight="1">
      <c r="AW936" s="120">
        <v>652</v>
      </c>
    </row>
    <row r="937" spans="49:49" ht="15" customHeight="1">
      <c r="AW937" s="120">
        <v>653</v>
      </c>
    </row>
    <row r="938" spans="49:49" ht="15" customHeight="1">
      <c r="AW938" s="120">
        <v>654</v>
      </c>
    </row>
    <row r="939" spans="49:49" ht="15" customHeight="1">
      <c r="AW939" s="120">
        <v>655</v>
      </c>
    </row>
    <row r="940" spans="49:49" ht="15" customHeight="1">
      <c r="AW940" s="120">
        <v>656</v>
      </c>
    </row>
    <row r="941" spans="49:49" ht="15" customHeight="1">
      <c r="AW941" s="120">
        <v>657</v>
      </c>
    </row>
    <row r="942" spans="49:49" ht="15" customHeight="1">
      <c r="AW942" s="120">
        <v>658</v>
      </c>
    </row>
    <row r="943" spans="49:49" ht="15" customHeight="1">
      <c r="AW943" s="120">
        <v>659</v>
      </c>
    </row>
    <row r="944" spans="49:49" ht="15" customHeight="1">
      <c r="AW944" s="120">
        <v>660</v>
      </c>
    </row>
    <row r="945" spans="49:49" ht="15" customHeight="1">
      <c r="AW945" s="120">
        <v>661</v>
      </c>
    </row>
    <row r="946" spans="49:49" ht="15" customHeight="1">
      <c r="AW946" s="120">
        <v>662</v>
      </c>
    </row>
    <row r="947" spans="49:49" ht="15" customHeight="1">
      <c r="AW947" s="120">
        <v>663</v>
      </c>
    </row>
    <row r="948" spans="49:49" ht="15" customHeight="1">
      <c r="AW948" s="120">
        <v>664</v>
      </c>
    </row>
    <row r="949" spans="49:49" ht="15" customHeight="1">
      <c r="AW949" s="120">
        <v>665</v>
      </c>
    </row>
    <row r="950" spans="49:49" ht="15" customHeight="1">
      <c r="AW950" s="120">
        <v>666</v>
      </c>
    </row>
    <row r="951" spans="49:49" ht="15" customHeight="1">
      <c r="AW951" s="120">
        <v>667</v>
      </c>
    </row>
    <row r="952" spans="49:49" ht="15" customHeight="1">
      <c r="AW952" s="120">
        <v>668</v>
      </c>
    </row>
    <row r="953" spans="49:49" ht="15" customHeight="1">
      <c r="AW953" s="120">
        <v>669</v>
      </c>
    </row>
    <row r="954" spans="49:49" ht="15" customHeight="1">
      <c r="AW954" s="120">
        <v>670</v>
      </c>
    </row>
    <row r="955" spans="49:49" ht="15" customHeight="1">
      <c r="AW955" s="120">
        <v>671</v>
      </c>
    </row>
    <row r="956" spans="49:49" ht="15" customHeight="1">
      <c r="AW956" s="120">
        <v>672</v>
      </c>
    </row>
    <row r="957" spans="49:49" ht="15" customHeight="1">
      <c r="AW957" s="120">
        <v>673</v>
      </c>
    </row>
    <row r="958" spans="49:49" ht="15" customHeight="1">
      <c r="AW958" s="120">
        <v>674</v>
      </c>
    </row>
    <row r="959" spans="49:49" ht="15" customHeight="1">
      <c r="AW959" s="120">
        <v>675</v>
      </c>
    </row>
    <row r="960" spans="49:49" ht="15" customHeight="1">
      <c r="AW960" s="120">
        <v>676</v>
      </c>
    </row>
    <row r="961" spans="49:49" ht="15" customHeight="1">
      <c r="AW961" s="120">
        <v>677</v>
      </c>
    </row>
    <row r="962" spans="49:49" ht="15" customHeight="1">
      <c r="AW962" s="120">
        <v>678</v>
      </c>
    </row>
    <row r="963" spans="49:49" ht="15" customHeight="1">
      <c r="AW963" s="120">
        <v>679</v>
      </c>
    </row>
    <row r="964" spans="49:49" ht="15" customHeight="1">
      <c r="AW964" s="120">
        <v>680</v>
      </c>
    </row>
    <row r="965" spans="49:49" ht="15" customHeight="1">
      <c r="AW965" s="120">
        <v>681</v>
      </c>
    </row>
    <row r="966" spans="49:49" ht="15" customHeight="1">
      <c r="AW966" s="120">
        <v>682</v>
      </c>
    </row>
    <row r="967" spans="49:49" ht="15" customHeight="1">
      <c r="AW967" s="120">
        <v>683</v>
      </c>
    </row>
    <row r="968" spans="49:49" ht="15" customHeight="1">
      <c r="AW968" s="120">
        <v>684</v>
      </c>
    </row>
    <row r="969" spans="49:49" ht="15" customHeight="1">
      <c r="AW969" s="120">
        <v>685</v>
      </c>
    </row>
    <row r="970" spans="49:49" ht="15" customHeight="1">
      <c r="AW970" s="120">
        <v>686</v>
      </c>
    </row>
    <row r="971" spans="49:49" ht="15" customHeight="1">
      <c r="AW971" s="120">
        <v>687</v>
      </c>
    </row>
    <row r="972" spans="49:49" ht="15" customHeight="1">
      <c r="AW972" s="120">
        <v>688</v>
      </c>
    </row>
    <row r="973" spans="49:49" ht="15" customHeight="1">
      <c r="AW973" s="120">
        <v>689</v>
      </c>
    </row>
    <row r="974" spans="49:49" ht="15" customHeight="1">
      <c r="AW974" s="120">
        <v>690</v>
      </c>
    </row>
    <row r="975" spans="49:49" ht="15" customHeight="1">
      <c r="AW975" s="120">
        <v>691</v>
      </c>
    </row>
    <row r="976" spans="49:49" ht="15" customHeight="1">
      <c r="AW976" s="120">
        <v>692</v>
      </c>
    </row>
    <row r="977" spans="49:49" ht="15" customHeight="1">
      <c r="AW977" s="120">
        <v>693</v>
      </c>
    </row>
    <row r="978" spans="49:49" ht="15" customHeight="1">
      <c r="AW978" s="120">
        <v>694</v>
      </c>
    </row>
    <row r="979" spans="49:49" ht="15" customHeight="1">
      <c r="AW979" s="120">
        <v>695</v>
      </c>
    </row>
    <row r="980" spans="49:49" ht="15" customHeight="1">
      <c r="AW980" s="120">
        <v>696</v>
      </c>
    </row>
    <row r="981" spans="49:49" ht="15" customHeight="1">
      <c r="AW981" s="120">
        <v>697</v>
      </c>
    </row>
    <row r="982" spans="49:49" ht="15" customHeight="1">
      <c r="AW982" s="120">
        <v>698</v>
      </c>
    </row>
    <row r="983" spans="49:49" ht="15" customHeight="1">
      <c r="AW983" s="120">
        <v>699</v>
      </c>
    </row>
    <row r="984" spans="49:49" ht="15" customHeight="1">
      <c r="AW984" s="120">
        <v>700</v>
      </c>
    </row>
    <row r="985" spans="49:49" ht="15" customHeight="1">
      <c r="AW985" s="120">
        <v>701</v>
      </c>
    </row>
    <row r="986" spans="49:49" ht="15" customHeight="1">
      <c r="AW986" s="120">
        <v>702</v>
      </c>
    </row>
    <row r="987" spans="49:49" ht="15" customHeight="1">
      <c r="AW987" s="120">
        <v>703</v>
      </c>
    </row>
    <row r="988" spans="49:49" ht="15" customHeight="1">
      <c r="AW988" s="120">
        <v>704</v>
      </c>
    </row>
    <row r="989" spans="49:49" ht="15" customHeight="1">
      <c r="AW989" s="120">
        <v>705</v>
      </c>
    </row>
    <row r="990" spans="49:49" ht="15" customHeight="1">
      <c r="AW990" s="120">
        <v>706</v>
      </c>
    </row>
    <row r="991" spans="49:49" ht="15" customHeight="1">
      <c r="AW991" s="120">
        <v>707</v>
      </c>
    </row>
    <row r="992" spans="49:49" ht="15" customHeight="1">
      <c r="AW992" s="120">
        <v>708</v>
      </c>
    </row>
    <row r="993" spans="49:49" ht="15" customHeight="1">
      <c r="AW993" s="120">
        <v>709</v>
      </c>
    </row>
    <row r="994" spans="49:49" ht="15" customHeight="1">
      <c r="AW994" s="120">
        <v>710</v>
      </c>
    </row>
    <row r="995" spans="49:49" ht="15" customHeight="1">
      <c r="AW995" s="120">
        <v>711</v>
      </c>
    </row>
    <row r="996" spans="49:49" ht="15" customHeight="1">
      <c r="AW996" s="120">
        <v>712</v>
      </c>
    </row>
    <row r="997" spans="49:49" ht="15" customHeight="1">
      <c r="AW997" s="120">
        <v>713</v>
      </c>
    </row>
    <row r="998" spans="49:49" ht="15" customHeight="1">
      <c r="AW998" s="120">
        <v>714</v>
      </c>
    </row>
    <row r="999" spans="49:49" ht="15" customHeight="1">
      <c r="AW999" s="120">
        <v>715</v>
      </c>
    </row>
    <row r="1000" spans="49:49" ht="15" customHeight="1">
      <c r="AW1000" s="120">
        <v>716</v>
      </c>
    </row>
    <row r="1001" spans="49:49" ht="15" customHeight="1">
      <c r="AW1001" s="120">
        <v>717</v>
      </c>
    </row>
    <row r="1002" spans="49:49" ht="15" customHeight="1">
      <c r="AW1002" s="120">
        <v>718</v>
      </c>
    </row>
    <row r="1003" spans="49:49" ht="15" customHeight="1">
      <c r="AW1003" s="120">
        <v>719</v>
      </c>
    </row>
    <row r="1004" spans="49:49" ht="15" customHeight="1">
      <c r="AW1004" s="120">
        <v>720</v>
      </c>
    </row>
    <row r="1005" spans="49:49" ht="15" customHeight="1">
      <c r="AW1005" s="120">
        <v>721</v>
      </c>
    </row>
    <row r="1006" spans="49:49" ht="15" customHeight="1">
      <c r="AW1006" s="120">
        <v>722</v>
      </c>
    </row>
    <row r="1007" spans="49:49" ht="15" customHeight="1">
      <c r="AW1007" s="120">
        <v>723</v>
      </c>
    </row>
    <row r="1008" spans="49:49" ht="15" customHeight="1">
      <c r="AW1008" s="120">
        <v>724</v>
      </c>
    </row>
    <row r="1009" spans="49:49" ht="15" customHeight="1">
      <c r="AW1009" s="120">
        <v>725</v>
      </c>
    </row>
    <row r="1010" spans="49:49" ht="15" customHeight="1">
      <c r="AW1010" s="120">
        <v>726</v>
      </c>
    </row>
    <row r="1011" spans="49:49" ht="15" customHeight="1">
      <c r="AW1011" s="120">
        <v>727</v>
      </c>
    </row>
    <row r="1012" spans="49:49" ht="15" customHeight="1">
      <c r="AW1012" s="120">
        <v>728</v>
      </c>
    </row>
    <row r="1013" spans="49:49" ht="15" customHeight="1">
      <c r="AW1013" s="120">
        <v>729</v>
      </c>
    </row>
    <row r="1014" spans="49:49" ht="15" customHeight="1">
      <c r="AW1014" s="120">
        <v>730</v>
      </c>
    </row>
    <row r="1015" spans="49:49" ht="15" customHeight="1">
      <c r="AW1015" s="120">
        <v>731</v>
      </c>
    </row>
    <row r="1016" spans="49:49" ht="15" customHeight="1">
      <c r="AW1016" s="120">
        <v>732</v>
      </c>
    </row>
    <row r="1017" spans="49:49" ht="15" customHeight="1">
      <c r="AW1017" s="120">
        <v>733</v>
      </c>
    </row>
    <row r="1018" spans="49:49" ht="15" customHeight="1">
      <c r="AW1018" s="120">
        <v>734</v>
      </c>
    </row>
    <row r="1019" spans="49:49" ht="15" customHeight="1">
      <c r="AW1019" s="120">
        <v>735</v>
      </c>
    </row>
    <row r="1020" spans="49:49" ht="15" customHeight="1">
      <c r="AW1020" s="120">
        <v>736</v>
      </c>
    </row>
    <row r="1021" spans="49:49" ht="15" customHeight="1">
      <c r="AW1021" s="120">
        <v>737</v>
      </c>
    </row>
    <row r="1022" spans="49:49" ht="15" customHeight="1">
      <c r="AW1022" s="120">
        <v>738</v>
      </c>
    </row>
    <row r="1023" spans="49:49" ht="15" customHeight="1">
      <c r="AW1023" s="120">
        <v>739</v>
      </c>
    </row>
    <row r="1024" spans="49:49" ht="15" customHeight="1">
      <c r="AW1024" s="120">
        <v>740</v>
      </c>
    </row>
    <row r="1025" spans="49:49" ht="15" customHeight="1">
      <c r="AW1025" s="120">
        <v>741</v>
      </c>
    </row>
    <row r="1026" spans="49:49" ht="15" customHeight="1">
      <c r="AW1026" s="120">
        <v>742</v>
      </c>
    </row>
    <row r="1027" spans="49:49" ht="15" customHeight="1">
      <c r="AW1027" s="120">
        <v>743</v>
      </c>
    </row>
    <row r="1028" spans="49:49" ht="15" customHeight="1">
      <c r="AW1028" s="120">
        <v>744</v>
      </c>
    </row>
    <row r="1029" spans="49:49" ht="15" customHeight="1">
      <c r="AW1029" s="120">
        <v>745</v>
      </c>
    </row>
    <row r="1030" spans="49:49" ht="15" customHeight="1">
      <c r="AW1030" s="120">
        <v>746</v>
      </c>
    </row>
    <row r="1031" spans="49:49" ht="15" customHeight="1">
      <c r="AW1031" s="120">
        <v>747</v>
      </c>
    </row>
    <row r="1032" spans="49:49" ht="15" customHeight="1">
      <c r="AW1032" s="120">
        <v>748</v>
      </c>
    </row>
    <row r="1033" spans="49:49" ht="15" customHeight="1">
      <c r="AW1033" s="120">
        <v>749</v>
      </c>
    </row>
    <row r="1034" spans="49:49" ht="15" customHeight="1">
      <c r="AW1034" s="120">
        <v>750</v>
      </c>
    </row>
    <row r="1035" spans="49:49" ht="15" customHeight="1">
      <c r="AW1035" s="120">
        <v>751</v>
      </c>
    </row>
    <row r="1036" spans="49:49" ht="15" customHeight="1">
      <c r="AW1036" s="120">
        <v>752</v>
      </c>
    </row>
    <row r="1037" spans="49:49" ht="15" customHeight="1">
      <c r="AW1037" s="120">
        <v>753</v>
      </c>
    </row>
    <row r="1038" spans="49:49" ht="15" customHeight="1">
      <c r="AW1038" s="120">
        <v>754</v>
      </c>
    </row>
    <row r="1039" spans="49:49" ht="15" customHeight="1">
      <c r="AW1039" s="120">
        <v>755</v>
      </c>
    </row>
    <row r="1040" spans="49:49" ht="15" customHeight="1">
      <c r="AW1040" s="120">
        <v>756</v>
      </c>
    </row>
    <row r="1041" spans="49:49" ht="15" customHeight="1">
      <c r="AW1041" s="120">
        <v>757</v>
      </c>
    </row>
    <row r="1042" spans="49:49" ht="15" customHeight="1">
      <c r="AW1042" s="120">
        <v>758</v>
      </c>
    </row>
    <row r="1043" spans="49:49" ht="15" customHeight="1">
      <c r="AW1043" s="120">
        <v>759</v>
      </c>
    </row>
    <row r="1044" spans="49:49" ht="15" customHeight="1">
      <c r="AW1044" s="120">
        <v>760</v>
      </c>
    </row>
    <row r="1045" spans="49:49" ht="15" customHeight="1">
      <c r="AW1045" s="120">
        <v>761</v>
      </c>
    </row>
    <row r="1046" spans="49:49" ht="15" customHeight="1">
      <c r="AW1046" s="120">
        <v>762</v>
      </c>
    </row>
    <row r="1047" spans="49:49" ht="15" customHeight="1">
      <c r="AW1047" s="120">
        <v>763</v>
      </c>
    </row>
    <row r="1048" spans="49:49" ht="15" customHeight="1">
      <c r="AW1048" s="120">
        <v>764</v>
      </c>
    </row>
    <row r="1049" spans="49:49" ht="15" customHeight="1">
      <c r="AW1049" s="120">
        <v>765</v>
      </c>
    </row>
    <row r="1050" spans="49:49" ht="15" customHeight="1">
      <c r="AW1050" s="120">
        <v>766</v>
      </c>
    </row>
    <row r="1051" spans="49:49" ht="15" customHeight="1">
      <c r="AW1051" s="120">
        <v>767</v>
      </c>
    </row>
    <row r="1052" spans="49:49" ht="15" customHeight="1">
      <c r="AW1052" s="120">
        <v>768</v>
      </c>
    </row>
    <row r="1053" spans="49:49" ht="15" customHeight="1">
      <c r="AW1053" s="120">
        <v>769</v>
      </c>
    </row>
    <row r="1054" spans="49:49" ht="15" customHeight="1">
      <c r="AW1054" s="120">
        <v>770</v>
      </c>
    </row>
    <row r="1055" spans="49:49" ht="15" customHeight="1">
      <c r="AW1055" s="120">
        <v>771</v>
      </c>
    </row>
    <row r="1056" spans="49:49" ht="15" customHeight="1">
      <c r="AW1056" s="120">
        <v>772</v>
      </c>
    </row>
    <row r="1057" spans="49:49" ht="15" customHeight="1">
      <c r="AW1057" s="120">
        <v>773</v>
      </c>
    </row>
    <row r="1058" spans="49:49" ht="15" customHeight="1">
      <c r="AW1058" s="120">
        <v>774</v>
      </c>
    </row>
    <row r="1059" spans="49:49" ht="15" customHeight="1">
      <c r="AW1059" s="120">
        <v>775</v>
      </c>
    </row>
    <row r="1060" spans="49:49" ht="15" customHeight="1">
      <c r="AW1060" s="120">
        <v>776</v>
      </c>
    </row>
    <row r="1061" spans="49:49" ht="15" customHeight="1">
      <c r="AW1061" s="120">
        <v>777</v>
      </c>
    </row>
    <row r="1062" spans="49:49" ht="15" customHeight="1">
      <c r="AW1062" s="120">
        <v>778</v>
      </c>
    </row>
    <row r="1063" spans="49:49" ht="15" customHeight="1">
      <c r="AW1063" s="120">
        <v>779</v>
      </c>
    </row>
    <row r="1064" spans="49:49" ht="15" customHeight="1">
      <c r="AW1064" s="120">
        <v>780</v>
      </c>
    </row>
    <row r="1065" spans="49:49" ht="15" customHeight="1">
      <c r="AW1065" s="120">
        <v>781</v>
      </c>
    </row>
    <row r="1066" spans="49:49" ht="15" customHeight="1">
      <c r="AW1066" s="120">
        <v>782</v>
      </c>
    </row>
    <row r="1067" spans="49:49" ht="15" customHeight="1">
      <c r="AW1067" s="120">
        <v>783</v>
      </c>
    </row>
    <row r="1068" spans="49:49" ht="15" customHeight="1">
      <c r="AW1068" s="120">
        <v>784</v>
      </c>
    </row>
    <row r="1069" spans="49:49" ht="15" customHeight="1">
      <c r="AW1069" s="120">
        <v>785</v>
      </c>
    </row>
    <row r="1070" spans="49:49" ht="15" customHeight="1">
      <c r="AW1070" s="120">
        <v>786</v>
      </c>
    </row>
    <row r="1071" spans="49:49" ht="15" customHeight="1">
      <c r="AW1071" s="120">
        <v>787</v>
      </c>
    </row>
    <row r="1072" spans="49:49" ht="15" customHeight="1">
      <c r="AW1072" s="120">
        <v>788</v>
      </c>
    </row>
    <row r="1073" spans="49:49" ht="15" customHeight="1">
      <c r="AW1073" s="120">
        <v>789</v>
      </c>
    </row>
    <row r="1074" spans="49:49" ht="15" customHeight="1">
      <c r="AW1074" s="120">
        <v>790</v>
      </c>
    </row>
    <row r="1075" spans="49:49" ht="15" customHeight="1">
      <c r="AW1075" s="120">
        <v>791</v>
      </c>
    </row>
    <row r="1076" spans="49:49" ht="15" customHeight="1">
      <c r="AW1076" s="120">
        <v>792</v>
      </c>
    </row>
    <row r="1077" spans="49:49" ht="15" customHeight="1">
      <c r="AW1077" s="120">
        <v>793</v>
      </c>
    </row>
    <row r="1078" spans="49:49" ht="15" customHeight="1">
      <c r="AW1078" s="120">
        <v>794</v>
      </c>
    </row>
    <row r="1079" spans="49:49" ht="15" customHeight="1">
      <c r="AW1079" s="120">
        <v>795</v>
      </c>
    </row>
    <row r="1080" spans="49:49" ht="15" customHeight="1">
      <c r="AW1080" s="120">
        <v>796</v>
      </c>
    </row>
    <row r="1081" spans="49:49" ht="15" customHeight="1">
      <c r="AW1081" s="120">
        <v>797</v>
      </c>
    </row>
    <row r="1082" spans="49:49" ht="15" customHeight="1">
      <c r="AW1082" s="120">
        <v>798</v>
      </c>
    </row>
    <row r="1083" spans="49:49" ht="15" customHeight="1">
      <c r="AW1083" s="120">
        <v>799</v>
      </c>
    </row>
    <row r="1084" spans="49:49" ht="15" customHeight="1">
      <c r="AW1084" s="120">
        <v>800</v>
      </c>
    </row>
    <row r="1085" spans="49:49" ht="15" customHeight="1">
      <c r="AW1085" s="120">
        <v>801</v>
      </c>
    </row>
    <row r="1086" spans="49:49" ht="15" customHeight="1">
      <c r="AW1086" s="120">
        <v>802</v>
      </c>
    </row>
    <row r="1087" spans="49:49" ht="15" customHeight="1">
      <c r="AW1087" s="120">
        <v>803</v>
      </c>
    </row>
    <row r="1088" spans="49:49" ht="15" customHeight="1">
      <c r="AW1088" s="120">
        <v>804</v>
      </c>
    </row>
    <row r="1089" spans="49:49" ht="15" customHeight="1">
      <c r="AW1089" s="120">
        <v>805</v>
      </c>
    </row>
    <row r="1090" spans="49:49" ht="15" customHeight="1">
      <c r="AW1090" s="120">
        <v>806</v>
      </c>
    </row>
    <row r="1091" spans="49:49" ht="15" customHeight="1">
      <c r="AW1091" s="120">
        <v>807</v>
      </c>
    </row>
    <row r="1092" spans="49:49" ht="15" customHeight="1">
      <c r="AW1092" s="120">
        <v>808</v>
      </c>
    </row>
    <row r="1093" spans="49:49" ht="15" customHeight="1">
      <c r="AW1093" s="120">
        <v>809</v>
      </c>
    </row>
    <row r="1094" spans="49:49" ht="15" customHeight="1">
      <c r="AW1094" s="120">
        <v>810</v>
      </c>
    </row>
    <row r="1095" spans="49:49" ht="15" customHeight="1">
      <c r="AW1095" s="120">
        <v>811</v>
      </c>
    </row>
    <row r="1096" spans="49:49" ht="15" customHeight="1">
      <c r="AW1096" s="120">
        <v>812</v>
      </c>
    </row>
    <row r="1097" spans="49:49" ht="15" customHeight="1">
      <c r="AW1097" s="120">
        <v>813</v>
      </c>
    </row>
    <row r="1098" spans="49:49" ht="15" customHeight="1">
      <c r="AW1098" s="120">
        <v>814</v>
      </c>
    </row>
    <row r="1099" spans="49:49" ht="15" customHeight="1">
      <c r="AW1099" s="120">
        <v>815</v>
      </c>
    </row>
    <row r="1100" spans="49:49" ht="15" customHeight="1">
      <c r="AW1100" s="120">
        <v>816</v>
      </c>
    </row>
    <row r="1101" spans="49:49" ht="15" customHeight="1">
      <c r="AW1101" s="120">
        <v>817</v>
      </c>
    </row>
    <row r="1102" spans="49:49" ht="15" customHeight="1">
      <c r="AW1102" s="120">
        <v>818</v>
      </c>
    </row>
    <row r="1103" spans="49:49" ht="15" customHeight="1">
      <c r="AW1103" s="120">
        <v>819</v>
      </c>
    </row>
    <row r="1104" spans="49:49" ht="15" customHeight="1">
      <c r="AW1104" s="120">
        <v>820</v>
      </c>
    </row>
    <row r="1105" spans="49:49" ht="15" customHeight="1">
      <c r="AW1105" s="120">
        <v>821</v>
      </c>
    </row>
    <row r="1106" spans="49:49" ht="15" customHeight="1">
      <c r="AW1106" s="120">
        <v>822</v>
      </c>
    </row>
    <row r="1107" spans="49:49" ht="15" customHeight="1">
      <c r="AW1107" s="120">
        <v>823</v>
      </c>
    </row>
    <row r="1108" spans="49:49" ht="15" customHeight="1">
      <c r="AW1108" s="120">
        <v>824</v>
      </c>
    </row>
    <row r="1109" spans="49:49" ht="15" customHeight="1">
      <c r="AW1109" s="120">
        <v>825</v>
      </c>
    </row>
    <row r="1110" spans="49:49" ht="15" customHeight="1">
      <c r="AW1110" s="120">
        <v>826</v>
      </c>
    </row>
    <row r="1111" spans="49:49" ht="15" customHeight="1">
      <c r="AW1111" s="120">
        <v>827</v>
      </c>
    </row>
    <row r="1112" spans="49:49" ht="15" customHeight="1">
      <c r="AW1112" s="120">
        <v>828</v>
      </c>
    </row>
    <row r="1113" spans="49:49" ht="15" customHeight="1">
      <c r="AW1113" s="120">
        <v>829</v>
      </c>
    </row>
    <row r="1114" spans="49:49" ht="15" customHeight="1">
      <c r="AW1114" s="120">
        <v>830</v>
      </c>
    </row>
    <row r="1115" spans="49:49" ht="15" customHeight="1">
      <c r="AW1115" s="120">
        <v>831</v>
      </c>
    </row>
    <row r="1116" spans="49:49" ht="15" customHeight="1">
      <c r="AW1116" s="120">
        <v>832</v>
      </c>
    </row>
    <row r="1117" spans="49:49" ht="15" customHeight="1">
      <c r="AW1117" s="120">
        <v>833</v>
      </c>
    </row>
    <row r="1118" spans="49:49" ht="15" customHeight="1">
      <c r="AW1118" s="120">
        <v>834</v>
      </c>
    </row>
    <row r="1119" spans="49:49" ht="15" customHeight="1">
      <c r="AW1119" s="120">
        <v>835</v>
      </c>
    </row>
    <row r="1120" spans="49:49" ht="15" customHeight="1">
      <c r="AW1120" s="120">
        <v>836</v>
      </c>
    </row>
    <row r="1121" spans="49:49" ht="15" customHeight="1">
      <c r="AW1121" s="120">
        <v>837</v>
      </c>
    </row>
    <row r="1122" spans="49:49" ht="15" customHeight="1">
      <c r="AW1122" s="120">
        <v>838</v>
      </c>
    </row>
    <row r="1123" spans="49:49" ht="15" customHeight="1">
      <c r="AW1123" s="120">
        <v>839</v>
      </c>
    </row>
    <row r="1124" spans="49:49" ht="15" customHeight="1">
      <c r="AW1124" s="120">
        <v>840</v>
      </c>
    </row>
    <row r="1125" spans="49:49" ht="15" customHeight="1">
      <c r="AW1125" s="120">
        <v>841</v>
      </c>
    </row>
    <row r="1126" spans="49:49" ht="15" customHeight="1">
      <c r="AW1126" s="120">
        <v>842</v>
      </c>
    </row>
    <row r="1127" spans="49:49" ht="15" customHeight="1">
      <c r="AW1127" s="120">
        <v>843</v>
      </c>
    </row>
    <row r="1128" spans="49:49" ht="15" customHeight="1">
      <c r="AW1128" s="120">
        <v>844</v>
      </c>
    </row>
    <row r="1129" spans="49:49" ht="15" customHeight="1">
      <c r="AW1129" s="120">
        <v>845</v>
      </c>
    </row>
    <row r="1130" spans="49:49" ht="15" customHeight="1">
      <c r="AW1130" s="120">
        <v>846</v>
      </c>
    </row>
    <row r="1131" spans="49:49" ht="15" customHeight="1">
      <c r="AW1131" s="120">
        <v>847</v>
      </c>
    </row>
    <row r="1132" spans="49:49" ht="15" customHeight="1">
      <c r="AW1132" s="120">
        <v>848</v>
      </c>
    </row>
    <row r="1133" spans="49:49" ht="15" customHeight="1">
      <c r="AW1133" s="120">
        <v>849</v>
      </c>
    </row>
    <row r="1134" spans="49:49" ht="15" customHeight="1">
      <c r="AW1134" s="120">
        <v>850</v>
      </c>
    </row>
    <row r="1135" spans="49:49" ht="15" customHeight="1">
      <c r="AW1135" s="120">
        <v>851</v>
      </c>
    </row>
    <row r="1136" spans="49:49" ht="15" customHeight="1">
      <c r="AW1136" s="120">
        <v>852</v>
      </c>
    </row>
    <row r="1137" spans="49:49" ht="15" customHeight="1">
      <c r="AW1137" s="120">
        <v>853</v>
      </c>
    </row>
    <row r="1138" spans="49:49" ht="15" customHeight="1">
      <c r="AW1138" s="120">
        <v>854</v>
      </c>
    </row>
    <row r="1139" spans="49:49" ht="15" customHeight="1">
      <c r="AW1139" s="120">
        <v>855</v>
      </c>
    </row>
    <row r="1140" spans="49:49" ht="15" customHeight="1">
      <c r="AW1140" s="120">
        <v>856</v>
      </c>
    </row>
    <row r="1141" spans="49:49" ht="15" customHeight="1">
      <c r="AW1141" s="120">
        <v>857</v>
      </c>
    </row>
    <row r="1142" spans="49:49" ht="15" customHeight="1">
      <c r="AW1142" s="120">
        <v>858</v>
      </c>
    </row>
    <row r="1143" spans="49:49" ht="15" customHeight="1">
      <c r="AW1143" s="120">
        <v>859</v>
      </c>
    </row>
    <row r="1144" spans="49:49" ht="15" customHeight="1">
      <c r="AW1144" s="120">
        <v>860</v>
      </c>
    </row>
    <row r="1145" spans="49:49" ht="15" customHeight="1">
      <c r="AW1145" s="120">
        <v>861</v>
      </c>
    </row>
    <row r="1146" spans="49:49" ht="15" customHeight="1">
      <c r="AW1146" s="120">
        <v>862</v>
      </c>
    </row>
    <row r="1147" spans="49:49" ht="15" customHeight="1">
      <c r="AW1147" s="120">
        <v>863</v>
      </c>
    </row>
    <row r="1148" spans="49:49" ht="15" customHeight="1">
      <c r="AW1148" s="120">
        <v>864</v>
      </c>
    </row>
    <row r="1149" spans="49:49" ht="15" customHeight="1">
      <c r="AW1149" s="120">
        <v>865</v>
      </c>
    </row>
    <row r="1150" spans="49:49" ht="15" customHeight="1">
      <c r="AW1150" s="120">
        <v>866</v>
      </c>
    </row>
    <row r="1151" spans="49:49" ht="15" customHeight="1">
      <c r="AW1151" s="120">
        <v>867</v>
      </c>
    </row>
    <row r="1152" spans="49:49" ht="15" customHeight="1">
      <c r="AW1152" s="120">
        <v>868</v>
      </c>
    </row>
    <row r="1153" spans="49:49" ht="15" customHeight="1">
      <c r="AW1153" s="120">
        <v>869</v>
      </c>
    </row>
    <row r="1154" spans="49:49" ht="15" customHeight="1">
      <c r="AW1154" s="120">
        <v>870</v>
      </c>
    </row>
    <row r="1155" spans="49:49" ht="15" customHeight="1">
      <c r="AW1155" s="120">
        <v>871</v>
      </c>
    </row>
    <row r="1156" spans="49:49" ht="15" customHeight="1">
      <c r="AW1156" s="120">
        <v>872</v>
      </c>
    </row>
    <row r="1157" spans="49:49" ht="15" customHeight="1">
      <c r="AW1157" s="120">
        <v>873</v>
      </c>
    </row>
    <row r="1158" spans="49:49" ht="15" customHeight="1">
      <c r="AW1158" s="120">
        <v>874</v>
      </c>
    </row>
    <row r="1159" spans="49:49" ht="15" customHeight="1">
      <c r="AW1159" s="120">
        <v>875</v>
      </c>
    </row>
    <row r="1160" spans="49:49" ht="15" customHeight="1">
      <c r="AW1160" s="120">
        <v>876</v>
      </c>
    </row>
    <row r="1161" spans="49:49" ht="15" customHeight="1">
      <c r="AW1161" s="120">
        <v>877</v>
      </c>
    </row>
    <row r="1162" spans="49:49" ht="15" customHeight="1">
      <c r="AW1162" s="120">
        <v>878</v>
      </c>
    </row>
    <row r="1163" spans="49:49" ht="15" customHeight="1">
      <c r="AW1163" s="120">
        <v>879</v>
      </c>
    </row>
    <row r="1164" spans="49:49" ht="15" customHeight="1">
      <c r="AW1164" s="120">
        <v>880</v>
      </c>
    </row>
    <row r="1165" spans="49:49" ht="15" customHeight="1">
      <c r="AW1165" s="120">
        <v>881</v>
      </c>
    </row>
    <row r="1166" spans="49:49" ht="15" customHeight="1">
      <c r="AW1166" s="120">
        <v>882</v>
      </c>
    </row>
    <row r="1167" spans="49:49" ht="15" customHeight="1">
      <c r="AW1167" s="120">
        <v>883</v>
      </c>
    </row>
    <row r="1168" spans="49:49" ht="15" customHeight="1">
      <c r="AW1168" s="120">
        <v>884</v>
      </c>
    </row>
    <row r="1169" spans="49:49" ht="15" customHeight="1">
      <c r="AW1169" s="120">
        <v>885</v>
      </c>
    </row>
    <row r="1170" spans="49:49" ht="15" customHeight="1">
      <c r="AW1170" s="120">
        <v>886</v>
      </c>
    </row>
    <row r="1171" spans="49:49" ht="15" customHeight="1">
      <c r="AW1171" s="120">
        <v>887</v>
      </c>
    </row>
    <row r="1172" spans="49:49" ht="15" customHeight="1">
      <c r="AW1172" s="120">
        <v>888</v>
      </c>
    </row>
    <row r="1173" spans="49:49" ht="15" customHeight="1">
      <c r="AW1173" s="120">
        <v>889</v>
      </c>
    </row>
    <row r="1174" spans="49:49" ht="15" customHeight="1">
      <c r="AW1174" s="120">
        <v>890</v>
      </c>
    </row>
    <row r="1175" spans="49:49" ht="15" customHeight="1">
      <c r="AW1175" s="120">
        <v>891</v>
      </c>
    </row>
    <row r="1176" spans="49:49" ht="15" customHeight="1">
      <c r="AW1176" s="120">
        <v>892</v>
      </c>
    </row>
    <row r="1177" spans="49:49" ht="15" customHeight="1">
      <c r="AW1177" s="120">
        <v>893</v>
      </c>
    </row>
    <row r="1178" spans="49:49" ht="15" customHeight="1">
      <c r="AW1178" s="120">
        <v>894</v>
      </c>
    </row>
    <row r="1179" spans="49:49" ht="15" customHeight="1">
      <c r="AW1179" s="120">
        <v>895</v>
      </c>
    </row>
    <row r="1180" spans="49:49" ht="15" customHeight="1">
      <c r="AW1180" s="120">
        <v>896</v>
      </c>
    </row>
    <row r="1181" spans="49:49" ht="15" customHeight="1">
      <c r="AW1181" s="120">
        <v>897</v>
      </c>
    </row>
    <row r="1182" spans="49:49" ht="15" customHeight="1">
      <c r="AW1182" s="120">
        <v>898</v>
      </c>
    </row>
    <row r="1183" spans="49:49" ht="15" customHeight="1">
      <c r="AW1183" s="120">
        <v>899</v>
      </c>
    </row>
    <row r="1184" spans="49:49" ht="15" customHeight="1">
      <c r="AW1184" s="120">
        <v>900</v>
      </c>
    </row>
    <row r="1185" spans="49:49" ht="15" customHeight="1">
      <c r="AW1185" s="120">
        <v>901</v>
      </c>
    </row>
    <row r="1186" spans="49:49" ht="15" customHeight="1">
      <c r="AW1186" s="120">
        <v>902</v>
      </c>
    </row>
    <row r="1187" spans="49:49" ht="15" customHeight="1">
      <c r="AW1187" s="120">
        <v>903</v>
      </c>
    </row>
    <row r="1188" spans="49:49" ht="15" customHeight="1">
      <c r="AW1188" s="120">
        <v>904</v>
      </c>
    </row>
    <row r="1189" spans="49:49" ht="15" customHeight="1">
      <c r="AW1189" s="120">
        <v>905</v>
      </c>
    </row>
    <row r="1190" spans="49:49" ht="15" customHeight="1">
      <c r="AW1190" s="120">
        <v>906</v>
      </c>
    </row>
    <row r="1191" spans="49:49" ht="15" customHeight="1">
      <c r="AW1191" s="120">
        <v>907</v>
      </c>
    </row>
    <row r="1192" spans="49:49" ht="15" customHeight="1">
      <c r="AW1192" s="120">
        <v>908</v>
      </c>
    </row>
    <row r="1193" spans="49:49" ht="15" customHeight="1">
      <c r="AW1193" s="120">
        <v>909</v>
      </c>
    </row>
    <row r="1194" spans="49:49" ht="15" customHeight="1">
      <c r="AW1194" s="120">
        <v>910</v>
      </c>
    </row>
    <row r="1195" spans="49:49" ht="15" customHeight="1">
      <c r="AW1195" s="120">
        <v>911</v>
      </c>
    </row>
    <row r="1196" spans="49:49" ht="15" customHeight="1">
      <c r="AW1196" s="120">
        <v>912</v>
      </c>
    </row>
    <row r="1197" spans="49:49" ht="15" customHeight="1">
      <c r="AW1197" s="120">
        <v>913</v>
      </c>
    </row>
    <row r="1198" spans="49:49" ht="15" customHeight="1">
      <c r="AW1198" s="120">
        <v>914</v>
      </c>
    </row>
    <row r="1199" spans="49:49" ht="15" customHeight="1">
      <c r="AW1199" s="120">
        <v>915</v>
      </c>
    </row>
    <row r="1200" spans="49:49" ht="15" customHeight="1">
      <c r="AW1200" s="120">
        <v>916</v>
      </c>
    </row>
    <row r="1201" spans="49:49" ht="15" customHeight="1">
      <c r="AW1201" s="120">
        <v>917</v>
      </c>
    </row>
    <row r="1202" spans="49:49" ht="15" customHeight="1">
      <c r="AW1202" s="120">
        <v>918</v>
      </c>
    </row>
    <row r="1203" spans="49:49" ht="15" customHeight="1">
      <c r="AW1203" s="120">
        <v>919</v>
      </c>
    </row>
    <row r="1204" spans="49:49" ht="15" customHeight="1">
      <c r="AW1204" s="120">
        <v>920</v>
      </c>
    </row>
    <row r="1205" spans="49:49" ht="15" customHeight="1">
      <c r="AW1205" s="120">
        <v>921</v>
      </c>
    </row>
    <row r="1206" spans="49:49" ht="15" customHeight="1">
      <c r="AW1206" s="120">
        <v>922</v>
      </c>
    </row>
    <row r="1207" spans="49:49" ht="15" customHeight="1">
      <c r="AW1207" s="120">
        <v>923</v>
      </c>
    </row>
    <row r="1208" spans="49:49" ht="15" customHeight="1">
      <c r="AW1208" s="120">
        <v>924</v>
      </c>
    </row>
    <row r="1209" spans="49:49" ht="15" customHeight="1">
      <c r="AW1209" s="120">
        <v>925</v>
      </c>
    </row>
    <row r="1210" spans="49:49" ht="15" customHeight="1">
      <c r="AW1210" s="120">
        <v>926</v>
      </c>
    </row>
    <row r="1211" spans="49:49" ht="15" customHeight="1">
      <c r="AW1211" s="120">
        <v>927</v>
      </c>
    </row>
    <row r="1212" spans="49:49" ht="15" customHeight="1">
      <c r="AW1212" s="120">
        <v>928</v>
      </c>
    </row>
    <row r="1213" spans="49:49" ht="15" customHeight="1">
      <c r="AW1213" s="120">
        <v>929</v>
      </c>
    </row>
    <row r="1214" spans="49:49" ht="15" customHeight="1">
      <c r="AW1214" s="120">
        <v>930</v>
      </c>
    </row>
    <row r="1215" spans="49:49" ht="15" customHeight="1">
      <c r="AW1215" s="120">
        <v>931</v>
      </c>
    </row>
    <row r="1216" spans="49:49" ht="15" customHeight="1">
      <c r="AW1216" s="120">
        <v>932</v>
      </c>
    </row>
    <row r="1217" spans="49:49" ht="15" customHeight="1">
      <c r="AW1217" s="120">
        <v>933</v>
      </c>
    </row>
    <row r="1218" spans="49:49" ht="15" customHeight="1">
      <c r="AW1218" s="120">
        <v>934</v>
      </c>
    </row>
    <row r="1219" spans="49:49" ht="15" customHeight="1">
      <c r="AW1219" s="120">
        <v>935</v>
      </c>
    </row>
    <row r="1220" spans="49:49" ht="15" customHeight="1">
      <c r="AW1220" s="120">
        <v>936</v>
      </c>
    </row>
    <row r="1221" spans="49:49" ht="15" customHeight="1">
      <c r="AW1221" s="120">
        <v>937</v>
      </c>
    </row>
    <row r="1222" spans="49:49" ht="15" customHeight="1">
      <c r="AW1222" s="120">
        <v>938</v>
      </c>
    </row>
    <row r="1223" spans="49:49" ht="15" customHeight="1">
      <c r="AW1223" s="120">
        <v>939</v>
      </c>
    </row>
    <row r="1224" spans="49:49" ht="15" customHeight="1">
      <c r="AW1224" s="120">
        <v>940</v>
      </c>
    </row>
    <row r="1225" spans="49:49" ht="15" customHeight="1">
      <c r="AW1225" s="120">
        <v>941</v>
      </c>
    </row>
    <row r="1226" spans="49:49" ht="15" customHeight="1">
      <c r="AW1226" s="120">
        <v>942</v>
      </c>
    </row>
    <row r="1227" spans="49:49" ht="15" customHeight="1">
      <c r="AW1227" s="120">
        <v>943</v>
      </c>
    </row>
    <row r="1228" spans="49:49" ht="15" customHeight="1">
      <c r="AW1228" s="120">
        <v>944</v>
      </c>
    </row>
    <row r="1229" spans="49:49" ht="15" customHeight="1">
      <c r="AW1229" s="120">
        <v>945</v>
      </c>
    </row>
    <row r="1230" spans="49:49" ht="15" customHeight="1">
      <c r="AW1230" s="120">
        <v>946</v>
      </c>
    </row>
    <row r="1231" spans="49:49" ht="15" customHeight="1">
      <c r="AW1231" s="120">
        <v>947</v>
      </c>
    </row>
    <row r="1232" spans="49:49" ht="15" customHeight="1">
      <c r="AW1232" s="120">
        <v>948</v>
      </c>
    </row>
    <row r="1233" spans="49:49" ht="15" customHeight="1">
      <c r="AW1233" s="120">
        <v>949</v>
      </c>
    </row>
    <row r="1234" spans="49:49" ht="15" customHeight="1">
      <c r="AW1234" s="120">
        <v>950</v>
      </c>
    </row>
    <row r="1235" spans="49:49" ht="15" customHeight="1">
      <c r="AW1235" s="120">
        <v>951</v>
      </c>
    </row>
    <row r="1236" spans="49:49" ht="15" customHeight="1">
      <c r="AW1236" s="120">
        <v>952</v>
      </c>
    </row>
    <row r="1237" spans="49:49" ht="15" customHeight="1">
      <c r="AW1237" s="120">
        <v>953</v>
      </c>
    </row>
    <row r="1238" spans="49:49" ht="15" customHeight="1">
      <c r="AW1238" s="120">
        <v>954</v>
      </c>
    </row>
    <row r="1239" spans="49:49" ht="15" customHeight="1">
      <c r="AW1239" s="120">
        <v>955</v>
      </c>
    </row>
    <row r="1240" spans="49:49" ht="15" customHeight="1">
      <c r="AW1240" s="120">
        <v>956</v>
      </c>
    </row>
    <row r="1241" spans="49:49" ht="15" customHeight="1">
      <c r="AW1241" s="120">
        <v>957</v>
      </c>
    </row>
    <row r="1242" spans="49:49" ht="15" customHeight="1">
      <c r="AW1242" s="120">
        <v>958</v>
      </c>
    </row>
    <row r="1243" spans="49:49" ht="15" customHeight="1">
      <c r="AW1243" s="120">
        <v>959</v>
      </c>
    </row>
    <row r="1244" spans="49:49" ht="15" customHeight="1">
      <c r="AW1244" s="120">
        <v>960</v>
      </c>
    </row>
    <row r="1245" spans="49:49" ht="15" customHeight="1">
      <c r="AW1245" s="120">
        <v>961</v>
      </c>
    </row>
    <row r="1246" spans="49:49" ht="15" customHeight="1">
      <c r="AW1246" s="120">
        <v>962</v>
      </c>
    </row>
    <row r="1247" spans="49:49" ht="15" customHeight="1">
      <c r="AW1247" s="120">
        <v>963</v>
      </c>
    </row>
    <row r="1248" spans="49:49" ht="15" customHeight="1">
      <c r="AW1248" s="120">
        <v>964</v>
      </c>
    </row>
    <row r="1249" spans="49:49" ht="15" customHeight="1">
      <c r="AW1249" s="120">
        <v>965</v>
      </c>
    </row>
    <row r="1250" spans="49:49" ht="15" customHeight="1">
      <c r="AW1250" s="120">
        <v>966</v>
      </c>
    </row>
    <row r="1251" spans="49:49" ht="15" customHeight="1">
      <c r="AW1251" s="120">
        <v>967</v>
      </c>
    </row>
    <row r="1252" spans="49:49" ht="15" customHeight="1">
      <c r="AW1252" s="120">
        <v>968</v>
      </c>
    </row>
    <row r="1253" spans="49:49" ht="15" customHeight="1">
      <c r="AW1253" s="120">
        <v>969</v>
      </c>
    </row>
    <row r="1254" spans="49:49" ht="15" customHeight="1">
      <c r="AW1254" s="120">
        <v>970</v>
      </c>
    </row>
    <row r="1255" spans="49:49" ht="15" customHeight="1">
      <c r="AW1255" s="120">
        <v>971</v>
      </c>
    </row>
    <row r="1256" spans="49:49" ht="15" customHeight="1">
      <c r="AW1256" s="120">
        <v>972</v>
      </c>
    </row>
    <row r="1257" spans="49:49" ht="15" customHeight="1">
      <c r="AW1257" s="120">
        <v>973</v>
      </c>
    </row>
    <row r="1258" spans="49:49" ht="15" customHeight="1">
      <c r="AW1258" s="120">
        <v>974</v>
      </c>
    </row>
    <row r="1259" spans="49:49" ht="15" customHeight="1">
      <c r="AW1259" s="120">
        <v>975</v>
      </c>
    </row>
    <row r="1260" spans="49:49" ht="15" customHeight="1">
      <c r="AW1260" s="120">
        <v>976</v>
      </c>
    </row>
    <row r="1261" spans="49:49" ht="15" customHeight="1">
      <c r="AW1261" s="120">
        <v>977</v>
      </c>
    </row>
    <row r="1262" spans="49:49" ht="15" customHeight="1">
      <c r="AW1262" s="120">
        <v>978</v>
      </c>
    </row>
    <row r="1263" spans="49:49" ht="15" customHeight="1">
      <c r="AW1263" s="120">
        <v>979</v>
      </c>
    </row>
    <row r="1264" spans="49:49" ht="15" customHeight="1">
      <c r="AW1264" s="120">
        <v>980</v>
      </c>
    </row>
    <row r="1265" spans="49:49" ht="15" customHeight="1">
      <c r="AW1265" s="120">
        <v>981</v>
      </c>
    </row>
    <row r="1266" spans="49:49" ht="15" customHeight="1">
      <c r="AW1266" s="120">
        <v>982</v>
      </c>
    </row>
    <row r="1267" spans="49:49" ht="15" customHeight="1">
      <c r="AW1267" s="120">
        <v>983</v>
      </c>
    </row>
    <row r="1268" spans="49:49" ht="15" customHeight="1">
      <c r="AW1268" s="120">
        <v>984</v>
      </c>
    </row>
    <row r="1269" spans="49:49" ht="15" customHeight="1">
      <c r="AW1269" s="120">
        <v>985</v>
      </c>
    </row>
    <row r="1270" spans="49:49" ht="15" customHeight="1">
      <c r="AW1270" s="120">
        <v>986</v>
      </c>
    </row>
    <row r="1271" spans="49:49" ht="15" customHeight="1">
      <c r="AW1271" s="120">
        <v>987</v>
      </c>
    </row>
    <row r="1272" spans="49:49" ht="15" customHeight="1">
      <c r="AW1272" s="120">
        <v>988</v>
      </c>
    </row>
    <row r="1273" spans="49:49" ht="15" customHeight="1">
      <c r="AW1273" s="120">
        <v>989</v>
      </c>
    </row>
    <row r="1274" spans="49:49" ht="15" customHeight="1">
      <c r="AW1274" s="120">
        <v>990</v>
      </c>
    </row>
    <row r="1275" spans="49:49" ht="15" customHeight="1">
      <c r="AW1275" s="120">
        <v>991</v>
      </c>
    </row>
    <row r="1276" spans="49:49" ht="15" customHeight="1">
      <c r="AW1276" s="120">
        <v>992</v>
      </c>
    </row>
    <row r="1277" spans="49:49" ht="15" customHeight="1">
      <c r="AW1277" s="120">
        <v>993</v>
      </c>
    </row>
    <row r="1278" spans="49:49" ht="15" customHeight="1">
      <c r="AW1278" s="120">
        <v>994</v>
      </c>
    </row>
    <row r="1279" spans="49:49" ht="15" customHeight="1">
      <c r="AW1279" s="120">
        <v>995</v>
      </c>
    </row>
    <row r="1280" spans="49:49" ht="15" customHeight="1">
      <c r="AW1280" s="120">
        <v>996</v>
      </c>
    </row>
    <row r="1281" spans="49:49" ht="15" customHeight="1">
      <c r="AW1281" s="120">
        <v>997</v>
      </c>
    </row>
    <row r="1282" spans="49:49" ht="15" customHeight="1">
      <c r="AW1282" s="120">
        <v>998</v>
      </c>
    </row>
    <row r="1283" spans="49:49" ht="15" customHeight="1">
      <c r="AW1283" s="120">
        <v>999</v>
      </c>
    </row>
    <row r="1284" spans="49:49" ht="15" customHeight="1">
      <c r="AW1284" s="120">
        <v>1000</v>
      </c>
    </row>
    <row r="1285" spans="49:49" ht="15" customHeight="1">
      <c r="AW1285" s="120">
        <v>1001</v>
      </c>
    </row>
    <row r="1286" spans="49:49" ht="15" customHeight="1">
      <c r="AW1286" s="120">
        <v>1002</v>
      </c>
    </row>
    <row r="1287" spans="49:49" ht="15" customHeight="1">
      <c r="AW1287" s="120">
        <v>1003</v>
      </c>
    </row>
    <row r="1288" spans="49:49" ht="15" customHeight="1">
      <c r="AW1288" s="120">
        <v>1004</v>
      </c>
    </row>
    <row r="1289" spans="49:49" ht="15" customHeight="1">
      <c r="AW1289" s="120">
        <v>1005</v>
      </c>
    </row>
    <row r="1290" spans="49:49" ht="15" customHeight="1">
      <c r="AW1290" s="120">
        <v>1006</v>
      </c>
    </row>
    <row r="1291" spans="49:49" ht="15" customHeight="1">
      <c r="AW1291" s="120">
        <v>1007</v>
      </c>
    </row>
    <row r="1292" spans="49:49" ht="15" customHeight="1">
      <c r="AW1292" s="120">
        <v>1008</v>
      </c>
    </row>
    <row r="1293" spans="49:49" ht="15" customHeight="1">
      <c r="AW1293" s="120">
        <v>1009</v>
      </c>
    </row>
    <row r="1294" spans="49:49" ht="15" customHeight="1">
      <c r="AW1294" s="120">
        <v>1010</v>
      </c>
    </row>
    <row r="1295" spans="49:49" ht="15" customHeight="1">
      <c r="AW1295" s="120">
        <v>1011</v>
      </c>
    </row>
    <row r="1296" spans="49:49" ht="15" customHeight="1">
      <c r="AW1296" s="120">
        <v>1012</v>
      </c>
    </row>
    <row r="1297" spans="49:49" ht="15" customHeight="1">
      <c r="AW1297" s="120">
        <v>1013</v>
      </c>
    </row>
    <row r="1298" spans="49:49" ht="15" customHeight="1">
      <c r="AW1298" s="120">
        <v>1014</v>
      </c>
    </row>
    <row r="1299" spans="49:49" ht="15" customHeight="1">
      <c r="AW1299" s="120">
        <v>1015</v>
      </c>
    </row>
    <row r="1300" spans="49:49" ht="15" customHeight="1">
      <c r="AW1300" s="120">
        <v>1016</v>
      </c>
    </row>
    <row r="1301" spans="49:49" ht="15" customHeight="1">
      <c r="AW1301" s="120">
        <v>1017</v>
      </c>
    </row>
    <row r="1302" spans="49:49" ht="15" customHeight="1">
      <c r="AW1302" s="120">
        <v>1018</v>
      </c>
    </row>
    <row r="1303" spans="49:49" ht="15" customHeight="1">
      <c r="AW1303" s="120">
        <v>1019</v>
      </c>
    </row>
    <row r="1304" spans="49:49" ht="15" customHeight="1">
      <c r="AW1304" s="120">
        <v>1020</v>
      </c>
    </row>
    <row r="1305" spans="49:49" ht="15" customHeight="1">
      <c r="AW1305" s="120">
        <v>1021</v>
      </c>
    </row>
    <row r="1306" spans="49:49" ht="15" customHeight="1">
      <c r="AW1306" s="120">
        <v>1022</v>
      </c>
    </row>
    <row r="1307" spans="49:49" ht="15" customHeight="1">
      <c r="AW1307" s="120">
        <v>1023</v>
      </c>
    </row>
    <row r="1308" spans="49:49" ht="15" customHeight="1">
      <c r="AW1308" s="120">
        <v>1024</v>
      </c>
    </row>
    <row r="1309" spans="49:49" ht="15" customHeight="1">
      <c r="AW1309" s="120">
        <v>1025</v>
      </c>
    </row>
    <row r="1310" spans="49:49" ht="15" customHeight="1">
      <c r="AW1310" s="120">
        <v>1026</v>
      </c>
    </row>
    <row r="1311" spans="49:49" ht="15" customHeight="1">
      <c r="AW1311" s="120">
        <v>1027</v>
      </c>
    </row>
    <row r="1312" spans="49:49" ht="15" customHeight="1">
      <c r="AW1312" s="120">
        <v>1028</v>
      </c>
    </row>
    <row r="1313" spans="49:49" ht="15" customHeight="1">
      <c r="AW1313" s="120">
        <v>1029</v>
      </c>
    </row>
    <row r="1314" spans="49:49" ht="15" customHeight="1">
      <c r="AW1314" s="120">
        <v>1030</v>
      </c>
    </row>
    <row r="1315" spans="49:49" ht="15" customHeight="1">
      <c r="AW1315" s="120">
        <v>1031</v>
      </c>
    </row>
    <row r="1316" spans="49:49" ht="15" customHeight="1">
      <c r="AW1316" s="120">
        <v>1032</v>
      </c>
    </row>
    <row r="1317" spans="49:49" ht="15" customHeight="1">
      <c r="AW1317" s="120">
        <v>1033</v>
      </c>
    </row>
    <row r="1318" spans="49:49" ht="15" customHeight="1">
      <c r="AW1318" s="120">
        <v>1034</v>
      </c>
    </row>
    <row r="1319" spans="49:49" ht="15" customHeight="1">
      <c r="AW1319" s="120">
        <v>1035</v>
      </c>
    </row>
    <row r="1320" spans="49:49" ht="15" customHeight="1">
      <c r="AW1320" s="120">
        <v>1036</v>
      </c>
    </row>
    <row r="1321" spans="49:49" ht="15" customHeight="1">
      <c r="AW1321" s="120">
        <v>1037</v>
      </c>
    </row>
    <row r="1322" spans="49:49" ht="15" customHeight="1">
      <c r="AW1322" s="120">
        <v>1038</v>
      </c>
    </row>
    <row r="1323" spans="49:49" ht="15" customHeight="1">
      <c r="AW1323" s="120">
        <v>1039</v>
      </c>
    </row>
    <row r="1324" spans="49:49" ht="15" customHeight="1">
      <c r="AW1324" s="120">
        <v>1040</v>
      </c>
    </row>
    <row r="1325" spans="49:49" ht="15" customHeight="1">
      <c r="AW1325" s="120">
        <v>1041</v>
      </c>
    </row>
    <row r="1326" spans="49:49" ht="15" customHeight="1">
      <c r="AW1326" s="120">
        <v>1042</v>
      </c>
    </row>
    <row r="1327" spans="49:49" ht="15" customHeight="1">
      <c r="AW1327" s="120">
        <v>1043</v>
      </c>
    </row>
    <row r="1328" spans="49:49" ht="15" customHeight="1">
      <c r="AW1328" s="120">
        <v>1044</v>
      </c>
    </row>
    <row r="1329" spans="49:49" ht="15" customHeight="1">
      <c r="AW1329" s="120">
        <v>1045</v>
      </c>
    </row>
    <row r="1330" spans="49:49" ht="15" customHeight="1">
      <c r="AW1330" s="120">
        <v>1046</v>
      </c>
    </row>
    <row r="1331" spans="49:49" ht="15" customHeight="1">
      <c r="AW1331" s="120">
        <v>1047</v>
      </c>
    </row>
    <row r="1332" spans="49:49" ht="15" customHeight="1">
      <c r="AW1332" s="120">
        <v>1048</v>
      </c>
    </row>
    <row r="1333" spans="49:49" ht="15" customHeight="1">
      <c r="AW1333" s="120">
        <v>1049</v>
      </c>
    </row>
    <row r="1334" spans="49:49" ht="15" customHeight="1">
      <c r="AW1334" s="120">
        <v>1050</v>
      </c>
    </row>
    <row r="1335" spans="49:49" ht="15" customHeight="1">
      <c r="AW1335" s="120">
        <v>1051</v>
      </c>
    </row>
    <row r="1336" spans="49:49" ht="15" customHeight="1">
      <c r="AW1336" s="120">
        <v>1052</v>
      </c>
    </row>
    <row r="1337" spans="49:49" ht="15" customHeight="1">
      <c r="AW1337" s="120">
        <v>1053</v>
      </c>
    </row>
    <row r="1338" spans="49:49" ht="15" customHeight="1">
      <c r="AW1338" s="120">
        <v>1054</v>
      </c>
    </row>
    <row r="1339" spans="49:49" ht="15" customHeight="1">
      <c r="AW1339" s="120">
        <v>1055</v>
      </c>
    </row>
    <row r="1340" spans="49:49" ht="15" customHeight="1">
      <c r="AW1340" s="120">
        <v>1056</v>
      </c>
    </row>
    <row r="1341" spans="49:49" ht="15" customHeight="1">
      <c r="AW1341" s="120">
        <v>1057</v>
      </c>
    </row>
    <row r="1342" spans="49:49" ht="15" customHeight="1">
      <c r="AW1342" s="120">
        <v>1058</v>
      </c>
    </row>
    <row r="1343" spans="49:49" ht="15" customHeight="1">
      <c r="AW1343" s="120">
        <v>1059</v>
      </c>
    </row>
    <row r="1344" spans="49:49" ht="15" customHeight="1">
      <c r="AW1344" s="120">
        <v>1060</v>
      </c>
    </row>
    <row r="1345" spans="49:49" ht="15" customHeight="1">
      <c r="AW1345" s="120">
        <v>1061</v>
      </c>
    </row>
    <row r="1346" spans="49:49" ht="15" customHeight="1">
      <c r="AW1346" s="120">
        <v>1062</v>
      </c>
    </row>
    <row r="1347" spans="49:49" ht="15" customHeight="1">
      <c r="AW1347" s="120">
        <v>1063</v>
      </c>
    </row>
    <row r="1348" spans="49:49" ht="15" customHeight="1">
      <c r="AW1348" s="120">
        <v>1064</v>
      </c>
    </row>
    <row r="1349" spans="49:49" ht="15" customHeight="1">
      <c r="AW1349" s="120">
        <v>1065</v>
      </c>
    </row>
    <row r="1350" spans="49:49" ht="15" customHeight="1">
      <c r="AW1350" s="120">
        <v>1066</v>
      </c>
    </row>
    <row r="1351" spans="49:49" ht="15" customHeight="1">
      <c r="AW1351" s="120">
        <v>1067</v>
      </c>
    </row>
    <row r="1352" spans="49:49" ht="15" customHeight="1">
      <c r="AW1352" s="120">
        <v>1068</v>
      </c>
    </row>
    <row r="1353" spans="49:49" ht="15" customHeight="1">
      <c r="AW1353" s="120">
        <v>1069</v>
      </c>
    </row>
    <row r="1354" spans="49:49" ht="15" customHeight="1">
      <c r="AW1354" s="120">
        <v>1070</v>
      </c>
    </row>
    <row r="1355" spans="49:49" ht="15" customHeight="1">
      <c r="AW1355" s="120">
        <v>1071</v>
      </c>
    </row>
    <row r="1356" spans="49:49" ht="15" customHeight="1">
      <c r="AW1356" s="120">
        <v>1072</v>
      </c>
    </row>
    <row r="1357" spans="49:49" ht="15" customHeight="1">
      <c r="AW1357" s="120">
        <v>1073</v>
      </c>
    </row>
    <row r="1358" spans="49:49" ht="15" customHeight="1">
      <c r="AW1358" s="120">
        <v>1074</v>
      </c>
    </row>
    <row r="1359" spans="49:49" ht="15" customHeight="1">
      <c r="AW1359" s="120">
        <v>1075</v>
      </c>
    </row>
    <row r="1360" spans="49:49" ht="15" customHeight="1">
      <c r="AW1360" s="120">
        <v>1076</v>
      </c>
    </row>
    <row r="1361" spans="49:49" ht="15" customHeight="1">
      <c r="AW1361" s="120">
        <v>1077</v>
      </c>
    </row>
    <row r="1362" spans="49:49" ht="15" customHeight="1">
      <c r="AW1362" s="120">
        <v>1078</v>
      </c>
    </row>
    <row r="1363" spans="49:49" ht="15" customHeight="1">
      <c r="AW1363" s="120">
        <v>1079</v>
      </c>
    </row>
    <row r="1364" spans="49:49" ht="15" customHeight="1">
      <c r="AW1364" s="120">
        <v>1080</v>
      </c>
    </row>
    <row r="1365" spans="49:49" ht="15" customHeight="1">
      <c r="AW1365" s="120">
        <v>1081</v>
      </c>
    </row>
    <row r="1366" spans="49:49" ht="15" customHeight="1">
      <c r="AW1366" s="120">
        <v>1082</v>
      </c>
    </row>
    <row r="1367" spans="49:49" ht="15" customHeight="1">
      <c r="AW1367" s="120">
        <v>1083</v>
      </c>
    </row>
    <row r="1368" spans="49:49" ht="15" customHeight="1">
      <c r="AW1368" s="120">
        <v>1084</v>
      </c>
    </row>
    <row r="1369" spans="49:49" ht="15" customHeight="1">
      <c r="AW1369" s="120">
        <v>1085</v>
      </c>
    </row>
    <row r="1370" spans="49:49" ht="15" customHeight="1">
      <c r="AW1370" s="120">
        <v>1086</v>
      </c>
    </row>
    <row r="1371" spans="49:49" ht="15" customHeight="1">
      <c r="AW1371" s="120">
        <v>1087</v>
      </c>
    </row>
    <row r="1372" spans="49:49" ht="15" customHeight="1">
      <c r="AW1372" s="120">
        <v>1088</v>
      </c>
    </row>
    <row r="1373" spans="49:49" ht="15" customHeight="1">
      <c r="AW1373" s="120">
        <v>1089</v>
      </c>
    </row>
    <row r="1374" spans="49:49" ht="15" customHeight="1">
      <c r="AW1374" s="120">
        <v>1090</v>
      </c>
    </row>
    <row r="1375" spans="49:49" ht="15" customHeight="1">
      <c r="AW1375" s="120">
        <v>1091</v>
      </c>
    </row>
    <row r="1376" spans="49:49" ht="15" customHeight="1">
      <c r="AW1376" s="120">
        <v>1092</v>
      </c>
    </row>
    <row r="1377" spans="49:49" ht="15" customHeight="1">
      <c r="AW1377" s="120">
        <v>1093</v>
      </c>
    </row>
    <row r="1378" spans="49:49" ht="15" customHeight="1">
      <c r="AW1378" s="120">
        <v>1094</v>
      </c>
    </row>
    <row r="1379" spans="49:49" ht="15" customHeight="1">
      <c r="AW1379" s="120">
        <v>1095</v>
      </c>
    </row>
    <row r="1380" spans="49:49" ht="15" customHeight="1">
      <c r="AW1380" s="120">
        <v>1096</v>
      </c>
    </row>
    <row r="1381" spans="49:49" ht="15" customHeight="1">
      <c r="AW1381" s="120">
        <v>1097</v>
      </c>
    </row>
    <row r="1382" spans="49:49" ht="15" customHeight="1">
      <c r="AW1382" s="120">
        <v>1098</v>
      </c>
    </row>
    <row r="1383" spans="49:49" ht="15" customHeight="1">
      <c r="AW1383" s="120">
        <v>1099</v>
      </c>
    </row>
    <row r="1384" spans="49:49" ht="15" customHeight="1">
      <c r="AW1384" s="120">
        <v>1100</v>
      </c>
    </row>
    <row r="1385" spans="49:49" ht="15" customHeight="1">
      <c r="AW1385" s="120">
        <v>1101</v>
      </c>
    </row>
    <row r="1386" spans="49:49" ht="15" customHeight="1">
      <c r="AW1386" s="120">
        <v>1102</v>
      </c>
    </row>
    <row r="1387" spans="49:49" ht="15" customHeight="1">
      <c r="AW1387" s="120">
        <v>1103</v>
      </c>
    </row>
    <row r="1388" spans="49:49" ht="15" customHeight="1">
      <c r="AW1388" s="120">
        <v>1104</v>
      </c>
    </row>
    <row r="1389" spans="49:49" ht="15" customHeight="1">
      <c r="AW1389" s="120">
        <v>1105</v>
      </c>
    </row>
    <row r="1390" spans="49:49" ht="15" customHeight="1">
      <c r="AW1390" s="120">
        <v>1106</v>
      </c>
    </row>
    <row r="1391" spans="49:49" ht="15" customHeight="1">
      <c r="AW1391" s="120">
        <v>1107</v>
      </c>
    </row>
    <row r="1392" spans="49:49" ht="15" customHeight="1">
      <c r="AW1392" s="120">
        <v>1108</v>
      </c>
    </row>
    <row r="1393" spans="49:49" ht="15" customHeight="1">
      <c r="AW1393" s="120">
        <v>1109</v>
      </c>
    </row>
    <row r="1394" spans="49:49" ht="15" customHeight="1">
      <c r="AW1394" s="120">
        <v>1110</v>
      </c>
    </row>
    <row r="1395" spans="49:49" ht="15" customHeight="1">
      <c r="AW1395" s="120">
        <v>1111</v>
      </c>
    </row>
    <row r="1396" spans="49:49" ht="15" customHeight="1">
      <c r="AW1396" s="120">
        <v>1112</v>
      </c>
    </row>
    <row r="1397" spans="49:49" ht="15" customHeight="1">
      <c r="AW1397" s="120">
        <v>1113</v>
      </c>
    </row>
    <row r="1398" spans="49:49" ht="15" customHeight="1">
      <c r="AW1398" s="120">
        <v>1114</v>
      </c>
    </row>
    <row r="1399" spans="49:49" ht="15" customHeight="1">
      <c r="AW1399" s="120">
        <v>1115</v>
      </c>
    </row>
    <row r="1400" spans="49:49" ht="15" customHeight="1">
      <c r="AW1400" s="120">
        <v>1116</v>
      </c>
    </row>
    <row r="1401" spans="49:49" ht="15" customHeight="1">
      <c r="AW1401" s="120">
        <v>1117</v>
      </c>
    </row>
    <row r="1402" spans="49:49" ht="15" customHeight="1">
      <c r="AW1402" s="120">
        <v>1118</v>
      </c>
    </row>
    <row r="1403" spans="49:49" ht="15" customHeight="1">
      <c r="AW1403" s="120">
        <v>1119</v>
      </c>
    </row>
    <row r="1404" spans="49:49" ht="15" customHeight="1">
      <c r="AW1404" s="120">
        <v>1120</v>
      </c>
    </row>
    <row r="1405" spans="49:49" ht="15" customHeight="1">
      <c r="AW1405" s="120">
        <v>1121</v>
      </c>
    </row>
    <row r="1406" spans="49:49" ht="15" customHeight="1">
      <c r="AW1406" s="120">
        <v>1122</v>
      </c>
    </row>
    <row r="1407" spans="49:49" ht="15" customHeight="1">
      <c r="AW1407" s="120">
        <v>1123</v>
      </c>
    </row>
    <row r="1408" spans="49:49" ht="15" customHeight="1">
      <c r="AW1408" s="120">
        <v>1124</v>
      </c>
    </row>
    <row r="1409" spans="49:49" ht="15" customHeight="1">
      <c r="AW1409" s="120">
        <v>1125</v>
      </c>
    </row>
    <row r="1410" spans="49:49" ht="15" customHeight="1">
      <c r="AW1410" s="120">
        <v>1126</v>
      </c>
    </row>
    <row r="1411" spans="49:49" ht="15" customHeight="1">
      <c r="AW1411" s="120">
        <v>1127</v>
      </c>
    </row>
    <row r="1412" spans="49:49" ht="15" customHeight="1">
      <c r="AW1412" s="120">
        <v>1128</v>
      </c>
    </row>
    <row r="1413" spans="49:49" ht="15" customHeight="1">
      <c r="AW1413" s="120">
        <v>1129</v>
      </c>
    </row>
    <row r="1414" spans="49:49" ht="15" customHeight="1">
      <c r="AW1414" s="120">
        <v>1130</v>
      </c>
    </row>
    <row r="1415" spans="49:49" ht="15" customHeight="1">
      <c r="AW1415" s="120">
        <v>1131</v>
      </c>
    </row>
    <row r="1416" spans="49:49" ht="15" customHeight="1">
      <c r="AW1416" s="120">
        <v>1132</v>
      </c>
    </row>
    <row r="1417" spans="49:49" ht="15" customHeight="1">
      <c r="AW1417" s="120">
        <v>1133</v>
      </c>
    </row>
    <row r="1418" spans="49:49" ht="15" customHeight="1">
      <c r="AW1418" s="120">
        <v>1134</v>
      </c>
    </row>
    <row r="1419" spans="49:49" ht="15" customHeight="1">
      <c r="AW1419" s="120">
        <v>1135</v>
      </c>
    </row>
    <row r="1420" spans="49:49" ht="15" customHeight="1">
      <c r="AW1420" s="120">
        <v>1136</v>
      </c>
    </row>
    <row r="1421" spans="49:49" ht="15" customHeight="1">
      <c r="AW1421" s="120">
        <v>1137</v>
      </c>
    </row>
    <row r="1422" spans="49:49" ht="15" customHeight="1">
      <c r="AW1422" s="120">
        <v>1138</v>
      </c>
    </row>
    <row r="1423" spans="49:49" ht="15" customHeight="1">
      <c r="AW1423" s="120">
        <v>1139</v>
      </c>
    </row>
    <row r="1424" spans="49:49" ht="15" customHeight="1">
      <c r="AW1424" s="120">
        <v>1140</v>
      </c>
    </row>
    <row r="1425" spans="49:49" ht="15" customHeight="1">
      <c r="AW1425" s="120">
        <v>1141</v>
      </c>
    </row>
    <row r="1426" spans="49:49" ht="15" customHeight="1">
      <c r="AW1426" s="120">
        <v>1142</v>
      </c>
    </row>
    <row r="1427" spans="49:49" ht="15" customHeight="1">
      <c r="AW1427" s="120">
        <v>1143</v>
      </c>
    </row>
    <row r="1428" spans="49:49" ht="15" customHeight="1">
      <c r="AW1428" s="120">
        <v>1144</v>
      </c>
    </row>
    <row r="1429" spans="49:49" ht="15" customHeight="1">
      <c r="AW1429" s="120">
        <v>1145</v>
      </c>
    </row>
    <row r="1430" spans="49:49" ht="15" customHeight="1">
      <c r="AW1430" s="120">
        <v>1146</v>
      </c>
    </row>
    <row r="1431" spans="49:49" ht="15" customHeight="1">
      <c r="AW1431" s="120">
        <v>1147</v>
      </c>
    </row>
    <row r="1432" spans="49:49" ht="15" customHeight="1">
      <c r="AW1432" s="120">
        <v>1148</v>
      </c>
    </row>
    <row r="1433" spans="49:49" ht="15" customHeight="1">
      <c r="AW1433" s="120">
        <v>1149</v>
      </c>
    </row>
    <row r="1434" spans="49:49" ht="15" customHeight="1">
      <c r="AW1434" s="120">
        <v>1150</v>
      </c>
    </row>
    <row r="1435" spans="49:49" ht="15" customHeight="1">
      <c r="AW1435" s="120">
        <v>1151</v>
      </c>
    </row>
    <row r="1436" spans="49:49" ht="15" customHeight="1">
      <c r="AW1436" s="120">
        <v>1152</v>
      </c>
    </row>
    <row r="1437" spans="49:49" ht="15" customHeight="1">
      <c r="AW1437" s="120">
        <v>1153</v>
      </c>
    </row>
    <row r="1438" spans="49:49" ht="15" customHeight="1">
      <c r="AW1438" s="120">
        <v>1154</v>
      </c>
    </row>
    <row r="1439" spans="49:49" ht="15" customHeight="1">
      <c r="AW1439" s="120">
        <v>1155</v>
      </c>
    </row>
    <row r="1440" spans="49:49" ht="15" customHeight="1">
      <c r="AW1440" s="120">
        <v>1156</v>
      </c>
    </row>
    <row r="1441" spans="49:49" ht="15" customHeight="1">
      <c r="AW1441" s="120">
        <v>1157</v>
      </c>
    </row>
    <row r="1442" spans="49:49" ht="15" customHeight="1">
      <c r="AW1442" s="120">
        <v>1158</v>
      </c>
    </row>
    <row r="1443" spans="49:49" ht="15" customHeight="1">
      <c r="AW1443" s="120">
        <v>1159</v>
      </c>
    </row>
    <row r="1444" spans="49:49" ht="15" customHeight="1">
      <c r="AW1444" s="120">
        <v>1160</v>
      </c>
    </row>
    <row r="1445" spans="49:49" ht="15" customHeight="1">
      <c r="AW1445" s="120">
        <v>1161</v>
      </c>
    </row>
    <row r="1446" spans="49:49" ht="15" customHeight="1">
      <c r="AW1446" s="120">
        <v>1162</v>
      </c>
    </row>
    <row r="1447" spans="49:49" ht="15" customHeight="1">
      <c r="AW1447" s="120">
        <v>1163</v>
      </c>
    </row>
    <row r="1448" spans="49:49" ht="15" customHeight="1">
      <c r="AW1448" s="120">
        <v>1164</v>
      </c>
    </row>
    <row r="1449" spans="49:49" ht="15" customHeight="1">
      <c r="AW1449" s="120">
        <v>1165</v>
      </c>
    </row>
    <row r="1450" spans="49:49" ht="15" customHeight="1">
      <c r="AW1450" s="120">
        <v>1166</v>
      </c>
    </row>
    <row r="1451" spans="49:49" ht="15" customHeight="1">
      <c r="AW1451" s="120">
        <v>1167</v>
      </c>
    </row>
    <row r="1452" spans="49:49" ht="15" customHeight="1">
      <c r="AW1452" s="120">
        <v>1168</v>
      </c>
    </row>
    <row r="1453" spans="49:49" ht="15" customHeight="1">
      <c r="AW1453" s="120">
        <v>1169</v>
      </c>
    </row>
    <row r="1454" spans="49:49" ht="15" customHeight="1">
      <c r="AW1454" s="120">
        <v>1170</v>
      </c>
    </row>
    <row r="1455" spans="49:49" ht="15" customHeight="1">
      <c r="AW1455" s="120">
        <v>1171</v>
      </c>
    </row>
    <row r="1456" spans="49:49" ht="15" customHeight="1">
      <c r="AW1456" s="120">
        <v>1172</v>
      </c>
    </row>
    <row r="1457" spans="49:49" ht="15" customHeight="1">
      <c r="AW1457" s="120">
        <v>1173</v>
      </c>
    </row>
    <row r="1458" spans="49:49" ht="15" customHeight="1">
      <c r="AW1458" s="120">
        <v>1174</v>
      </c>
    </row>
    <row r="1459" spans="49:49" ht="15" customHeight="1">
      <c r="AW1459" s="120">
        <v>1175</v>
      </c>
    </row>
    <row r="1460" spans="49:49" ht="15" customHeight="1">
      <c r="AW1460" s="120">
        <v>1176</v>
      </c>
    </row>
    <row r="1461" spans="49:49" ht="15" customHeight="1">
      <c r="AW1461" s="120">
        <v>1177</v>
      </c>
    </row>
    <row r="1462" spans="49:49" ht="15" customHeight="1">
      <c r="AW1462" s="120">
        <v>1178</v>
      </c>
    </row>
    <row r="1463" spans="49:49" ht="15" customHeight="1">
      <c r="AW1463" s="120">
        <v>1179</v>
      </c>
    </row>
    <row r="1464" spans="49:49" ht="15" customHeight="1">
      <c r="AW1464" s="120">
        <v>1180</v>
      </c>
    </row>
    <row r="1465" spans="49:49" ht="15" customHeight="1">
      <c r="AW1465" s="120">
        <v>1181</v>
      </c>
    </row>
    <row r="1466" spans="49:49" ht="15" customHeight="1">
      <c r="AW1466" s="120">
        <v>1182</v>
      </c>
    </row>
    <row r="1467" spans="49:49" ht="15" customHeight="1">
      <c r="AW1467" s="120">
        <v>1183</v>
      </c>
    </row>
    <row r="1468" spans="49:49" ht="15" customHeight="1">
      <c r="AW1468" s="120">
        <v>1184</v>
      </c>
    </row>
    <row r="1469" spans="49:49" ht="15" customHeight="1">
      <c r="AW1469" s="120">
        <v>1185</v>
      </c>
    </row>
    <row r="1470" spans="49:49" ht="15" customHeight="1">
      <c r="AW1470" s="120">
        <v>1186</v>
      </c>
    </row>
    <row r="1471" spans="49:49" ht="15" customHeight="1">
      <c r="AW1471" s="120">
        <v>1187</v>
      </c>
    </row>
    <row r="1472" spans="49:49" ht="15" customHeight="1">
      <c r="AW1472" s="120">
        <v>1188</v>
      </c>
    </row>
    <row r="1473" spans="49:49" ht="15" customHeight="1">
      <c r="AW1473" s="120">
        <v>1189</v>
      </c>
    </row>
    <row r="1474" spans="49:49" ht="15" customHeight="1">
      <c r="AW1474" s="120">
        <v>1190</v>
      </c>
    </row>
    <row r="1475" spans="49:49" ht="15" customHeight="1">
      <c r="AW1475" s="120">
        <v>1191</v>
      </c>
    </row>
    <row r="1476" spans="49:49" ht="15" customHeight="1">
      <c r="AW1476" s="120">
        <v>1192</v>
      </c>
    </row>
    <row r="1477" spans="49:49" ht="15" customHeight="1">
      <c r="AW1477" s="120">
        <v>1193</v>
      </c>
    </row>
    <row r="1478" spans="49:49" ht="15" customHeight="1">
      <c r="AW1478" s="120">
        <v>1194</v>
      </c>
    </row>
    <row r="1479" spans="49:49" ht="15" customHeight="1">
      <c r="AW1479" s="120">
        <v>1195</v>
      </c>
    </row>
    <row r="1480" spans="49:49" ht="15" customHeight="1">
      <c r="AW1480" s="120">
        <v>1196</v>
      </c>
    </row>
    <row r="1481" spans="49:49" ht="15" customHeight="1">
      <c r="AW1481" s="120">
        <v>1197</v>
      </c>
    </row>
    <row r="1482" spans="49:49" ht="15" customHeight="1">
      <c r="AW1482" s="120">
        <v>1198</v>
      </c>
    </row>
    <row r="1483" spans="49:49" ht="15" customHeight="1">
      <c r="AW1483" s="120">
        <v>1199</v>
      </c>
    </row>
    <row r="1484" spans="49:49" ht="15" customHeight="1">
      <c r="AW1484" s="120">
        <v>1200</v>
      </c>
    </row>
    <row r="1485" spans="49:49" ht="15" customHeight="1">
      <c r="AW1485" s="120">
        <v>1201</v>
      </c>
    </row>
    <row r="1486" spans="49:49" ht="15" customHeight="1">
      <c r="AW1486" s="120">
        <v>1202</v>
      </c>
    </row>
    <row r="1487" spans="49:49" ht="15" customHeight="1">
      <c r="AW1487" s="120">
        <v>1203</v>
      </c>
    </row>
    <row r="1488" spans="49:49" ht="15" customHeight="1">
      <c r="AW1488" s="120">
        <v>1204</v>
      </c>
    </row>
    <row r="1489" spans="49:49" ht="15" customHeight="1">
      <c r="AW1489" s="120">
        <v>1205</v>
      </c>
    </row>
    <row r="1490" spans="49:49" ht="15" customHeight="1">
      <c r="AW1490" s="120">
        <v>1206</v>
      </c>
    </row>
    <row r="1491" spans="49:49" ht="15" customHeight="1">
      <c r="AW1491" s="120">
        <v>1207</v>
      </c>
    </row>
    <row r="1492" spans="49:49" ht="15" customHeight="1">
      <c r="AW1492" s="120">
        <v>1208</v>
      </c>
    </row>
    <row r="1493" spans="49:49" ht="15" customHeight="1">
      <c r="AW1493" s="120">
        <v>1209</v>
      </c>
    </row>
    <row r="1494" spans="49:49" ht="15" customHeight="1">
      <c r="AW1494" s="120">
        <v>1210</v>
      </c>
    </row>
    <row r="1495" spans="49:49" ht="15" customHeight="1">
      <c r="AW1495" s="120">
        <v>1211</v>
      </c>
    </row>
    <row r="1496" spans="49:49" ht="15" customHeight="1">
      <c r="AW1496" s="120">
        <v>1212</v>
      </c>
    </row>
    <row r="1497" spans="49:49" ht="15" customHeight="1">
      <c r="AW1497" s="120">
        <v>1213</v>
      </c>
    </row>
    <row r="1498" spans="49:49" ht="15" customHeight="1">
      <c r="AW1498" s="120">
        <v>1214</v>
      </c>
    </row>
    <row r="1499" spans="49:49" ht="15" customHeight="1">
      <c r="AW1499" s="120">
        <v>1215</v>
      </c>
    </row>
    <row r="1500" spans="49:49" ht="15" customHeight="1">
      <c r="AW1500" s="120">
        <v>1216</v>
      </c>
    </row>
    <row r="1501" spans="49:49" ht="15" customHeight="1">
      <c r="AW1501" s="120">
        <v>1217</v>
      </c>
    </row>
    <row r="1502" spans="49:49" ht="15" customHeight="1">
      <c r="AW1502" s="120">
        <v>1218</v>
      </c>
    </row>
    <row r="1503" spans="49:49" ht="15" customHeight="1">
      <c r="AW1503" s="120">
        <v>1219</v>
      </c>
    </row>
    <row r="1504" spans="49:49" ht="15" customHeight="1">
      <c r="AW1504" s="120">
        <v>1220</v>
      </c>
    </row>
    <row r="1505" spans="49:49" ht="15" customHeight="1">
      <c r="AW1505" s="120">
        <v>1221</v>
      </c>
    </row>
    <row r="1506" spans="49:49" ht="15" customHeight="1">
      <c r="AW1506" s="120">
        <v>1222</v>
      </c>
    </row>
    <row r="1507" spans="49:49" ht="15" customHeight="1">
      <c r="AW1507" s="120">
        <v>1223</v>
      </c>
    </row>
    <row r="1508" spans="49:49" ht="15" customHeight="1">
      <c r="AW1508" s="120">
        <v>1224</v>
      </c>
    </row>
    <row r="1509" spans="49:49" ht="15" customHeight="1">
      <c r="AW1509" s="120">
        <v>1225</v>
      </c>
    </row>
    <row r="1510" spans="49:49" ht="15" customHeight="1">
      <c r="AW1510" s="120">
        <v>1226</v>
      </c>
    </row>
    <row r="1511" spans="49:49" ht="15" customHeight="1">
      <c r="AW1511" s="120">
        <v>1227</v>
      </c>
    </row>
    <row r="1512" spans="49:49" ht="15" customHeight="1">
      <c r="AW1512" s="120">
        <v>1228</v>
      </c>
    </row>
    <row r="1513" spans="49:49" ht="15" customHeight="1">
      <c r="AW1513" s="120">
        <v>1229</v>
      </c>
    </row>
    <row r="1514" spans="49:49" ht="15" customHeight="1">
      <c r="AW1514" s="120">
        <v>1230</v>
      </c>
    </row>
    <row r="1515" spans="49:49" ht="15" customHeight="1">
      <c r="AW1515" s="120">
        <v>1231</v>
      </c>
    </row>
    <row r="1516" spans="49:49" ht="15" customHeight="1">
      <c r="AW1516" s="120">
        <v>1232</v>
      </c>
    </row>
    <row r="1517" spans="49:49" ht="15" customHeight="1">
      <c r="AW1517" s="120">
        <v>1233</v>
      </c>
    </row>
    <row r="1518" spans="49:49" ht="15" customHeight="1">
      <c r="AW1518" s="120">
        <v>1234</v>
      </c>
    </row>
    <row r="1519" spans="49:49" ht="15" customHeight="1">
      <c r="AW1519" s="120">
        <v>1235</v>
      </c>
    </row>
    <row r="1520" spans="49:49" ht="15" customHeight="1">
      <c r="AW1520" s="120">
        <v>1236</v>
      </c>
    </row>
    <row r="1521" spans="49:49" ht="15" customHeight="1">
      <c r="AW1521" s="120">
        <v>1237</v>
      </c>
    </row>
    <row r="1522" spans="49:49" ht="15" customHeight="1">
      <c r="AW1522" s="120">
        <v>1238</v>
      </c>
    </row>
    <row r="1523" spans="49:49" ht="15" customHeight="1">
      <c r="AW1523" s="120">
        <v>1239</v>
      </c>
    </row>
    <row r="1524" spans="49:49" ht="15" customHeight="1">
      <c r="AW1524" s="120">
        <v>1240</v>
      </c>
    </row>
    <row r="1525" spans="49:49" ht="15" customHeight="1">
      <c r="AW1525" s="120">
        <v>1241</v>
      </c>
    </row>
    <row r="1526" spans="49:49" ht="15" customHeight="1">
      <c r="AW1526" s="120">
        <v>1242</v>
      </c>
    </row>
    <row r="1527" spans="49:49" ht="15" customHeight="1">
      <c r="AW1527" s="120">
        <v>1243</v>
      </c>
    </row>
    <row r="1528" spans="49:49" ht="15" customHeight="1">
      <c r="AW1528" s="120">
        <v>1244</v>
      </c>
    </row>
    <row r="1529" spans="49:49" ht="15" customHeight="1">
      <c r="AW1529" s="120">
        <v>1245</v>
      </c>
    </row>
    <row r="1530" spans="49:49" ht="15" customHeight="1">
      <c r="AW1530" s="120">
        <v>1246</v>
      </c>
    </row>
    <row r="1531" spans="49:49" ht="15" customHeight="1">
      <c r="AW1531" s="120">
        <v>1247</v>
      </c>
    </row>
    <row r="1532" spans="49:49" ht="15" customHeight="1">
      <c r="AW1532" s="120">
        <v>1248</v>
      </c>
    </row>
    <row r="1533" spans="49:49" ht="15" customHeight="1">
      <c r="AW1533" s="120">
        <v>1249</v>
      </c>
    </row>
    <row r="1534" spans="49:49" ht="15" customHeight="1">
      <c r="AW1534" s="120">
        <v>1250</v>
      </c>
    </row>
    <row r="1535" spans="49:49" ht="15" customHeight="1">
      <c r="AW1535" s="120">
        <v>1251</v>
      </c>
    </row>
    <row r="1536" spans="49:49" ht="15" customHeight="1">
      <c r="AW1536" s="120">
        <v>1252</v>
      </c>
    </row>
    <row r="1537" spans="49:49" ht="15" customHeight="1">
      <c r="AW1537" s="120">
        <v>1253</v>
      </c>
    </row>
    <row r="1538" spans="49:49" ht="15" customHeight="1">
      <c r="AW1538" s="120">
        <v>1254</v>
      </c>
    </row>
    <row r="1539" spans="49:49" ht="15" customHeight="1">
      <c r="AW1539" s="120">
        <v>1255</v>
      </c>
    </row>
    <row r="1540" spans="49:49" ht="15" customHeight="1">
      <c r="AW1540" s="120">
        <v>1256</v>
      </c>
    </row>
    <row r="1541" spans="49:49" ht="15" customHeight="1">
      <c r="AW1541" s="120">
        <v>1257</v>
      </c>
    </row>
    <row r="1542" spans="49:49" ht="15" customHeight="1">
      <c r="AW1542" s="120">
        <v>1258</v>
      </c>
    </row>
    <row r="1543" spans="49:49" ht="15" customHeight="1">
      <c r="AW1543" s="120">
        <v>1259</v>
      </c>
    </row>
    <row r="1544" spans="49:49" ht="15" customHeight="1">
      <c r="AW1544" s="120">
        <v>1260</v>
      </c>
    </row>
    <row r="1545" spans="49:49" ht="15" customHeight="1">
      <c r="AW1545" s="120">
        <v>1261</v>
      </c>
    </row>
    <row r="1546" spans="49:49" ht="15" customHeight="1">
      <c r="AW1546" s="120">
        <v>1262</v>
      </c>
    </row>
    <row r="1547" spans="49:49" ht="15" customHeight="1">
      <c r="AW1547" s="120">
        <v>1263</v>
      </c>
    </row>
    <row r="1548" spans="49:49" ht="15" customHeight="1">
      <c r="AW1548" s="120">
        <v>1264</v>
      </c>
    </row>
    <row r="1549" spans="49:49" ht="15" customHeight="1">
      <c r="AW1549" s="120">
        <v>1265</v>
      </c>
    </row>
    <row r="1550" spans="49:49" ht="15" customHeight="1">
      <c r="AW1550" s="120">
        <v>1266</v>
      </c>
    </row>
    <row r="1551" spans="49:49" ht="15" customHeight="1">
      <c r="AW1551" s="120">
        <v>1267</v>
      </c>
    </row>
    <row r="1552" spans="49:49" ht="15" customHeight="1">
      <c r="AW1552" s="120">
        <v>1268</v>
      </c>
    </row>
    <row r="1553" spans="49:49" ht="15" customHeight="1">
      <c r="AW1553" s="120">
        <v>1269</v>
      </c>
    </row>
    <row r="1554" spans="49:49" ht="15" customHeight="1">
      <c r="AW1554" s="120">
        <v>1270</v>
      </c>
    </row>
    <row r="1555" spans="49:49" ht="15" customHeight="1">
      <c r="AW1555" s="120">
        <v>1271</v>
      </c>
    </row>
    <row r="1556" spans="49:49" ht="15" customHeight="1">
      <c r="AW1556" s="120">
        <v>1272</v>
      </c>
    </row>
    <row r="1557" spans="49:49" ht="15" customHeight="1">
      <c r="AW1557" s="120">
        <v>1273</v>
      </c>
    </row>
    <row r="1558" spans="49:49" ht="15" customHeight="1">
      <c r="AW1558" s="120">
        <v>1274</v>
      </c>
    </row>
    <row r="1559" spans="49:49" ht="15" customHeight="1">
      <c r="AW1559" s="120">
        <v>1275</v>
      </c>
    </row>
    <row r="1560" spans="49:49" ht="15" customHeight="1">
      <c r="AW1560" s="120">
        <v>1276</v>
      </c>
    </row>
    <row r="1561" spans="49:49" ht="15" customHeight="1">
      <c r="AW1561" s="120">
        <v>1277</v>
      </c>
    </row>
    <row r="1562" spans="49:49" ht="15" customHeight="1">
      <c r="AW1562" s="120">
        <v>1278</v>
      </c>
    </row>
    <row r="1563" spans="49:49" ht="15" customHeight="1">
      <c r="AW1563" s="120">
        <v>1279</v>
      </c>
    </row>
    <row r="1564" spans="49:49" ht="15" customHeight="1">
      <c r="AW1564" s="120">
        <v>1280</v>
      </c>
    </row>
    <row r="1565" spans="49:49" ht="15" customHeight="1">
      <c r="AW1565" s="120">
        <v>1281</v>
      </c>
    </row>
    <row r="1566" spans="49:49" ht="15" customHeight="1">
      <c r="AW1566" s="120">
        <v>1282</v>
      </c>
    </row>
    <row r="1567" spans="49:49" ht="15" customHeight="1">
      <c r="AW1567" s="120">
        <v>1283</v>
      </c>
    </row>
    <row r="1568" spans="49:49" ht="15" customHeight="1">
      <c r="AW1568" s="120">
        <v>1284</v>
      </c>
    </row>
    <row r="1569" spans="49:49" ht="15" customHeight="1">
      <c r="AW1569" s="120">
        <v>1285</v>
      </c>
    </row>
    <row r="1570" spans="49:49" ht="15" customHeight="1">
      <c r="AW1570" s="120">
        <v>1286</v>
      </c>
    </row>
    <row r="1571" spans="49:49" ht="15" customHeight="1">
      <c r="AW1571" s="120">
        <v>1287</v>
      </c>
    </row>
    <row r="1572" spans="49:49" ht="15" customHeight="1">
      <c r="AW1572" s="120">
        <v>1288</v>
      </c>
    </row>
    <row r="1573" spans="49:49" ht="15" customHeight="1">
      <c r="AW1573" s="120">
        <v>1289</v>
      </c>
    </row>
    <row r="1574" spans="49:49" ht="15" customHeight="1">
      <c r="AW1574" s="120">
        <v>1290</v>
      </c>
    </row>
    <row r="1575" spans="49:49" ht="15" customHeight="1">
      <c r="AW1575" s="120">
        <v>1291</v>
      </c>
    </row>
    <row r="1576" spans="49:49" ht="15" customHeight="1">
      <c r="AW1576" s="120">
        <v>1292</v>
      </c>
    </row>
    <row r="1577" spans="49:49" ht="15" customHeight="1">
      <c r="AW1577" s="120">
        <v>1293</v>
      </c>
    </row>
    <row r="1578" spans="49:49" ht="15" customHeight="1">
      <c r="AW1578" s="120">
        <v>1294</v>
      </c>
    </row>
    <row r="1579" spans="49:49" ht="15" customHeight="1">
      <c r="AW1579" s="120">
        <v>1295</v>
      </c>
    </row>
    <row r="1580" spans="49:49" ht="15" customHeight="1">
      <c r="AW1580" s="120">
        <v>1296</v>
      </c>
    </row>
    <row r="1581" spans="49:49" ht="15" customHeight="1">
      <c r="AW1581" s="120">
        <v>1297</v>
      </c>
    </row>
    <row r="1582" spans="49:49" ht="15" customHeight="1">
      <c r="AW1582" s="120">
        <v>1298</v>
      </c>
    </row>
    <row r="1583" spans="49:49" ht="15" customHeight="1">
      <c r="AW1583" s="120">
        <v>1299</v>
      </c>
    </row>
    <row r="1584" spans="49:49" ht="15" customHeight="1">
      <c r="AW1584" s="120">
        <v>1300</v>
      </c>
    </row>
    <row r="1585" spans="49:49" ht="15" customHeight="1">
      <c r="AW1585" s="120">
        <v>1301</v>
      </c>
    </row>
    <row r="1586" spans="49:49" ht="15" customHeight="1">
      <c r="AW1586" s="120">
        <v>1302</v>
      </c>
    </row>
    <row r="1587" spans="49:49" ht="15" customHeight="1">
      <c r="AW1587" s="120">
        <v>1303</v>
      </c>
    </row>
    <row r="1588" spans="49:49" ht="15" customHeight="1">
      <c r="AW1588" s="120">
        <v>1304</v>
      </c>
    </row>
    <row r="1589" spans="49:49" ht="15" customHeight="1">
      <c r="AW1589" s="120">
        <v>1305</v>
      </c>
    </row>
    <row r="1590" spans="49:49" ht="15" customHeight="1">
      <c r="AW1590" s="120">
        <v>1306</v>
      </c>
    </row>
    <row r="1591" spans="49:49" ht="15" customHeight="1">
      <c r="AW1591" s="120">
        <v>1307</v>
      </c>
    </row>
    <row r="1592" spans="49:49" ht="15" customHeight="1">
      <c r="AW1592" s="120">
        <v>1308</v>
      </c>
    </row>
    <row r="1593" spans="49:49" ht="15" customHeight="1">
      <c r="AW1593" s="120">
        <v>1309</v>
      </c>
    </row>
    <row r="1594" spans="49:49" ht="15" customHeight="1">
      <c r="AW1594" s="120">
        <v>1310</v>
      </c>
    </row>
    <row r="1595" spans="49:49" ht="15" customHeight="1">
      <c r="AW1595" s="120">
        <v>1311</v>
      </c>
    </row>
    <row r="1596" spans="49:49" ht="15" customHeight="1">
      <c r="AW1596" s="120">
        <v>1312</v>
      </c>
    </row>
    <row r="1597" spans="49:49" ht="15" customHeight="1">
      <c r="AW1597" s="120">
        <v>1313</v>
      </c>
    </row>
    <row r="1598" spans="49:49" ht="15" customHeight="1">
      <c r="AW1598" s="120">
        <v>1314</v>
      </c>
    </row>
    <row r="1599" spans="49:49" ht="15" customHeight="1">
      <c r="AW1599" s="120">
        <v>1315</v>
      </c>
    </row>
    <row r="1600" spans="49:49" ht="15" customHeight="1">
      <c r="AW1600" s="120">
        <v>1316</v>
      </c>
    </row>
    <row r="1601" spans="49:49" ht="15" customHeight="1">
      <c r="AW1601" s="120">
        <v>1317</v>
      </c>
    </row>
    <row r="1602" spans="49:49" ht="15" customHeight="1">
      <c r="AW1602" s="120">
        <v>1318</v>
      </c>
    </row>
    <row r="1603" spans="49:49" ht="15" customHeight="1">
      <c r="AW1603" s="120">
        <v>1319</v>
      </c>
    </row>
    <row r="1604" spans="49:49" ht="15" customHeight="1">
      <c r="AW1604" s="120">
        <v>1320</v>
      </c>
    </row>
    <row r="1605" spans="49:49" ht="15" customHeight="1">
      <c r="AW1605" s="120">
        <v>1321</v>
      </c>
    </row>
    <row r="1606" spans="49:49" ht="15" customHeight="1">
      <c r="AW1606" s="120">
        <v>1322</v>
      </c>
    </row>
    <row r="1607" spans="49:49" ht="15" customHeight="1">
      <c r="AW1607" s="120">
        <v>1323</v>
      </c>
    </row>
    <row r="1608" spans="49:49" ht="15" customHeight="1">
      <c r="AW1608" s="120">
        <v>1324</v>
      </c>
    </row>
    <row r="1609" spans="49:49" ht="15" customHeight="1">
      <c r="AW1609" s="120">
        <v>1325</v>
      </c>
    </row>
    <row r="1610" spans="49:49" ht="15" customHeight="1">
      <c r="AW1610" s="120">
        <v>1326</v>
      </c>
    </row>
    <row r="1611" spans="49:49" ht="15" customHeight="1">
      <c r="AW1611" s="120">
        <v>1327</v>
      </c>
    </row>
    <row r="1612" spans="49:49" ht="15" customHeight="1">
      <c r="AW1612" s="120">
        <v>1328</v>
      </c>
    </row>
    <row r="1613" spans="49:49" ht="15" customHeight="1">
      <c r="AW1613" s="120">
        <v>1329</v>
      </c>
    </row>
    <row r="1614" spans="49:49" ht="15" customHeight="1">
      <c r="AW1614" s="120">
        <v>1330</v>
      </c>
    </row>
    <row r="1615" spans="49:49" ht="15" customHeight="1">
      <c r="AW1615" s="120">
        <v>1331</v>
      </c>
    </row>
    <row r="1616" spans="49:49" ht="15" customHeight="1">
      <c r="AW1616" s="120">
        <v>1332</v>
      </c>
    </row>
    <row r="1617" spans="49:49" ht="15" customHeight="1">
      <c r="AW1617" s="120">
        <v>1333</v>
      </c>
    </row>
    <row r="1618" spans="49:49" ht="15" customHeight="1">
      <c r="AW1618" s="120">
        <v>1334</v>
      </c>
    </row>
    <row r="1619" spans="49:49" ht="15" customHeight="1">
      <c r="AW1619" s="120">
        <v>1335</v>
      </c>
    </row>
    <row r="1620" spans="49:49" ht="15" customHeight="1">
      <c r="AW1620" s="120">
        <v>1336</v>
      </c>
    </row>
    <row r="1621" spans="49:49" ht="15" customHeight="1">
      <c r="AW1621" s="120">
        <v>1337</v>
      </c>
    </row>
    <row r="1622" spans="49:49" ht="15" customHeight="1">
      <c r="AW1622" s="120">
        <v>1338</v>
      </c>
    </row>
    <row r="1623" spans="49:49" ht="15" customHeight="1">
      <c r="AW1623" s="120">
        <v>1339</v>
      </c>
    </row>
    <row r="1624" spans="49:49" ht="15" customHeight="1">
      <c r="AW1624" s="120">
        <v>1340</v>
      </c>
    </row>
    <row r="1625" spans="49:49" ht="15" customHeight="1">
      <c r="AW1625" s="120">
        <v>1341</v>
      </c>
    </row>
    <row r="1626" spans="49:49" ht="15" customHeight="1">
      <c r="AW1626" s="120">
        <v>1342</v>
      </c>
    </row>
    <row r="1627" spans="49:49" ht="15" customHeight="1">
      <c r="AW1627" s="120">
        <v>1343</v>
      </c>
    </row>
    <row r="1628" spans="49:49" ht="15" customHeight="1">
      <c r="AW1628" s="120">
        <v>1344</v>
      </c>
    </row>
    <row r="1629" spans="49:49" ht="15" customHeight="1">
      <c r="AW1629" s="120">
        <v>1345</v>
      </c>
    </row>
    <row r="1630" spans="49:49" ht="15" customHeight="1">
      <c r="AW1630" s="120">
        <v>1346</v>
      </c>
    </row>
    <row r="1631" spans="49:49" ht="15" customHeight="1">
      <c r="AW1631" s="120">
        <v>1347</v>
      </c>
    </row>
    <row r="1632" spans="49:49" ht="15" customHeight="1">
      <c r="AW1632" s="120">
        <v>1348</v>
      </c>
    </row>
    <row r="1633" spans="49:49" ht="15" customHeight="1">
      <c r="AW1633" s="120">
        <v>1349</v>
      </c>
    </row>
    <row r="1634" spans="49:49" ht="15" customHeight="1">
      <c r="AW1634" s="120">
        <v>1350</v>
      </c>
    </row>
    <row r="1635" spans="49:49" ht="15" customHeight="1">
      <c r="AW1635" s="120">
        <v>1351</v>
      </c>
    </row>
    <row r="1636" spans="49:49" ht="15" customHeight="1">
      <c r="AW1636" s="120">
        <v>1352</v>
      </c>
    </row>
    <row r="1637" spans="49:49" ht="15" customHeight="1">
      <c r="AW1637" s="120">
        <v>1353</v>
      </c>
    </row>
    <row r="1638" spans="49:49" ht="15" customHeight="1">
      <c r="AW1638" s="120">
        <v>1354</v>
      </c>
    </row>
    <row r="1639" spans="49:49" ht="15" customHeight="1">
      <c r="AW1639" s="120">
        <v>1355</v>
      </c>
    </row>
    <row r="1640" spans="49:49" ht="15" customHeight="1">
      <c r="AW1640" s="120">
        <v>1356</v>
      </c>
    </row>
    <row r="1641" spans="49:49" ht="15" customHeight="1">
      <c r="AW1641" s="120">
        <v>1357</v>
      </c>
    </row>
    <row r="1642" spans="49:49" ht="15" customHeight="1">
      <c r="AW1642" s="120">
        <v>1358</v>
      </c>
    </row>
    <row r="1643" spans="49:49" ht="15" customHeight="1">
      <c r="AW1643" s="120">
        <v>1359</v>
      </c>
    </row>
    <row r="1644" spans="49:49" ht="15" customHeight="1">
      <c r="AW1644" s="120">
        <v>1360</v>
      </c>
    </row>
    <row r="1645" spans="49:49" ht="15" customHeight="1">
      <c r="AW1645" s="120">
        <v>1361</v>
      </c>
    </row>
    <row r="1646" spans="49:49" ht="15" customHeight="1">
      <c r="AW1646" s="120">
        <v>1362</v>
      </c>
    </row>
    <row r="1647" spans="49:49" ht="15" customHeight="1">
      <c r="AW1647" s="120">
        <v>1363</v>
      </c>
    </row>
    <row r="1648" spans="49:49" ht="15" customHeight="1">
      <c r="AW1648" s="120">
        <v>1364</v>
      </c>
    </row>
    <row r="1649" spans="49:49" ht="15" customHeight="1">
      <c r="AW1649" s="120">
        <v>1365</v>
      </c>
    </row>
    <row r="1650" spans="49:49" ht="15" customHeight="1">
      <c r="AW1650" s="120">
        <v>1366</v>
      </c>
    </row>
    <row r="1651" spans="49:49" ht="15" customHeight="1">
      <c r="AW1651" s="120">
        <v>1367</v>
      </c>
    </row>
    <row r="1652" spans="49:49" ht="15" customHeight="1">
      <c r="AW1652" s="120">
        <v>1368</v>
      </c>
    </row>
    <row r="1653" spans="49:49" ht="15" customHeight="1">
      <c r="AW1653" s="120">
        <v>1369</v>
      </c>
    </row>
    <row r="1654" spans="49:49" ht="15" customHeight="1">
      <c r="AW1654" s="120">
        <v>1370</v>
      </c>
    </row>
    <row r="1655" spans="49:49" ht="15" customHeight="1">
      <c r="AW1655" s="120">
        <v>1371</v>
      </c>
    </row>
    <row r="1656" spans="49:49" ht="15" customHeight="1">
      <c r="AW1656" s="120">
        <v>1372</v>
      </c>
    </row>
    <row r="1657" spans="49:49" ht="15" customHeight="1">
      <c r="AW1657" s="120">
        <v>1373</v>
      </c>
    </row>
    <row r="1658" spans="49:49" ht="15" customHeight="1">
      <c r="AW1658" s="120">
        <v>1374</v>
      </c>
    </row>
    <row r="1659" spans="49:49" ht="15" customHeight="1">
      <c r="AW1659" s="120">
        <v>1375</v>
      </c>
    </row>
    <row r="1660" spans="49:49" ht="15" customHeight="1">
      <c r="AW1660" s="120">
        <v>1376</v>
      </c>
    </row>
    <row r="1661" spans="49:49" ht="15" customHeight="1">
      <c r="AW1661" s="120">
        <v>1377</v>
      </c>
    </row>
    <row r="1662" spans="49:49" ht="15" customHeight="1">
      <c r="AW1662" s="120">
        <v>1378</v>
      </c>
    </row>
    <row r="1663" spans="49:49" ht="15" customHeight="1">
      <c r="AW1663" s="120">
        <v>1379</v>
      </c>
    </row>
    <row r="1664" spans="49:49" ht="15" customHeight="1">
      <c r="AW1664" s="120">
        <v>1380</v>
      </c>
    </row>
    <row r="1665" spans="49:49" ht="15" customHeight="1">
      <c r="AW1665" s="120">
        <v>1381</v>
      </c>
    </row>
    <row r="1666" spans="49:49" ht="15" customHeight="1">
      <c r="AW1666" s="120">
        <v>1382</v>
      </c>
    </row>
    <row r="1667" spans="49:49" ht="15" customHeight="1">
      <c r="AW1667" s="120">
        <v>1383</v>
      </c>
    </row>
    <row r="1668" spans="49:49" ht="15" customHeight="1">
      <c r="AW1668" s="120">
        <v>1384</v>
      </c>
    </row>
    <row r="1669" spans="49:49" ht="15" customHeight="1">
      <c r="AW1669" s="120">
        <v>1385</v>
      </c>
    </row>
    <row r="1670" spans="49:49" ht="15" customHeight="1">
      <c r="AW1670" s="120">
        <v>1386</v>
      </c>
    </row>
    <row r="1671" spans="49:49" ht="15" customHeight="1">
      <c r="AW1671" s="120">
        <v>1387</v>
      </c>
    </row>
    <row r="1672" spans="49:49" ht="15" customHeight="1">
      <c r="AW1672" s="120">
        <v>1388</v>
      </c>
    </row>
    <row r="1673" spans="49:49" ht="15" customHeight="1">
      <c r="AW1673" s="120">
        <v>1389</v>
      </c>
    </row>
    <row r="1674" spans="49:49" ht="15" customHeight="1">
      <c r="AW1674" s="120">
        <v>1390</v>
      </c>
    </row>
    <row r="1675" spans="49:49" ht="15" customHeight="1">
      <c r="AW1675" s="120">
        <v>1391</v>
      </c>
    </row>
    <row r="1676" spans="49:49" ht="15" customHeight="1">
      <c r="AW1676" s="120">
        <v>1392</v>
      </c>
    </row>
    <row r="1677" spans="49:49" ht="15" customHeight="1">
      <c r="AW1677" s="120">
        <v>1393</v>
      </c>
    </row>
    <row r="1678" spans="49:49" ht="15" customHeight="1">
      <c r="AW1678" s="120">
        <v>1394</v>
      </c>
    </row>
    <row r="1679" spans="49:49" ht="15" customHeight="1">
      <c r="AW1679" s="120">
        <v>1395</v>
      </c>
    </row>
    <row r="1680" spans="49:49" ht="15" customHeight="1">
      <c r="AW1680" s="120">
        <v>1396</v>
      </c>
    </row>
    <row r="1681" spans="49:49" ht="15" customHeight="1">
      <c r="AW1681" s="120">
        <v>1397</v>
      </c>
    </row>
    <row r="1682" spans="49:49" ht="15" customHeight="1">
      <c r="AW1682" s="120">
        <v>1398</v>
      </c>
    </row>
    <row r="1683" spans="49:49" ht="15" customHeight="1">
      <c r="AW1683" s="120">
        <v>1399</v>
      </c>
    </row>
    <row r="1684" spans="49:49" ht="15" customHeight="1">
      <c r="AW1684" s="120">
        <v>1400</v>
      </c>
    </row>
    <row r="1685" spans="49:49" ht="15" customHeight="1">
      <c r="AW1685" s="120">
        <v>1401</v>
      </c>
    </row>
    <row r="1686" spans="49:49" ht="15" customHeight="1">
      <c r="AW1686" s="120">
        <v>1402</v>
      </c>
    </row>
    <row r="1687" spans="49:49" ht="15" customHeight="1">
      <c r="AW1687" s="120">
        <v>1403</v>
      </c>
    </row>
    <row r="1688" spans="49:49" ht="15" customHeight="1">
      <c r="AW1688" s="120">
        <v>1404</v>
      </c>
    </row>
    <row r="1689" spans="49:49" ht="15" customHeight="1">
      <c r="AW1689" s="120">
        <v>1405</v>
      </c>
    </row>
    <row r="1690" spans="49:49" ht="15" customHeight="1">
      <c r="AW1690" s="120">
        <v>1406</v>
      </c>
    </row>
    <row r="1691" spans="49:49" ht="15" customHeight="1">
      <c r="AW1691" s="120">
        <v>1407</v>
      </c>
    </row>
    <row r="1692" spans="49:49" ht="15" customHeight="1">
      <c r="AW1692" s="120">
        <v>1408</v>
      </c>
    </row>
    <row r="1693" spans="49:49" ht="15" customHeight="1">
      <c r="AW1693" s="120">
        <v>1409</v>
      </c>
    </row>
    <row r="1694" spans="49:49" ht="15" customHeight="1">
      <c r="AW1694" s="120">
        <v>1410</v>
      </c>
    </row>
    <row r="1695" spans="49:49" ht="15" customHeight="1">
      <c r="AW1695" s="120">
        <v>1411</v>
      </c>
    </row>
    <row r="1696" spans="49:49" ht="15" customHeight="1">
      <c r="AW1696" s="120">
        <v>1412</v>
      </c>
    </row>
    <row r="1697" spans="49:49" ht="15" customHeight="1">
      <c r="AW1697" s="120">
        <v>1413</v>
      </c>
    </row>
    <row r="1698" spans="49:49" ht="15" customHeight="1">
      <c r="AW1698" s="120">
        <v>1414</v>
      </c>
    </row>
    <row r="1699" spans="49:49" ht="15" customHeight="1">
      <c r="AW1699" s="120">
        <v>1415</v>
      </c>
    </row>
    <row r="1700" spans="49:49" ht="15" customHeight="1">
      <c r="AW1700" s="120">
        <v>1416</v>
      </c>
    </row>
    <row r="1701" spans="49:49" ht="15" customHeight="1">
      <c r="AW1701" s="120">
        <v>1417</v>
      </c>
    </row>
    <row r="1702" spans="49:49" ht="15" customHeight="1">
      <c r="AW1702" s="120">
        <v>1418</v>
      </c>
    </row>
    <row r="1703" spans="49:49" ht="15" customHeight="1">
      <c r="AW1703" s="120">
        <v>1419</v>
      </c>
    </row>
    <row r="1704" spans="49:49" ht="15" customHeight="1">
      <c r="AW1704" s="120">
        <v>1420</v>
      </c>
    </row>
    <row r="1705" spans="49:49" ht="15" customHeight="1">
      <c r="AW1705" s="120">
        <v>1421</v>
      </c>
    </row>
    <row r="1706" spans="49:49" ht="15" customHeight="1">
      <c r="AW1706" s="120">
        <v>1422</v>
      </c>
    </row>
    <row r="1707" spans="49:49" ht="15" customHeight="1">
      <c r="AW1707" s="120">
        <v>1423</v>
      </c>
    </row>
    <row r="1708" spans="49:49" ht="15" customHeight="1">
      <c r="AW1708" s="120">
        <v>1424</v>
      </c>
    </row>
    <row r="1709" spans="49:49" ht="15" customHeight="1">
      <c r="AW1709" s="120">
        <v>1425</v>
      </c>
    </row>
    <row r="1710" spans="49:49" ht="15" customHeight="1">
      <c r="AW1710" s="120">
        <v>1426</v>
      </c>
    </row>
    <row r="1711" spans="49:49" ht="15" customHeight="1">
      <c r="AW1711" s="120">
        <v>1427</v>
      </c>
    </row>
    <row r="1712" spans="49:49" ht="15" customHeight="1">
      <c r="AW1712" s="120">
        <v>1428</v>
      </c>
    </row>
    <row r="1713" spans="49:49" ht="15" customHeight="1">
      <c r="AW1713" s="120">
        <v>1429</v>
      </c>
    </row>
    <row r="1714" spans="49:49" ht="15" customHeight="1">
      <c r="AW1714" s="120">
        <v>1430</v>
      </c>
    </row>
    <row r="1715" spans="49:49" ht="15" customHeight="1">
      <c r="AW1715" s="120">
        <v>1431</v>
      </c>
    </row>
    <row r="1716" spans="49:49" ht="15" customHeight="1">
      <c r="AW1716" s="120">
        <v>1432</v>
      </c>
    </row>
    <row r="1717" spans="49:49" ht="15" customHeight="1">
      <c r="AW1717" s="120">
        <v>1433</v>
      </c>
    </row>
    <row r="1718" spans="49:49" ht="15" customHeight="1">
      <c r="AW1718" s="120">
        <v>1434</v>
      </c>
    </row>
    <row r="1719" spans="49:49" ht="15" customHeight="1">
      <c r="AW1719" s="120">
        <v>1435</v>
      </c>
    </row>
    <row r="1720" spans="49:49" ht="15" customHeight="1">
      <c r="AW1720" s="120">
        <v>1436</v>
      </c>
    </row>
    <row r="1721" spans="49:49" ht="15" customHeight="1">
      <c r="AW1721" s="120">
        <v>1437</v>
      </c>
    </row>
    <row r="1722" spans="49:49" ht="15" customHeight="1">
      <c r="AW1722" s="120">
        <v>1438</v>
      </c>
    </row>
    <row r="1723" spans="49:49" ht="15" customHeight="1">
      <c r="AW1723" s="120">
        <v>1439</v>
      </c>
    </row>
    <row r="1724" spans="49:49" ht="15" customHeight="1">
      <c r="AW1724" s="120">
        <v>1440</v>
      </c>
    </row>
    <row r="1725" spans="49:49" ht="15" customHeight="1">
      <c r="AW1725" s="120">
        <v>1441</v>
      </c>
    </row>
    <row r="1726" spans="49:49" ht="15" customHeight="1">
      <c r="AW1726" s="120">
        <v>1442</v>
      </c>
    </row>
    <row r="1727" spans="49:49" ht="15" customHeight="1">
      <c r="AW1727" s="120">
        <v>1443</v>
      </c>
    </row>
    <row r="1728" spans="49:49" ht="15" customHeight="1">
      <c r="AW1728" s="120">
        <v>1444</v>
      </c>
    </row>
    <row r="1729" spans="49:49" ht="15" customHeight="1">
      <c r="AW1729" s="120">
        <v>1445</v>
      </c>
    </row>
    <row r="1730" spans="49:49" ht="15" customHeight="1">
      <c r="AW1730" s="120">
        <v>1446</v>
      </c>
    </row>
    <row r="1731" spans="49:49" ht="15" customHeight="1">
      <c r="AW1731" s="120">
        <v>1447</v>
      </c>
    </row>
    <row r="1732" spans="49:49" ht="15" customHeight="1">
      <c r="AW1732" s="120">
        <v>1448</v>
      </c>
    </row>
    <row r="1733" spans="49:49" ht="15" customHeight="1">
      <c r="AW1733" s="120">
        <v>1449</v>
      </c>
    </row>
    <row r="1734" spans="49:49" ht="15" customHeight="1">
      <c r="AW1734" s="120">
        <v>1450</v>
      </c>
    </row>
    <row r="1735" spans="49:49" ht="15" customHeight="1">
      <c r="AW1735" s="120">
        <v>1451</v>
      </c>
    </row>
    <row r="1736" spans="49:49" ht="15" customHeight="1">
      <c r="AW1736" s="120">
        <v>1452</v>
      </c>
    </row>
    <row r="1737" spans="49:49" ht="15" customHeight="1">
      <c r="AW1737" s="120">
        <v>1453</v>
      </c>
    </row>
    <row r="1738" spans="49:49" ht="15" customHeight="1">
      <c r="AW1738" s="120">
        <v>1454</v>
      </c>
    </row>
    <row r="1739" spans="49:49" ht="15" customHeight="1">
      <c r="AW1739" s="120">
        <v>1455</v>
      </c>
    </row>
    <row r="1740" spans="49:49" ht="15" customHeight="1">
      <c r="AW1740" s="120">
        <v>1456</v>
      </c>
    </row>
    <row r="1741" spans="49:49" ht="15" customHeight="1">
      <c r="AW1741" s="120">
        <v>1457</v>
      </c>
    </row>
    <row r="1742" spans="49:49" ht="15" customHeight="1">
      <c r="AW1742" s="120">
        <v>1458</v>
      </c>
    </row>
    <row r="1743" spans="49:49" ht="15" customHeight="1">
      <c r="AW1743" s="120">
        <v>1459</v>
      </c>
    </row>
    <row r="1744" spans="49:49" ht="15" customHeight="1">
      <c r="AW1744" s="120">
        <v>1460</v>
      </c>
    </row>
    <row r="1745" spans="49:49" ht="15" customHeight="1">
      <c r="AW1745" s="120">
        <v>1461</v>
      </c>
    </row>
    <row r="1746" spans="49:49" ht="15" customHeight="1">
      <c r="AW1746" s="120">
        <v>1462</v>
      </c>
    </row>
    <row r="1747" spans="49:49" ht="15" customHeight="1">
      <c r="AW1747" s="120">
        <v>1463</v>
      </c>
    </row>
    <row r="1748" spans="49:49" ht="15" customHeight="1">
      <c r="AW1748" s="120">
        <v>1464</v>
      </c>
    </row>
    <row r="1749" spans="49:49" ht="15" customHeight="1">
      <c r="AW1749" s="120">
        <v>1465</v>
      </c>
    </row>
    <row r="1750" spans="49:49" ht="15" customHeight="1">
      <c r="AW1750" s="120">
        <v>1466</v>
      </c>
    </row>
    <row r="1751" spans="49:49" ht="15" customHeight="1">
      <c r="AW1751" s="120">
        <v>1467</v>
      </c>
    </row>
    <row r="1752" spans="49:49" ht="15" customHeight="1">
      <c r="AW1752" s="120">
        <v>1468</v>
      </c>
    </row>
    <row r="1753" spans="49:49" ht="15" customHeight="1">
      <c r="AW1753" s="120">
        <v>1469</v>
      </c>
    </row>
    <row r="1754" spans="49:49" ht="15" customHeight="1">
      <c r="AW1754" s="120">
        <v>1470</v>
      </c>
    </row>
    <row r="1755" spans="49:49" ht="15" customHeight="1">
      <c r="AW1755" s="120">
        <v>1471</v>
      </c>
    </row>
    <row r="1756" spans="49:49" ht="15" customHeight="1">
      <c r="AW1756" s="120">
        <v>1472</v>
      </c>
    </row>
    <row r="1757" spans="49:49" ht="15" customHeight="1">
      <c r="AW1757" s="120">
        <v>1473</v>
      </c>
    </row>
    <row r="1758" spans="49:49" ht="15" customHeight="1">
      <c r="AW1758" s="120">
        <v>1474</v>
      </c>
    </row>
    <row r="1759" spans="49:49" ht="15" customHeight="1">
      <c r="AW1759" s="120">
        <v>1475</v>
      </c>
    </row>
    <row r="1760" spans="49:49" ht="15" customHeight="1">
      <c r="AW1760" s="120">
        <v>1476</v>
      </c>
    </row>
    <row r="1761" spans="49:49" ht="15" customHeight="1">
      <c r="AW1761" s="120">
        <v>1477</v>
      </c>
    </row>
    <row r="1762" spans="49:49" ht="15" customHeight="1">
      <c r="AW1762" s="120">
        <v>1478</v>
      </c>
    </row>
    <row r="1763" spans="49:49" ht="15" customHeight="1">
      <c r="AW1763" s="120">
        <v>1479</v>
      </c>
    </row>
    <row r="1764" spans="49:49" ht="15" customHeight="1">
      <c r="AW1764" s="120">
        <v>1480</v>
      </c>
    </row>
    <row r="1765" spans="49:49" ht="15" customHeight="1">
      <c r="AW1765" s="120">
        <v>1481</v>
      </c>
    </row>
    <row r="1766" spans="49:49" ht="15" customHeight="1">
      <c r="AW1766" s="120">
        <v>1482</v>
      </c>
    </row>
    <row r="1767" spans="49:49" ht="15" customHeight="1">
      <c r="AW1767" s="120">
        <v>1483</v>
      </c>
    </row>
    <row r="1768" spans="49:49" ht="15" customHeight="1">
      <c r="AW1768" s="120">
        <v>1484</v>
      </c>
    </row>
    <row r="1769" spans="49:49" ht="15" customHeight="1">
      <c r="AW1769" s="120">
        <v>1485</v>
      </c>
    </row>
    <row r="1770" spans="49:49" ht="15" customHeight="1">
      <c r="AW1770" s="120">
        <v>1486</v>
      </c>
    </row>
    <row r="1771" spans="49:49" ht="15" customHeight="1">
      <c r="AW1771" s="120">
        <v>1487</v>
      </c>
    </row>
    <row r="1772" spans="49:49" ht="15" customHeight="1">
      <c r="AW1772" s="120">
        <v>1488</v>
      </c>
    </row>
    <row r="1773" spans="49:49" ht="15" customHeight="1">
      <c r="AW1773" s="120">
        <v>1489</v>
      </c>
    </row>
    <row r="1774" spans="49:49" ht="15" customHeight="1">
      <c r="AW1774" s="120">
        <v>1490</v>
      </c>
    </row>
    <row r="1775" spans="49:49" ht="15" customHeight="1">
      <c r="AW1775" s="120">
        <v>1491</v>
      </c>
    </row>
    <row r="1776" spans="49:49" ht="15" customHeight="1">
      <c r="AW1776" s="120">
        <v>1492</v>
      </c>
    </row>
  </sheetData>
  <mergeCells count="15">
    <mergeCell ref="B283:C283"/>
    <mergeCell ref="D282:N282"/>
    <mergeCell ref="D283:N283"/>
    <mergeCell ref="B279:C279"/>
    <mergeCell ref="D279:N279"/>
    <mergeCell ref="B280:C280"/>
    <mergeCell ref="D280:O280"/>
    <mergeCell ref="B281:C281"/>
    <mergeCell ref="D281:O281"/>
    <mergeCell ref="B276:C276"/>
    <mergeCell ref="D276:O276"/>
    <mergeCell ref="B277:C277"/>
    <mergeCell ref="D277:N277"/>
    <mergeCell ref="B278:C278"/>
    <mergeCell ref="D278:N278"/>
  </mergeCells>
  <phoneticPr fontId="74" type="noConversion"/>
  <conditionalFormatting sqref="AP289:AT293">
    <cfRule type="colorScale" priority="1">
      <colorScale>
        <cfvo type="formula" val="$Q$211*0.5"/>
        <cfvo type="num" val="$Q$211"/>
        <cfvo type="formula" val="$Q$211*2"/>
        <color rgb="FFF8696B"/>
        <color rgb="FFFCFCFF"/>
        <color rgb="FF63BE7B"/>
      </colorScale>
    </cfRule>
  </conditionalFormatting>
  <conditionalFormatting sqref="AP302:AT303 AP299:AR301 AS297:AT301">
    <cfRule type="colorScale" priority="2">
      <colorScale>
        <cfvo type="formula" val="$Q$211*0.5"/>
        <cfvo type="num" val="$Q$211"/>
        <cfvo type="formula" val="$Q$211*2"/>
        <color rgb="FFF8696B"/>
        <color rgb="FFFCFCFF"/>
        <color rgb="FF63BE7B"/>
      </colorScale>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8247-B96D-4BEC-B478-DA0AAD77251E}">
  <dimension ref="A1:AM67"/>
  <sheetViews>
    <sheetView topLeftCell="A7" zoomScale="90" zoomScaleNormal="90" workbookViewId="0">
      <selection activeCell="V18" sqref="V18"/>
    </sheetView>
  </sheetViews>
  <sheetFormatPr defaultRowHeight="14.1"/>
  <cols>
    <col min="1" max="1" width="18.875" customWidth="1"/>
    <col min="2" max="2" width="26.25" customWidth="1"/>
    <col min="19" max="19" width="9" bestFit="1" customWidth="1"/>
    <col min="20" max="21" width="9" customWidth="1"/>
  </cols>
  <sheetData>
    <row r="1" spans="1:39" ht="14.45" thickBot="1">
      <c r="A1" s="976" t="s">
        <v>552</v>
      </c>
      <c r="B1" s="977"/>
      <c r="F1" s="988" t="s">
        <v>553</v>
      </c>
      <c r="G1" s="989"/>
      <c r="H1" s="990"/>
    </row>
    <row r="2" spans="1:39" ht="15.75" customHeight="1" thickBot="1">
      <c r="A2" s="980" t="s">
        <v>554</v>
      </c>
      <c r="B2" s="748" t="s">
        <v>555</v>
      </c>
      <c r="F2" s="766">
        <v>18693</v>
      </c>
      <c r="G2" s="755">
        <v>26308</v>
      </c>
      <c r="H2" s="786">
        <f>F2/G2</f>
        <v>0.71054432111905119</v>
      </c>
      <c r="I2" t="s">
        <v>556</v>
      </c>
      <c r="J2" s="747">
        <f>AVERAGE(D6,G6,M6,P6)</f>
        <v>5.959360220441845E-2</v>
      </c>
    </row>
    <row r="3" spans="1:39" ht="14.45" thickBot="1">
      <c r="A3" s="981"/>
      <c r="B3" s="759" t="s">
        <v>557</v>
      </c>
      <c r="C3" s="982">
        <v>2024</v>
      </c>
      <c r="D3" s="983"/>
      <c r="E3" s="984"/>
      <c r="F3" s="985">
        <v>2023</v>
      </c>
      <c r="G3" s="986"/>
      <c r="H3" s="987"/>
      <c r="I3" s="982">
        <v>2022</v>
      </c>
      <c r="J3" s="984"/>
      <c r="K3" s="978" t="s">
        <v>558</v>
      </c>
      <c r="L3" s="982" t="s">
        <v>559</v>
      </c>
      <c r="M3" s="983"/>
      <c r="N3" s="984"/>
      <c r="O3" s="982" t="s">
        <v>560</v>
      </c>
      <c r="P3" s="983"/>
      <c r="Q3" s="984"/>
      <c r="R3" s="782" t="s">
        <v>561</v>
      </c>
      <c r="S3" s="897"/>
      <c r="T3" s="833" t="s">
        <v>562</v>
      </c>
      <c r="U3" s="762"/>
      <c r="V3" s="762">
        <v>2025</v>
      </c>
      <c r="W3" s="762">
        <v>2026</v>
      </c>
      <c r="X3" s="762">
        <v>2027</v>
      </c>
      <c r="Y3" s="762">
        <v>2028</v>
      </c>
      <c r="Z3" s="762">
        <v>2029</v>
      </c>
      <c r="AA3" s="762">
        <v>2030</v>
      </c>
      <c r="AB3" s="762">
        <v>2031</v>
      </c>
      <c r="AC3" s="762">
        <v>2032</v>
      </c>
      <c r="AD3" s="762">
        <v>2033</v>
      </c>
      <c r="AE3" s="748">
        <v>2034</v>
      </c>
    </row>
    <row r="4" spans="1:39" ht="14.45" thickBot="1">
      <c r="A4" s="974" t="s">
        <v>563</v>
      </c>
      <c r="B4" s="975"/>
      <c r="C4" s="749" t="s">
        <v>564</v>
      </c>
      <c r="D4" s="750" t="s">
        <v>129</v>
      </c>
      <c r="E4" s="751" t="s">
        <v>565</v>
      </c>
      <c r="F4" s="749" t="s">
        <v>564</v>
      </c>
      <c r="G4" s="750" t="s">
        <v>129</v>
      </c>
      <c r="H4" s="751" t="s">
        <v>565</v>
      </c>
      <c r="I4" s="749" t="s">
        <v>564</v>
      </c>
      <c r="J4" s="751" t="s">
        <v>565</v>
      </c>
      <c r="K4" s="979"/>
      <c r="L4" s="749" t="s">
        <v>564</v>
      </c>
      <c r="M4" s="750" t="s">
        <v>129</v>
      </c>
      <c r="N4" s="751" t="s">
        <v>565</v>
      </c>
      <c r="O4" s="749" t="s">
        <v>564</v>
      </c>
      <c r="P4" s="750" t="s">
        <v>129</v>
      </c>
      <c r="Q4" s="751" t="s">
        <v>565</v>
      </c>
      <c r="R4" s="784" t="s">
        <v>564</v>
      </c>
      <c r="S4" s="898" t="s">
        <v>565</v>
      </c>
      <c r="T4" s="763" t="s">
        <v>566</v>
      </c>
      <c r="U4" s="901" t="s">
        <v>129</v>
      </c>
      <c r="V4" s="753">
        <v>9.5000000000000001E-2</v>
      </c>
      <c r="W4" s="753">
        <v>0.1</v>
      </c>
      <c r="X4" s="753">
        <v>0.106</v>
      </c>
      <c r="Y4" s="753">
        <v>0.111</v>
      </c>
      <c r="Z4" s="753">
        <v>0.11600000000000001</v>
      </c>
      <c r="AA4" s="753">
        <v>0.12</v>
      </c>
      <c r="AB4" s="753">
        <v>0.11</v>
      </c>
      <c r="AC4" s="753">
        <v>0.1</v>
      </c>
      <c r="AD4" s="753">
        <v>0.09</v>
      </c>
      <c r="AE4" s="902">
        <v>0.08</v>
      </c>
      <c r="AF4" s="747"/>
      <c r="AG4" s="747"/>
      <c r="AH4" s="747"/>
      <c r="AI4" s="747"/>
      <c r="AJ4" s="747"/>
      <c r="AK4" s="747"/>
      <c r="AL4" s="747"/>
      <c r="AM4" s="747"/>
    </row>
    <row r="5" spans="1:39" ht="15" customHeight="1">
      <c r="A5" s="971" t="s">
        <v>567</v>
      </c>
      <c r="B5" s="758" t="s">
        <v>568</v>
      </c>
      <c r="C5" s="767">
        <v>18808</v>
      </c>
      <c r="D5" s="768">
        <f>(C5-F5)/F5</f>
        <v>8.1168084617153372E-2</v>
      </c>
      <c r="E5" s="787">
        <f>C5/$C$7</f>
        <v>0.69440649806165777</v>
      </c>
      <c r="F5" s="767">
        <v>17396</v>
      </c>
      <c r="G5" s="768">
        <f>(F5-I5)/I5</f>
        <v>5.6993559363227607E-2</v>
      </c>
      <c r="H5" s="787">
        <f>F5/$F$7</f>
        <v>0.69553396505537568</v>
      </c>
      <c r="I5" s="772">
        <v>16458</v>
      </c>
      <c r="J5" s="787">
        <f>I5/$I$7</f>
        <v>0.69651699183207072</v>
      </c>
      <c r="K5" s="776"/>
      <c r="L5" s="779">
        <v>17866</v>
      </c>
      <c r="M5" s="769">
        <f>(L5-O5)/O5</f>
        <v>4.8720356891289035E-2</v>
      </c>
      <c r="N5" s="785">
        <f>L5/$L$7</f>
        <v>0.71358389583416548</v>
      </c>
      <c r="O5" s="767">
        <v>17036</v>
      </c>
      <c r="P5" s="769">
        <f>(O5-R5)/R5</f>
        <v>9.7821884263436007E-2</v>
      </c>
      <c r="Q5" s="785">
        <f>O5/$O$7</f>
        <v>0.72722615896866727</v>
      </c>
      <c r="R5" s="767">
        <v>15518</v>
      </c>
      <c r="S5" s="899">
        <f>R5/$R$7</f>
        <v>0.70141023323088048</v>
      </c>
      <c r="T5" s="763"/>
      <c r="U5" s="901" t="s">
        <v>564</v>
      </c>
      <c r="V5" s="901">
        <f>V4*C5+C5</f>
        <v>20594.759999999998</v>
      </c>
      <c r="W5" s="901">
        <f>W4*V5+V5</f>
        <v>22654.235999999997</v>
      </c>
      <c r="X5" s="901">
        <f t="shared" ref="X5:AE5" si="0">X4*W5+W5</f>
        <v>25055.585015999997</v>
      </c>
      <c r="Y5" s="901">
        <f t="shared" si="0"/>
        <v>27836.754952775998</v>
      </c>
      <c r="Z5" s="901">
        <f t="shared" si="0"/>
        <v>31065.818527298015</v>
      </c>
      <c r="AA5" s="901">
        <f t="shared" si="0"/>
        <v>34793.716750573774</v>
      </c>
      <c r="AB5" s="901">
        <f t="shared" si="0"/>
        <v>38621.025593136888</v>
      </c>
      <c r="AC5" s="901">
        <f t="shared" si="0"/>
        <v>42483.128152450576</v>
      </c>
      <c r="AD5" s="901">
        <f t="shared" si="0"/>
        <v>46306.609686171127</v>
      </c>
      <c r="AE5" s="908">
        <f t="shared" si="0"/>
        <v>50011.138461064817</v>
      </c>
      <c r="AF5" s="747"/>
      <c r="AG5" s="747"/>
      <c r="AH5" s="747"/>
      <c r="AI5" s="747"/>
      <c r="AJ5" s="747"/>
      <c r="AK5" s="747"/>
      <c r="AL5" s="747"/>
      <c r="AM5" s="747"/>
    </row>
    <row r="6" spans="1:39">
      <c r="A6" s="972"/>
      <c r="B6" s="760" t="s">
        <v>449</v>
      </c>
      <c r="C6" s="764">
        <v>8277</v>
      </c>
      <c r="D6" s="752">
        <f>(C6-F6)/F6</f>
        <v>8.693368351936967E-2</v>
      </c>
      <c r="E6" s="765">
        <f>C6/$C$7</f>
        <v>0.30559350193834228</v>
      </c>
      <c r="F6" s="764">
        <v>7615</v>
      </c>
      <c r="G6" s="752">
        <f>(F6-I6)/I6</f>
        <v>6.191605076000558E-2</v>
      </c>
      <c r="H6" s="765">
        <f>F6/$F$7</f>
        <v>0.30446603494462438</v>
      </c>
      <c r="I6" s="773">
        <v>7171</v>
      </c>
      <c r="J6" s="765">
        <f>I6/$I$7</f>
        <v>0.30348300816792922</v>
      </c>
      <c r="K6" s="777" t="s">
        <v>569</v>
      </c>
      <c r="L6" s="773">
        <v>7171</v>
      </c>
      <c r="M6" s="753">
        <f t="shared" ref="M6:M7" si="1">(L6-O6)/O6</f>
        <v>0.12222222222222222</v>
      </c>
      <c r="N6" s="765">
        <f>L6/$L$7</f>
        <v>0.28641610416583457</v>
      </c>
      <c r="O6" s="764">
        <v>6390</v>
      </c>
      <c r="P6" s="753">
        <f t="shared" ref="P6:P7" si="2">(O6-R6)/R6</f>
        <v>-3.2697547683923703E-2</v>
      </c>
      <c r="Q6" s="765">
        <f>O6/$O$7</f>
        <v>0.27277384103133273</v>
      </c>
      <c r="R6" s="764">
        <v>6606</v>
      </c>
      <c r="S6" s="900">
        <f>R6/$R$7</f>
        <v>0.29858976676911952</v>
      </c>
      <c r="T6" s="763" t="s">
        <v>570</v>
      </c>
      <c r="U6" s="901" t="s">
        <v>129</v>
      </c>
      <c r="V6" s="753">
        <f>J2</f>
        <v>5.959360220441845E-2</v>
      </c>
      <c r="W6" s="901"/>
      <c r="X6" s="901"/>
      <c r="Y6" s="901"/>
      <c r="Z6" s="901"/>
      <c r="AA6" s="901"/>
      <c r="AB6" s="901"/>
      <c r="AC6" s="901"/>
      <c r="AD6" s="901"/>
      <c r="AE6" s="902"/>
      <c r="AF6" s="747"/>
      <c r="AG6" s="747"/>
      <c r="AH6" s="747"/>
      <c r="AI6" s="747"/>
      <c r="AJ6" s="747"/>
      <c r="AK6" s="747"/>
      <c r="AL6" s="747"/>
      <c r="AM6" s="747"/>
    </row>
    <row r="7" spans="1:39" ht="14.45" thickBot="1">
      <c r="A7" s="973"/>
      <c r="B7" s="761" t="s">
        <v>571</v>
      </c>
      <c r="C7" s="766">
        <f>C5+C6</f>
        <v>27085</v>
      </c>
      <c r="D7" s="756">
        <f>(C7-F7)/F7</f>
        <v>8.292351365399224E-2</v>
      </c>
      <c r="E7" s="770"/>
      <c r="F7" s="766">
        <f>F5+F6</f>
        <v>25011</v>
      </c>
      <c r="G7" s="756">
        <f>(F7-I7)/I7</f>
        <v>5.8487451860002537E-2</v>
      </c>
      <c r="H7" s="770"/>
      <c r="I7" s="774">
        <f>I5+I6</f>
        <v>23629</v>
      </c>
      <c r="J7" s="775"/>
      <c r="K7" s="778"/>
      <c r="L7" s="780">
        <f t="shared" ref="L7" si="3">L5+L6</f>
        <v>25037</v>
      </c>
      <c r="M7" s="757">
        <f t="shared" si="1"/>
        <v>6.8769743020575425E-2</v>
      </c>
      <c r="N7" s="781"/>
      <c r="O7" s="766">
        <f>O5+O6</f>
        <v>23426</v>
      </c>
      <c r="P7" s="757">
        <f t="shared" si="2"/>
        <v>5.8850117519435904E-2</v>
      </c>
      <c r="Q7" s="781"/>
      <c r="R7" s="766">
        <f t="shared" ref="R7" si="4">R5+R6</f>
        <v>22124</v>
      </c>
      <c r="S7" s="759"/>
      <c r="T7" s="763"/>
      <c r="U7" s="901" t="s">
        <v>564</v>
      </c>
      <c r="V7" s="901">
        <f>C6*V6+C6</f>
        <v>8770.2562454459712</v>
      </c>
      <c r="W7" s="901">
        <f>V7*$V$6+V7</f>
        <v>9292.9074073678948</v>
      </c>
      <c r="X7" s="901">
        <f t="shared" ref="X7:AE7" si="5">W7*$V$6+W7</f>
        <v>9846.7052347250701</v>
      </c>
      <c r="Y7" s="901">
        <f t="shared" si="5"/>
        <v>10433.50586950744</v>
      </c>
      <c r="Z7" s="901">
        <f t="shared" si="5"/>
        <v>11055.276067892331</v>
      </c>
      <c r="AA7" s="901">
        <f t="shared" si="5"/>
        <v>11714.099792142335</v>
      </c>
      <c r="AB7" s="901">
        <f t="shared" si="5"/>
        <v>12412.185195338127</v>
      </c>
      <c r="AC7" s="901">
        <f t="shared" si="5"/>
        <v>13151.872022356678</v>
      </c>
      <c r="AD7" s="901">
        <f t="shared" si="5"/>
        <v>13935.639451900423</v>
      </c>
      <c r="AE7" s="908">
        <f t="shared" si="5"/>
        <v>14766.114405861175</v>
      </c>
      <c r="AF7" s="747"/>
      <c r="AG7" s="747"/>
      <c r="AH7" s="747"/>
      <c r="AI7" s="747"/>
      <c r="AJ7" s="747"/>
      <c r="AK7" s="747"/>
      <c r="AL7" s="747"/>
      <c r="AM7" s="747"/>
    </row>
    <row r="8" spans="1:39">
      <c r="B8" s="23"/>
      <c r="C8" s="24"/>
      <c r="D8" s="57"/>
      <c r="E8" s="57"/>
      <c r="I8" s="991"/>
      <c r="J8" s="991"/>
      <c r="K8" s="747"/>
      <c r="P8" s="747"/>
      <c r="Q8" s="747"/>
      <c r="T8" s="763" t="s">
        <v>567</v>
      </c>
      <c r="U8" s="901" t="s">
        <v>564</v>
      </c>
      <c r="V8" s="901">
        <f>V5+V7</f>
        <v>29365.016245445971</v>
      </c>
      <c r="W8" s="901">
        <f t="shared" ref="W8:AE8" si="6">W5+W7</f>
        <v>31947.14340736789</v>
      </c>
      <c r="X8" s="901">
        <f t="shared" si="6"/>
        <v>34902.290250725069</v>
      </c>
      <c r="Y8" s="901">
        <f t="shared" si="6"/>
        <v>38270.260822283439</v>
      </c>
      <c r="Z8" s="901">
        <f t="shared" si="6"/>
        <v>42121.094595190349</v>
      </c>
      <c r="AA8" s="901">
        <f t="shared" si="6"/>
        <v>46507.816542716108</v>
      </c>
      <c r="AB8" s="901">
        <f t="shared" si="6"/>
        <v>51033.210788475015</v>
      </c>
      <c r="AC8" s="901">
        <f t="shared" si="6"/>
        <v>55635.000174807254</v>
      </c>
      <c r="AD8" s="901">
        <f t="shared" si="6"/>
        <v>60242.249138071551</v>
      </c>
      <c r="AE8" s="908">
        <f t="shared" si="6"/>
        <v>64777.252866925992</v>
      </c>
    </row>
    <row r="9" spans="1:39" ht="14.45" thickBot="1">
      <c r="B9" s="23"/>
      <c r="C9" s="24"/>
      <c r="D9" s="57"/>
      <c r="E9" s="57"/>
      <c r="I9" s="24"/>
      <c r="K9" s="747"/>
      <c r="P9" s="747"/>
      <c r="Q9" s="747"/>
      <c r="T9" s="749"/>
      <c r="U9" s="750" t="s">
        <v>129</v>
      </c>
      <c r="V9" s="903">
        <f>(V8-C7)/C7</f>
        <v>8.4180034906626233E-2</v>
      </c>
      <c r="W9" s="903">
        <f>(W8-V8)/V8</f>
        <v>8.7932086954740377E-2</v>
      </c>
      <c r="X9" s="903">
        <f t="shared" ref="X9:AE9" si="7">(X8-W8)/W8</f>
        <v>9.2501129308345004E-2</v>
      </c>
      <c r="Y9" s="903">
        <f t="shared" si="7"/>
        <v>9.6497122319599143E-2</v>
      </c>
      <c r="Z9" s="903">
        <f t="shared" si="7"/>
        <v>0.10062209376594328</v>
      </c>
      <c r="AA9" s="903">
        <f t="shared" si="7"/>
        <v>0.10414548790065542</v>
      </c>
      <c r="AB9" s="903">
        <f t="shared" si="7"/>
        <v>9.7303949790944519E-2</v>
      </c>
      <c r="AC9" s="903">
        <f t="shared" si="7"/>
        <v>9.0172444869400126E-2</v>
      </c>
      <c r="AD9" s="903">
        <f t="shared" si="7"/>
        <v>8.2812059832626017E-2</v>
      </c>
      <c r="AE9" s="904">
        <f t="shared" si="7"/>
        <v>7.5279455759702629E-2</v>
      </c>
    </row>
    <row r="10" spans="1:39">
      <c r="F10" s="24"/>
      <c r="I10" s="24"/>
      <c r="T10" s="905" t="s">
        <v>572</v>
      </c>
      <c r="U10" s="906"/>
      <c r="V10" s="906"/>
      <c r="W10" s="769"/>
      <c r="X10" s="769"/>
      <c r="Y10" s="769"/>
      <c r="Z10" s="769"/>
      <c r="AA10" s="769"/>
      <c r="AB10" s="769"/>
      <c r="AC10" s="769"/>
      <c r="AD10" s="769"/>
      <c r="AE10" s="907"/>
    </row>
    <row r="11" spans="1:39">
      <c r="I11" s="24"/>
      <c r="T11" s="763"/>
      <c r="U11" s="901"/>
      <c r="V11" s="753">
        <f>E5-0.003</f>
        <v>0.69140649806165777</v>
      </c>
      <c r="W11" s="753">
        <f>V11-0.003</f>
        <v>0.68840649806165777</v>
      </c>
      <c r="X11" s="753">
        <f>W11-0.003</f>
        <v>0.68540649806165777</v>
      </c>
      <c r="Y11" s="753">
        <f>X11</f>
        <v>0.68540649806165777</v>
      </c>
      <c r="Z11" s="753">
        <f t="shared" ref="Z11:AE11" si="8">Y11</f>
        <v>0.68540649806165777</v>
      </c>
      <c r="AA11" s="753">
        <f t="shared" si="8"/>
        <v>0.68540649806165777</v>
      </c>
      <c r="AB11" s="753">
        <f t="shared" si="8"/>
        <v>0.68540649806165777</v>
      </c>
      <c r="AC11" s="753">
        <f t="shared" si="8"/>
        <v>0.68540649806165777</v>
      </c>
      <c r="AD11" s="753">
        <f t="shared" si="8"/>
        <v>0.68540649806165777</v>
      </c>
      <c r="AE11" s="902">
        <f t="shared" si="8"/>
        <v>0.68540649806165777</v>
      </c>
    </row>
    <row r="12" spans="1:39" ht="14.45" thickBot="1">
      <c r="T12" s="749"/>
      <c r="U12" s="750" t="s">
        <v>573</v>
      </c>
      <c r="V12" s="903">
        <f>V11*V4+(1-V11)*$J$2</f>
        <v>8.4073815713239491E-2</v>
      </c>
      <c r="W12" s="903">
        <f t="shared" ref="W12:AE12" si="9">W11*W4+(1-W11)*$J$2</f>
        <v>8.7409629010161027E-2</v>
      </c>
      <c r="X12" s="903">
        <f t="shared" si="9"/>
        <v>9.1400848805144236E-2</v>
      </c>
      <c r="Y12" s="903">
        <f t="shared" si="9"/>
        <v>9.4827881295452526E-2</v>
      </c>
      <c r="Z12" s="903">
        <f t="shared" si="9"/>
        <v>9.8254913785760817E-2</v>
      </c>
      <c r="AA12" s="903">
        <f t="shared" si="9"/>
        <v>0.10099653977800745</v>
      </c>
      <c r="AB12" s="903">
        <f t="shared" si="9"/>
        <v>9.4142474797390865E-2</v>
      </c>
      <c r="AC12" s="903">
        <f t="shared" si="9"/>
        <v>8.7288409816774298E-2</v>
      </c>
      <c r="AD12" s="903">
        <f t="shared" si="9"/>
        <v>8.0434344836157703E-2</v>
      </c>
      <c r="AE12" s="904">
        <f t="shared" si="9"/>
        <v>7.3580279855541136E-2</v>
      </c>
    </row>
    <row r="27" spans="14:14">
      <c r="N27" t="s">
        <v>574</v>
      </c>
    </row>
    <row r="28" spans="14:14">
      <c r="N28" t="s">
        <v>575</v>
      </c>
    </row>
    <row r="29" spans="14:14">
      <c r="N29" t="s">
        <v>576</v>
      </c>
    </row>
    <row r="30" spans="14:14">
      <c r="N30" t="s">
        <v>577</v>
      </c>
    </row>
    <row r="31" spans="14:14">
      <c r="N31" t="s">
        <v>578</v>
      </c>
    </row>
    <row r="32" spans="14:14">
      <c r="N32" t="s">
        <v>579</v>
      </c>
    </row>
    <row r="33" spans="14:14">
      <c r="N33" t="s">
        <v>580</v>
      </c>
    </row>
    <row r="35" spans="14:14">
      <c r="N35" t="s">
        <v>581</v>
      </c>
    </row>
    <row r="36" spans="14:14">
      <c r="N36" t="s">
        <v>582</v>
      </c>
    </row>
    <row r="37" spans="14:14">
      <c r="N37" t="s">
        <v>583</v>
      </c>
    </row>
    <row r="38" spans="14:14">
      <c r="N38" t="s">
        <v>584</v>
      </c>
    </row>
    <row r="40" spans="14:14">
      <c r="N40" t="s">
        <v>585</v>
      </c>
    </row>
    <row r="41" spans="14:14">
      <c r="N41" t="s">
        <v>586</v>
      </c>
    </row>
    <row r="53" spans="2:18" ht="14.45" thickBot="1"/>
    <row r="54" spans="2:18" ht="14.45" thickBot="1">
      <c r="B54" s="788" t="s">
        <v>587</v>
      </c>
      <c r="C54" s="789" t="s">
        <v>561</v>
      </c>
      <c r="D54" s="790" t="s">
        <v>560</v>
      </c>
      <c r="E54" s="790" t="s">
        <v>559</v>
      </c>
      <c r="F54" s="790">
        <v>2022</v>
      </c>
      <c r="G54" s="790">
        <v>2023</v>
      </c>
      <c r="H54" s="783">
        <v>2024</v>
      </c>
      <c r="I54" s="782">
        <v>2025</v>
      </c>
      <c r="J54" s="790">
        <v>2026</v>
      </c>
      <c r="K54" s="790">
        <v>2027</v>
      </c>
      <c r="L54" s="790">
        <v>2028</v>
      </c>
      <c r="M54" s="790">
        <v>2029</v>
      </c>
      <c r="N54" s="790">
        <v>2030</v>
      </c>
      <c r="O54" s="790">
        <v>2031</v>
      </c>
      <c r="P54" s="790">
        <v>2032</v>
      </c>
      <c r="Q54" s="790">
        <v>2033</v>
      </c>
      <c r="R54" s="783">
        <v>2034</v>
      </c>
    </row>
    <row r="55" spans="2:18">
      <c r="B55" s="851" t="s">
        <v>129</v>
      </c>
      <c r="C55" s="771"/>
      <c r="D55" s="794">
        <f>(D56-C56)/C56</f>
        <v>9.7619486990219592E-2</v>
      </c>
      <c r="E55" s="794">
        <f t="shared" ref="E55:H55" si="10">(E56-D56)/D56</f>
        <v>7.0780094149293885E-2</v>
      </c>
      <c r="F55" s="794"/>
      <c r="G55" s="794">
        <f t="shared" si="10"/>
        <v>4.1180576328646926E-2</v>
      </c>
      <c r="H55" s="795">
        <f t="shared" si="10"/>
        <v>-9.1936410649300897E-3</v>
      </c>
      <c r="I55" s="793">
        <v>0.02</v>
      </c>
      <c r="J55" s="791">
        <v>0.03</v>
      </c>
      <c r="K55" s="791">
        <v>0.04</v>
      </c>
      <c r="L55" s="791">
        <v>0.05</v>
      </c>
      <c r="M55" s="791">
        <v>0.05</v>
      </c>
      <c r="N55" s="791">
        <v>0.05</v>
      </c>
      <c r="O55" s="791">
        <v>0.05</v>
      </c>
      <c r="P55" s="791">
        <v>0.05</v>
      </c>
      <c r="Q55" s="791">
        <v>0.05</v>
      </c>
      <c r="R55" s="792">
        <v>0.05</v>
      </c>
    </row>
    <row r="56" spans="2:18" ht="14.45" thickBot="1">
      <c r="B56" s="803" t="s">
        <v>564</v>
      </c>
      <c r="C56" s="804">
        <v>16257</v>
      </c>
      <c r="D56" s="805">
        <v>17844</v>
      </c>
      <c r="E56" s="805">
        <v>19107</v>
      </c>
      <c r="F56" s="805">
        <v>20058</v>
      </c>
      <c r="G56" s="805">
        <v>20884</v>
      </c>
      <c r="H56" s="806">
        <v>20692</v>
      </c>
      <c r="I56" s="807">
        <f>H56*(1+I55)</f>
        <v>21105.84</v>
      </c>
      <c r="J56" s="807">
        <f t="shared" ref="J56:R56" si="11">I56*(1+J55)</f>
        <v>21739.015200000002</v>
      </c>
      <c r="K56" s="807">
        <f t="shared" si="11"/>
        <v>22608.575808000001</v>
      </c>
      <c r="L56" s="807">
        <f t="shared" si="11"/>
        <v>23739.004598400003</v>
      </c>
      <c r="M56" s="807">
        <f t="shared" si="11"/>
        <v>24925.954828320002</v>
      </c>
      <c r="N56" s="807">
        <f t="shared" si="11"/>
        <v>26172.252569736003</v>
      </c>
      <c r="O56" s="807">
        <f t="shared" si="11"/>
        <v>27480.865198222804</v>
      </c>
      <c r="P56" s="807">
        <f t="shared" si="11"/>
        <v>28854.908458133945</v>
      </c>
      <c r="Q56" s="807">
        <f t="shared" si="11"/>
        <v>30297.653881040642</v>
      </c>
      <c r="R56" s="808">
        <f t="shared" si="11"/>
        <v>31812.536575092676</v>
      </c>
    </row>
    <row r="57" spans="2:18">
      <c r="B57" s="798" t="s">
        <v>588</v>
      </c>
      <c r="C57" s="982"/>
      <c r="D57" s="983"/>
      <c r="E57" s="983"/>
      <c r="F57" s="983"/>
      <c r="G57" s="983"/>
      <c r="H57" s="983"/>
      <c r="I57" s="983"/>
      <c r="J57" s="983"/>
      <c r="K57" s="983"/>
      <c r="L57" s="983"/>
      <c r="M57" s="983"/>
      <c r="N57" s="983"/>
      <c r="O57" s="983"/>
      <c r="P57" s="983"/>
      <c r="Q57" s="983"/>
      <c r="R57" s="984"/>
    </row>
    <row r="58" spans="2:18">
      <c r="B58" s="852" t="s">
        <v>129</v>
      </c>
      <c r="C58" s="763"/>
      <c r="D58" s="796">
        <f>(D59-C59)/C59</f>
        <v>-2.3739076584325329E-2</v>
      </c>
      <c r="E58" s="998">
        <f>(E59-D59)/D59</f>
        <v>7.7530307301945309E-2</v>
      </c>
      <c r="F58" s="998"/>
      <c r="G58" s="796">
        <f>(G59-E59)/E59</f>
        <v>-4.5460491889063315E-2</v>
      </c>
      <c r="H58" s="797">
        <f>(H59-G59)/G59</f>
        <v>-3.9265401219762901E-2</v>
      </c>
      <c r="I58" s="799">
        <v>4.48E-2</v>
      </c>
      <c r="J58" s="796">
        <f>(J59-I59)/I59</f>
        <v>-1.0110255967738029E-2</v>
      </c>
      <c r="K58" s="796">
        <f>(K59-J59)/J59</f>
        <v>-3.4482758620689655E-2</v>
      </c>
      <c r="L58" s="796">
        <v>4.4999999999999998E-2</v>
      </c>
      <c r="M58" s="796">
        <f>(M59-L59)/L59</f>
        <v>-8.8858509911140266E-3</v>
      </c>
      <c r="N58" s="796">
        <f>(N59-M59)/M59</f>
        <v>-3.4482758620689655E-2</v>
      </c>
      <c r="O58" s="796">
        <v>4.4999999999999998E-2</v>
      </c>
      <c r="P58" s="796">
        <f>(P59-O59)/O59</f>
        <v>-8.8858509911140266E-3</v>
      </c>
      <c r="Q58" s="796">
        <f>(Q59-P59)/P59</f>
        <v>-3.4482758620689655E-2</v>
      </c>
      <c r="R58" s="797">
        <v>4.4999999999999998E-2</v>
      </c>
    </row>
    <row r="59" spans="2:18" ht="14.45" thickBot="1">
      <c r="B59" s="803" t="s">
        <v>564</v>
      </c>
      <c r="C59" s="804">
        <v>14533</v>
      </c>
      <c r="D59" s="805">
        <v>14188</v>
      </c>
      <c r="E59" s="997">
        <v>15288</v>
      </c>
      <c r="F59" s="997"/>
      <c r="G59" s="805">
        <v>14593</v>
      </c>
      <c r="H59" s="806">
        <v>14020</v>
      </c>
      <c r="I59" s="807">
        <f>H59*(1+I58)</f>
        <v>14648.096</v>
      </c>
      <c r="J59" s="805">
        <v>14500</v>
      </c>
      <c r="K59" s="805">
        <v>14000</v>
      </c>
      <c r="L59" s="849">
        <f>K59*(1+L58)</f>
        <v>14629.999999999998</v>
      </c>
      <c r="M59" s="805">
        <v>14500</v>
      </c>
      <c r="N59" s="805">
        <v>14000</v>
      </c>
      <c r="O59" s="849">
        <f>N59*(1+O58)</f>
        <v>14629.999999999998</v>
      </c>
      <c r="P59" s="805">
        <v>14500</v>
      </c>
      <c r="Q59" s="805">
        <v>14000</v>
      </c>
      <c r="R59" s="850">
        <f>Q59*(1+R58)</f>
        <v>14629.999999999998</v>
      </c>
    </row>
    <row r="60" spans="2:18" ht="14.45" thickBot="1">
      <c r="B60" s="853" t="s">
        <v>567</v>
      </c>
      <c r="C60" s="994"/>
      <c r="D60" s="995"/>
      <c r="E60" s="995"/>
      <c r="F60" s="995"/>
      <c r="G60" s="995"/>
      <c r="H60" s="995"/>
      <c r="I60" s="995"/>
      <c r="J60" s="995"/>
      <c r="K60" s="995"/>
      <c r="L60" s="995"/>
      <c r="M60" s="995"/>
      <c r="N60" s="995"/>
      <c r="O60" s="995"/>
      <c r="P60" s="995"/>
      <c r="Q60" s="995"/>
      <c r="R60" s="996"/>
    </row>
    <row r="61" spans="2:18">
      <c r="B61" s="851" t="s">
        <v>129</v>
      </c>
      <c r="C61" s="801"/>
      <c r="D61" s="794">
        <f t="shared" ref="D61" si="12">(D62-C62)/C62</f>
        <v>5.8850117519435904E-2</v>
      </c>
      <c r="E61" s="794">
        <f>(E62-D62)/D62</f>
        <v>6.8769743020575425E-2</v>
      </c>
      <c r="F61" s="762"/>
      <c r="G61" s="754">
        <f>G7</f>
        <v>5.8487451860002537E-2</v>
      </c>
      <c r="H61" s="802">
        <f>D7</f>
        <v>8.292351365399224E-2</v>
      </c>
      <c r="I61" s="800">
        <f>V12</f>
        <v>8.4073815713239491E-2</v>
      </c>
      <c r="J61" s="794">
        <f t="shared" ref="J61:R61" si="13">W12</f>
        <v>8.7409629010161027E-2</v>
      </c>
      <c r="K61" s="794">
        <f t="shared" si="13"/>
        <v>9.1400848805144236E-2</v>
      </c>
      <c r="L61" s="794">
        <f t="shared" si="13"/>
        <v>9.4827881295452526E-2</v>
      </c>
      <c r="M61" s="794">
        <f t="shared" si="13"/>
        <v>9.8254913785760817E-2</v>
      </c>
      <c r="N61" s="794">
        <f t="shared" si="13"/>
        <v>0.10099653977800745</v>
      </c>
      <c r="O61" s="794">
        <f t="shared" si="13"/>
        <v>9.4142474797390865E-2</v>
      </c>
      <c r="P61" s="794">
        <f t="shared" si="13"/>
        <v>8.7288409816774298E-2</v>
      </c>
      <c r="Q61" s="794">
        <f t="shared" si="13"/>
        <v>8.0434344836157703E-2</v>
      </c>
      <c r="R61" s="795">
        <f t="shared" si="13"/>
        <v>7.3580279855541136E-2</v>
      </c>
    </row>
    <row r="62" spans="2:18" ht="14.45" thickBot="1">
      <c r="B62" s="809" t="s">
        <v>589</v>
      </c>
      <c r="C62" s="810">
        <f>R7</f>
        <v>22124</v>
      </c>
      <c r="D62" s="811">
        <f>O7</f>
        <v>23426</v>
      </c>
      <c r="E62" s="811">
        <f>L7</f>
        <v>25037</v>
      </c>
      <c r="F62" s="811">
        <f>I7</f>
        <v>23629</v>
      </c>
      <c r="G62" s="811">
        <f>F7</f>
        <v>25011</v>
      </c>
      <c r="H62" s="812">
        <f>C7</f>
        <v>27085</v>
      </c>
      <c r="I62" s="813">
        <f>H62*(1+I61)</f>
        <v>29362.139298593091</v>
      </c>
      <c r="J62" s="813">
        <f t="shared" ref="J62:R62" si="14">I62*(1+J61)</f>
        <v>31928.67300162778</v>
      </c>
      <c r="K62" s="813">
        <f t="shared" si="14"/>
        <v>34846.980815198454</v>
      </c>
      <c r="L62" s="813">
        <f t="shared" si="14"/>
        <v>38151.44617544701</v>
      </c>
      <c r="M62" s="813">
        <f t="shared" si="14"/>
        <v>41900.013230217657</v>
      </c>
      <c r="N62" s="813">
        <f t="shared" si="14"/>
        <v>46131.769583122375</v>
      </c>
      <c r="O62" s="813">
        <f t="shared" si="14"/>
        <v>50474.72853846052</v>
      </c>
      <c r="P62" s="813">
        <f t="shared" si="14"/>
        <v>54880.5873285161</v>
      </c>
      <c r="Q62" s="813">
        <f t="shared" si="14"/>
        <v>59294.871414508831</v>
      </c>
      <c r="R62" s="813">
        <f t="shared" si="14"/>
        <v>63657.80464718672</v>
      </c>
    </row>
    <row r="63" spans="2:18">
      <c r="B63" s="798" t="s">
        <v>590</v>
      </c>
      <c r="C63" s="818">
        <v>975</v>
      </c>
      <c r="D63" s="819">
        <v>774</v>
      </c>
      <c r="E63" s="999">
        <v>645</v>
      </c>
      <c r="F63" s="999"/>
      <c r="G63" s="819">
        <v>741</v>
      </c>
      <c r="H63" s="820">
        <v>713</v>
      </c>
      <c r="I63" s="821">
        <f>H63*(1+I64)</f>
        <v>666.33948357028521</v>
      </c>
      <c r="J63" s="822">
        <f t="shared" ref="J63:R63" si="15">I63*(1+J64)</f>
        <v>646.17292707624631</v>
      </c>
      <c r="K63" s="822">
        <f t="shared" si="15"/>
        <v>648.65152159265403</v>
      </c>
      <c r="L63" s="822">
        <f t="shared" si="15"/>
        <v>627.62577842944177</v>
      </c>
      <c r="M63" s="822">
        <f t="shared" si="15"/>
        <v>608.12451277671528</v>
      </c>
      <c r="N63" s="822">
        <f t="shared" si="15"/>
        <v>594.45464741876538</v>
      </c>
      <c r="O63" s="822">
        <f t="shared" si="15"/>
        <v>582.24916328955544</v>
      </c>
      <c r="P63" s="822">
        <f t="shared" si="15"/>
        <v>566.74721667800964</v>
      </c>
      <c r="Q63" s="822">
        <f t="shared" si="15"/>
        <v>552.47840613959147</v>
      </c>
      <c r="R63" s="823">
        <f t="shared" si="15"/>
        <v>539.38302575503951</v>
      </c>
    </row>
    <row r="64" spans="2:18" ht="14.45" thickBot="1">
      <c r="B64" s="816" t="s">
        <v>129</v>
      </c>
      <c r="C64" s="749"/>
      <c r="D64" s="814">
        <f>(D63-C63)/C63</f>
        <v>-0.20615384615384616</v>
      </c>
      <c r="E64" s="1000">
        <f t="shared" ref="E64:H64" si="16">(E63-D63)/D63</f>
        <v>-0.16666666666666666</v>
      </c>
      <c r="F64" s="1000"/>
      <c r="G64" s="814">
        <f>(G63-E63)/E63</f>
        <v>0.14883720930232558</v>
      </c>
      <c r="H64" s="815">
        <f t="shared" si="16"/>
        <v>-3.7786774628879895E-2</v>
      </c>
      <c r="I64" s="817">
        <f>AVERAGE(D64:H64)</f>
        <v>-6.5442519536766788E-2</v>
      </c>
      <c r="J64" s="814">
        <f t="shared" ref="J64" si="17">AVERAGE(E64:I64)</f>
        <v>-3.0264687882496942E-2</v>
      </c>
      <c r="K64" s="814">
        <f>AVERAGE(G64:J64)</f>
        <v>3.8358068135454903E-3</v>
      </c>
      <c r="L64" s="814">
        <f t="shared" ref="L64:R64" si="18">AVERAGE(H64:K64)</f>
        <v>-3.241454380864954E-2</v>
      </c>
      <c r="M64" s="814">
        <f t="shared" si="18"/>
        <v>-3.1071486103591943E-2</v>
      </c>
      <c r="N64" s="814">
        <f t="shared" si="18"/>
        <v>-2.2478727745298233E-2</v>
      </c>
      <c r="O64" s="814">
        <f t="shared" si="18"/>
        <v>-2.0532237710998557E-2</v>
      </c>
      <c r="P64" s="814">
        <f t="shared" si="18"/>
        <v>-2.6624248842134567E-2</v>
      </c>
      <c r="Q64" s="814">
        <f t="shared" si="18"/>
        <v>-2.5176675100505828E-2</v>
      </c>
      <c r="R64" s="815">
        <f t="shared" si="18"/>
        <v>-2.37029723497343E-2</v>
      </c>
    </row>
    <row r="65" spans="2:18" ht="14.45" thickBot="1">
      <c r="B65" s="853" t="s">
        <v>591</v>
      </c>
      <c r="C65" s="824">
        <v>1291</v>
      </c>
      <c r="D65" s="825">
        <v>1119</v>
      </c>
      <c r="E65" s="825">
        <v>453</v>
      </c>
      <c r="F65" s="826">
        <v>909</v>
      </c>
      <c r="G65" s="826">
        <v>632</v>
      </c>
      <c r="H65" s="827">
        <v>243</v>
      </c>
      <c r="I65" s="828">
        <v>150</v>
      </c>
      <c r="J65" s="826">
        <v>50</v>
      </c>
      <c r="K65" s="826">
        <v>0</v>
      </c>
      <c r="L65" s="826">
        <v>0</v>
      </c>
      <c r="M65" s="826">
        <v>0</v>
      </c>
      <c r="N65" s="826">
        <v>0</v>
      </c>
      <c r="O65" s="826">
        <v>0</v>
      </c>
      <c r="P65" s="826">
        <v>0</v>
      </c>
      <c r="Q65" s="826">
        <v>0</v>
      </c>
      <c r="R65" s="827">
        <v>0</v>
      </c>
    </row>
    <row r="66" spans="2:18">
      <c r="B66" s="833" t="s">
        <v>592</v>
      </c>
      <c r="C66" s="829">
        <f>C56+C59+C62+C63+C65</f>
        <v>55180</v>
      </c>
      <c r="D66" s="829">
        <f>D56+D59+D62+D63+D65</f>
        <v>57351</v>
      </c>
      <c r="E66" s="829">
        <f>E56+E59+E62+E63+E65</f>
        <v>60530</v>
      </c>
      <c r="F66" s="829">
        <f>F56+E59+F62+E63+F65</f>
        <v>60529</v>
      </c>
      <c r="G66" s="829">
        <f>G56+G59+G62+G63+G65</f>
        <v>61861</v>
      </c>
      <c r="H66" s="829">
        <f>H56+H59+H62+H63+H65</f>
        <v>62753</v>
      </c>
      <c r="I66" s="829">
        <f t="shared" ref="I66:R66" si="19">I56+I59+I62+I63+I65</f>
        <v>65932.414782163367</v>
      </c>
      <c r="J66" s="829">
        <f t="shared" si="19"/>
        <v>68863.861128704026</v>
      </c>
      <c r="K66" s="829">
        <f t="shared" si="19"/>
        <v>72104.208144791104</v>
      </c>
      <c r="L66" s="829">
        <f t="shared" si="19"/>
        <v>77148.076552276456</v>
      </c>
      <c r="M66" s="829">
        <f t="shared" si="19"/>
        <v>81934.092571314381</v>
      </c>
      <c r="N66" s="829">
        <f t="shared" si="19"/>
        <v>86898.476800277145</v>
      </c>
      <c r="O66" s="829">
        <f t="shared" si="19"/>
        <v>93167.842899972879</v>
      </c>
      <c r="P66" s="829">
        <f t="shared" si="19"/>
        <v>98802.243003328054</v>
      </c>
      <c r="Q66" s="829">
        <f t="shared" si="19"/>
        <v>104145.00370168907</v>
      </c>
      <c r="R66" s="830">
        <f t="shared" si="19"/>
        <v>110639.72424803443</v>
      </c>
    </row>
    <row r="67" spans="2:18" ht="14.45" thickBot="1">
      <c r="B67" s="831" t="s">
        <v>129</v>
      </c>
      <c r="C67" s="750"/>
      <c r="D67" s="814">
        <f>(D66-C66)/C66</f>
        <v>3.9343965204784344E-2</v>
      </c>
      <c r="E67" s="992">
        <f t="shared" ref="E67" si="20">(E66-D66)/D66</f>
        <v>5.5430594061132328E-2</v>
      </c>
      <c r="F67" s="993"/>
      <c r="G67" s="814">
        <f>(G66-F66)/F66</f>
        <v>2.2005980604338417E-2</v>
      </c>
      <c r="H67" s="814">
        <f t="shared" ref="H67:R67" si="21">(H66-G66)/G66</f>
        <v>1.4419424192948707E-2</v>
      </c>
      <c r="I67" s="832">
        <f t="shared" si="21"/>
        <v>5.0665542398982785E-2</v>
      </c>
      <c r="J67" s="814">
        <f t="shared" si="21"/>
        <v>4.4461383012073454E-2</v>
      </c>
      <c r="K67" s="814">
        <f t="shared" si="21"/>
        <v>4.7054390546457874E-2</v>
      </c>
      <c r="L67" s="814">
        <f t="shared" si="21"/>
        <v>6.9952483180410974E-2</v>
      </c>
      <c r="M67" s="814">
        <f t="shared" si="21"/>
        <v>6.2036751049714935E-2</v>
      </c>
      <c r="N67" s="814">
        <f t="shared" si="21"/>
        <v>6.0589970220782371E-2</v>
      </c>
      <c r="O67" s="814">
        <f t="shared" si="21"/>
        <v>7.2145868725695991E-2</v>
      </c>
      <c r="P67" s="814">
        <f t="shared" si="21"/>
        <v>6.0475802894829241E-2</v>
      </c>
      <c r="Q67" s="814">
        <f t="shared" si="21"/>
        <v>5.4075297644619783E-2</v>
      </c>
      <c r="R67" s="814">
        <f t="shared" si="21"/>
        <v>6.2362286384363759E-2</v>
      </c>
    </row>
  </sheetData>
  <mergeCells count="19">
    <mergeCell ref="E67:F67"/>
    <mergeCell ref="C57:R57"/>
    <mergeCell ref="C60:R60"/>
    <mergeCell ref="E59:F59"/>
    <mergeCell ref="E58:F58"/>
    <mergeCell ref="E63:F63"/>
    <mergeCell ref="E64:F64"/>
    <mergeCell ref="L3:N3"/>
    <mergeCell ref="O3:Q3"/>
    <mergeCell ref="F1:H1"/>
    <mergeCell ref="I8:J8"/>
    <mergeCell ref="I3:J3"/>
    <mergeCell ref="A5:A7"/>
    <mergeCell ref="A4:B4"/>
    <mergeCell ref="A1:B1"/>
    <mergeCell ref="K3:K4"/>
    <mergeCell ref="A2:A3"/>
    <mergeCell ref="C3:E3"/>
    <mergeCell ref="F3:H3"/>
  </mergeCells>
  <phoneticPr fontId="74" type="noConversion"/>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AA415"/>
  <sheetViews>
    <sheetView showGridLines="0" zoomScaleNormal="100" workbookViewId="0">
      <selection activeCell="P22" sqref="P22"/>
    </sheetView>
  </sheetViews>
  <sheetFormatPr defaultRowHeight="14.1"/>
  <cols>
    <col min="1" max="1" width="2.375" customWidth="1"/>
    <col min="2" max="2" width="18.125" customWidth="1"/>
    <col min="3" max="3" width="15.375" customWidth="1"/>
    <col min="4" max="4" width="2.875" customWidth="1"/>
    <col min="5" max="5" width="3.5" customWidth="1"/>
    <col min="6" max="6" width="13.25" customWidth="1"/>
    <col min="7" max="17" width="13.625" style="23" customWidth="1"/>
    <col min="18" max="18" width="21.75" style="6" customWidth="1"/>
  </cols>
  <sheetData>
    <row r="2" spans="1:18" s="37" customFormat="1" ht="20.100000000000001" customHeight="1">
      <c r="B2" s="36" t="s">
        <v>593</v>
      </c>
      <c r="G2" s="209"/>
      <c r="H2" s="209"/>
      <c r="I2" s="209"/>
      <c r="J2" s="209"/>
      <c r="K2" s="209"/>
      <c r="L2" s="209"/>
      <c r="M2" s="209"/>
      <c r="N2" s="209"/>
      <c r="O2" s="209"/>
      <c r="P2" s="209"/>
      <c r="Q2" s="209"/>
      <c r="R2" s="38"/>
    </row>
    <row r="3" spans="1:18" ht="14.45">
      <c r="B3" s="81" t="s">
        <v>594</v>
      </c>
      <c r="G3" s="848">
        <f>G7/G6</f>
        <v>0.49988684491287061</v>
      </c>
      <c r="H3" s="848">
        <f t="shared" ref="H3:Q3" si="0">H7/H6</f>
        <v>0.5022815967507126</v>
      </c>
      <c r="I3" s="848">
        <f t="shared" si="0"/>
        <v>0.5208398503484778</v>
      </c>
      <c r="J3" s="848">
        <f t="shared" si="0"/>
        <v>0.53318844059186998</v>
      </c>
      <c r="K3" s="848">
        <f t="shared" si="0"/>
        <v>0.53592742898066359</v>
      </c>
      <c r="L3" s="848">
        <f t="shared" si="0"/>
        <v>0.52703280749737513</v>
      </c>
      <c r="M3" s="848">
        <f t="shared" si="0"/>
        <v>0.4406386487613041</v>
      </c>
      <c r="N3" s="848">
        <f t="shared" si="0"/>
        <v>0.45100261551874454</v>
      </c>
      <c r="O3" s="848">
        <f t="shared" si="0"/>
        <v>0.45997026267966296</v>
      </c>
      <c r="P3" s="848">
        <f t="shared" si="0"/>
        <v>0.44552214678305851</v>
      </c>
      <c r="Q3" s="848">
        <f t="shared" si="0"/>
        <v>0.43346134846142814</v>
      </c>
    </row>
    <row r="4" spans="1:18" ht="15.6">
      <c r="A4" t="s">
        <v>417</v>
      </c>
      <c r="B4" s="210" t="s">
        <v>260</v>
      </c>
      <c r="C4" s="49"/>
      <c r="D4" s="49"/>
      <c r="E4" s="49"/>
      <c r="F4" s="49"/>
      <c r="G4" s="211">
        <v>2014</v>
      </c>
      <c r="H4" s="211">
        <f>+G4+1</f>
        <v>2015</v>
      </c>
      <c r="I4" s="211">
        <f t="shared" ref="I4:M4" si="1">+H4+1</f>
        <v>2016</v>
      </c>
      <c r="J4" s="211">
        <f t="shared" si="1"/>
        <v>2017</v>
      </c>
      <c r="K4" s="211">
        <f t="shared" si="1"/>
        <v>2018</v>
      </c>
      <c r="L4" s="211">
        <f t="shared" si="1"/>
        <v>2019</v>
      </c>
      <c r="M4" s="211">
        <f t="shared" si="1"/>
        <v>2020</v>
      </c>
      <c r="N4" s="211">
        <f>+M4+1</f>
        <v>2021</v>
      </c>
      <c r="O4" s="211">
        <f>+N4+1</f>
        <v>2022</v>
      </c>
      <c r="P4" s="211">
        <f t="shared" ref="P4" si="2">+O4+1</f>
        <v>2023</v>
      </c>
      <c r="Q4" s="211">
        <f>+P4+1</f>
        <v>2024</v>
      </c>
      <c r="R4" s="51" t="str">
        <f>"CAGR "&amp;$G$4&amp;" - "&amp;$Q$4</f>
        <v>CAGR 2014 - 2024</v>
      </c>
    </row>
    <row r="5" spans="1:18" ht="3.95" customHeight="1">
      <c r="B5" s="46"/>
      <c r="C5" s="46"/>
      <c r="D5" s="46"/>
      <c r="E5" s="46"/>
      <c r="F5" s="46"/>
      <c r="G5" s="212"/>
      <c r="H5" s="212"/>
      <c r="I5" s="212"/>
      <c r="J5" s="212"/>
      <c r="K5" s="212"/>
      <c r="L5" s="212"/>
      <c r="M5" s="212"/>
      <c r="N5" s="212"/>
      <c r="O5" s="212"/>
      <c r="P5" s="212"/>
      <c r="Q5" s="212"/>
      <c r="R5" s="53"/>
    </row>
    <row r="6" spans="1:18">
      <c r="B6" s="1" t="s">
        <v>455</v>
      </c>
      <c r="G6" s="213">
        <v>92793</v>
      </c>
      <c r="H6" s="213">
        <v>81741</v>
      </c>
      <c r="I6" s="213">
        <v>79919</v>
      </c>
      <c r="J6" s="213">
        <v>79139</v>
      </c>
      <c r="K6" s="213">
        <v>79591</v>
      </c>
      <c r="L6" s="213">
        <v>77147</v>
      </c>
      <c r="M6" s="213">
        <v>55179</v>
      </c>
      <c r="N6" s="213">
        <v>57350</v>
      </c>
      <c r="O6" s="213">
        <v>60530</v>
      </c>
      <c r="P6" s="213">
        <v>61860</v>
      </c>
      <c r="Q6" s="213">
        <v>62753</v>
      </c>
      <c r="R6" s="56">
        <f t="shared" ref="R6:R26" si="3">IFERROR((Q6/G6)^(1/COUNT($G$4:$Q$4))-1,"")</f>
        <v>-3.4935594295076311E-2</v>
      </c>
    </row>
    <row r="7" spans="1:18">
      <c r="B7" t="s">
        <v>266</v>
      </c>
      <c r="G7" s="213">
        <v>46386</v>
      </c>
      <c r="H7" s="213">
        <v>41057</v>
      </c>
      <c r="I7" s="213">
        <v>41625</v>
      </c>
      <c r="J7" s="213">
        <v>42196</v>
      </c>
      <c r="K7" s="213">
        <v>42655</v>
      </c>
      <c r="L7" s="213">
        <v>40659</v>
      </c>
      <c r="M7" s="213">
        <v>24314</v>
      </c>
      <c r="N7" s="213">
        <v>25865</v>
      </c>
      <c r="O7" s="213">
        <v>27842</v>
      </c>
      <c r="P7" s="213">
        <v>27560</v>
      </c>
      <c r="Q7" s="213">
        <v>27201</v>
      </c>
      <c r="R7" s="56">
        <f t="shared" si="3"/>
        <v>-4.7363787995026163E-2</v>
      </c>
    </row>
    <row r="8" spans="1:18">
      <c r="B8" s="1" t="s">
        <v>267</v>
      </c>
      <c r="G8" s="214">
        <f>G6-G7</f>
        <v>46407</v>
      </c>
      <c r="H8" s="214">
        <f t="shared" ref="H8:Q8" si="4">H6-H7</f>
        <v>40684</v>
      </c>
      <c r="I8" s="214">
        <f t="shared" si="4"/>
        <v>38294</v>
      </c>
      <c r="J8" s="214">
        <f t="shared" si="4"/>
        <v>36943</v>
      </c>
      <c r="K8" s="214">
        <f t="shared" si="4"/>
        <v>36936</v>
      </c>
      <c r="L8" s="214">
        <f t="shared" si="4"/>
        <v>36488</v>
      </c>
      <c r="M8" s="214">
        <f t="shared" si="4"/>
        <v>30865</v>
      </c>
      <c r="N8" s="214">
        <f t="shared" si="4"/>
        <v>31485</v>
      </c>
      <c r="O8" s="214">
        <f t="shared" si="4"/>
        <v>32688</v>
      </c>
      <c r="P8" s="214">
        <f t="shared" si="4"/>
        <v>34300</v>
      </c>
      <c r="Q8" s="214">
        <f t="shared" si="4"/>
        <v>35552</v>
      </c>
      <c r="R8" s="59">
        <f t="shared" si="3"/>
        <v>-2.3932057228786996E-2</v>
      </c>
    </row>
    <row r="9" spans="1:18">
      <c r="B9" t="s">
        <v>458</v>
      </c>
      <c r="G9" s="213">
        <v>23180</v>
      </c>
      <c r="H9" s="213">
        <v>20430</v>
      </c>
      <c r="I9" s="213">
        <v>21069</v>
      </c>
      <c r="J9" s="213">
        <v>19680</v>
      </c>
      <c r="K9" s="213">
        <v>19366</v>
      </c>
      <c r="L9" s="213">
        <v>20604</v>
      </c>
      <c r="M9" s="213">
        <v>20561</v>
      </c>
      <c r="N9" s="213">
        <v>18745</v>
      </c>
      <c r="O9" s="213">
        <v>18609</v>
      </c>
      <c r="P9" s="213">
        <v>19003</v>
      </c>
      <c r="Q9" s="213">
        <v>19688</v>
      </c>
      <c r="R9" s="56">
        <f t="shared" si="3"/>
        <v>-1.4734059676608346E-2</v>
      </c>
    </row>
    <row r="10" spans="1:18">
      <c r="B10" t="s">
        <v>274</v>
      </c>
      <c r="G10" s="213">
        <v>5437</v>
      </c>
      <c r="H10" s="213">
        <v>5247</v>
      </c>
      <c r="I10" s="213">
        <v>5751</v>
      </c>
      <c r="J10" s="213">
        <v>5590</v>
      </c>
      <c r="K10" s="213">
        <v>5379</v>
      </c>
      <c r="L10" s="213">
        <v>5989</v>
      </c>
      <c r="M10" s="213">
        <v>6262</v>
      </c>
      <c r="N10" s="213">
        <v>6488</v>
      </c>
      <c r="O10" s="213">
        <v>6567</v>
      </c>
      <c r="P10" s="213">
        <v>6775</v>
      </c>
      <c r="Q10" s="213">
        <v>7479</v>
      </c>
      <c r="R10" s="56">
        <f t="shared" si="3"/>
        <v>2.9412583504066392E-2</v>
      </c>
    </row>
    <row r="11" spans="1:18">
      <c r="B11" t="s">
        <v>459</v>
      </c>
      <c r="G11" s="213">
        <f>G152</f>
        <v>-742</v>
      </c>
      <c r="H11" s="213">
        <f t="shared" ref="H11:Q11" si="5">H152</f>
        <v>-682</v>
      </c>
      <c r="I11" s="213">
        <f t="shared" si="5"/>
        <v>-1631</v>
      </c>
      <c r="J11" s="213">
        <f t="shared" si="5"/>
        <v>-1466</v>
      </c>
      <c r="K11" s="213">
        <f t="shared" si="5"/>
        <v>-1026</v>
      </c>
      <c r="L11" s="213">
        <f t="shared" si="5"/>
        <v>-639</v>
      </c>
      <c r="M11" s="213">
        <f t="shared" si="5"/>
        <v>-620</v>
      </c>
      <c r="N11" s="213">
        <f t="shared" si="5"/>
        <v>-612</v>
      </c>
      <c r="O11" s="213">
        <f t="shared" si="5"/>
        <v>-663</v>
      </c>
      <c r="P11" s="213">
        <f t="shared" si="5"/>
        <v>-860</v>
      </c>
      <c r="Q11" s="213">
        <f t="shared" si="5"/>
        <v>-996</v>
      </c>
      <c r="R11" s="56">
        <f t="shared" si="3"/>
        <v>2.7124813666082215E-2</v>
      </c>
    </row>
    <row r="12" spans="1:18">
      <c r="B12" s="1" t="s">
        <v>211</v>
      </c>
      <c r="G12" s="215">
        <f>G16+G13</f>
        <v>23024</v>
      </c>
      <c r="H12" s="215">
        <f t="shared" ref="H12:Q12" si="6">H16+H13</f>
        <v>19544</v>
      </c>
      <c r="I12" s="215">
        <f t="shared" si="6"/>
        <v>17486</v>
      </c>
      <c r="J12" s="215">
        <f t="shared" si="6"/>
        <v>17680</v>
      </c>
      <c r="K12" s="215">
        <f t="shared" si="6"/>
        <v>17697</v>
      </c>
      <c r="L12" s="215">
        <f t="shared" si="6"/>
        <v>16593</v>
      </c>
      <c r="M12" s="215">
        <f t="shared" si="6"/>
        <v>11357</v>
      </c>
      <c r="N12" s="215">
        <f t="shared" si="6"/>
        <v>13281</v>
      </c>
      <c r="O12" s="215">
        <f t="shared" si="6"/>
        <v>12977</v>
      </c>
      <c r="P12" s="215">
        <f t="shared" si="6"/>
        <v>13778</v>
      </c>
      <c r="Q12" s="215">
        <f t="shared" si="6"/>
        <v>14048</v>
      </c>
      <c r="R12" s="59">
        <f t="shared" si="3"/>
        <v>-4.3920569440524249E-2</v>
      </c>
    </row>
    <row r="13" spans="1:18">
      <c r="B13" t="s">
        <v>460</v>
      </c>
      <c r="G13" s="229">
        <f>+SUM(G14:G15)</f>
        <v>4492</v>
      </c>
      <c r="H13" s="229">
        <f t="shared" ref="H13:Q13" si="7">+SUM(H14:H15)</f>
        <v>3855</v>
      </c>
      <c r="I13" s="229">
        <f t="shared" si="7"/>
        <v>4381</v>
      </c>
      <c r="J13" s="229">
        <f t="shared" si="7"/>
        <v>4541</v>
      </c>
      <c r="K13" s="229">
        <f t="shared" si="7"/>
        <v>4480</v>
      </c>
      <c r="L13" s="229">
        <f t="shared" si="7"/>
        <v>6059</v>
      </c>
      <c r="M13" s="229">
        <f t="shared" si="7"/>
        <v>6695</v>
      </c>
      <c r="N13" s="229">
        <f t="shared" si="7"/>
        <v>6417</v>
      </c>
      <c r="O13" s="229">
        <f t="shared" si="7"/>
        <v>4802</v>
      </c>
      <c r="P13" s="229">
        <f t="shared" si="7"/>
        <v>4396</v>
      </c>
      <c r="Q13" s="229">
        <f t="shared" si="7"/>
        <v>4667</v>
      </c>
      <c r="R13" s="56">
        <f t="shared" si="3"/>
        <v>3.4804454690435804E-3</v>
      </c>
    </row>
    <row r="14" spans="1:18" ht="14.45">
      <c r="B14" s="248" t="s">
        <v>462</v>
      </c>
      <c r="G14" s="249">
        <v>3145</v>
      </c>
      <c r="H14" s="249">
        <v>2662</v>
      </c>
      <c r="I14" s="249">
        <v>2837</v>
      </c>
      <c r="J14" s="249">
        <v>3021</v>
      </c>
      <c r="K14" s="249">
        <v>3127</v>
      </c>
      <c r="L14" s="249">
        <v>4209</v>
      </c>
      <c r="M14" s="249">
        <v>4227</v>
      </c>
      <c r="N14" s="249">
        <v>3888</v>
      </c>
      <c r="O14" s="249">
        <v>2407</v>
      </c>
      <c r="P14" s="249">
        <v>2109</v>
      </c>
      <c r="Q14" s="249">
        <v>2168</v>
      </c>
      <c r="R14" s="56">
        <f t="shared" si="3"/>
        <v>-3.3253513086916486E-2</v>
      </c>
    </row>
    <row r="15" spans="1:18" ht="14.45">
      <c r="B15" s="248" t="s">
        <v>464</v>
      </c>
      <c r="G15" s="265">
        <v>1347</v>
      </c>
      <c r="H15" s="265">
        <v>1193</v>
      </c>
      <c r="I15" s="265">
        <v>1544</v>
      </c>
      <c r="J15" s="265">
        <v>1520</v>
      </c>
      <c r="K15" s="265">
        <v>1353</v>
      </c>
      <c r="L15" s="265">
        <v>1850</v>
      </c>
      <c r="M15" s="265">
        <v>2468</v>
      </c>
      <c r="N15" s="265">
        <v>2529</v>
      </c>
      <c r="O15" s="265">
        <v>2395</v>
      </c>
      <c r="P15" s="265">
        <v>2287</v>
      </c>
      <c r="Q15" s="265">
        <v>2499</v>
      </c>
      <c r="R15" s="56">
        <f t="shared" si="3"/>
        <v>5.7791025881872349E-2</v>
      </c>
    </row>
    <row r="16" spans="1:18">
      <c r="B16" s="1" t="s">
        <v>268</v>
      </c>
      <c r="G16" s="215">
        <f>+G8-G9-G10-G11</f>
        <v>18532</v>
      </c>
      <c r="H16" s="215">
        <f t="shared" ref="H16:Q16" si="8">+H8-H9-H10-H11</f>
        <v>15689</v>
      </c>
      <c r="I16" s="215">
        <f t="shared" si="8"/>
        <v>13105</v>
      </c>
      <c r="J16" s="215">
        <f t="shared" si="8"/>
        <v>13139</v>
      </c>
      <c r="K16" s="215">
        <f t="shared" si="8"/>
        <v>13217</v>
      </c>
      <c r="L16" s="215">
        <f t="shared" si="8"/>
        <v>10534</v>
      </c>
      <c r="M16" s="215">
        <f t="shared" si="8"/>
        <v>4662</v>
      </c>
      <c r="N16" s="215">
        <f t="shared" si="8"/>
        <v>6864</v>
      </c>
      <c r="O16" s="215">
        <f t="shared" si="8"/>
        <v>8175</v>
      </c>
      <c r="P16" s="215">
        <f t="shared" si="8"/>
        <v>9382</v>
      </c>
      <c r="Q16" s="215">
        <f t="shared" si="8"/>
        <v>9381</v>
      </c>
      <c r="R16" s="59">
        <f t="shared" si="3"/>
        <v>-6.0015651682504334E-2</v>
      </c>
    </row>
    <row r="17" spans="1:18">
      <c r="B17" t="s">
        <v>269</v>
      </c>
      <c r="G17" s="229">
        <f>+G18-G19</f>
        <v>484</v>
      </c>
      <c r="H17" s="229">
        <f t="shared" ref="H17:Q17" si="9">+H18-H19</f>
        <v>468</v>
      </c>
      <c r="I17" s="229">
        <f t="shared" si="9"/>
        <v>630</v>
      </c>
      <c r="J17" s="229">
        <f t="shared" si="9"/>
        <v>615</v>
      </c>
      <c r="K17" s="229">
        <f t="shared" si="9"/>
        <v>723</v>
      </c>
      <c r="L17" s="229">
        <f t="shared" si="9"/>
        <v>1344</v>
      </c>
      <c r="M17" s="229">
        <f t="shared" si="9"/>
        <v>1288</v>
      </c>
      <c r="N17" s="229">
        <f t="shared" si="9"/>
        <v>1155</v>
      </c>
      <c r="O17" s="229">
        <f t="shared" si="9"/>
        <v>1216</v>
      </c>
      <c r="P17" s="229">
        <f t="shared" si="9"/>
        <v>1607</v>
      </c>
      <c r="Q17" s="229">
        <f t="shared" si="9"/>
        <v>1712</v>
      </c>
      <c r="R17" s="56">
        <f t="shared" si="3"/>
        <v>0.12170339994164769</v>
      </c>
    </row>
    <row r="18" spans="1:18" ht="14.45">
      <c r="B18" s="248" t="s">
        <v>467</v>
      </c>
      <c r="C18" s="81"/>
      <c r="D18" s="81"/>
      <c r="E18" s="81"/>
      <c r="G18" s="249">
        <v>484</v>
      </c>
      <c r="H18" s="249">
        <v>468</v>
      </c>
      <c r="I18" s="249">
        <v>630</v>
      </c>
      <c r="J18" s="249">
        <v>615</v>
      </c>
      <c r="K18" s="249">
        <v>723</v>
      </c>
      <c r="L18" s="249">
        <v>1344</v>
      </c>
      <c r="M18" s="249">
        <v>1288</v>
      </c>
      <c r="N18" s="249">
        <v>1155</v>
      </c>
      <c r="O18" s="249">
        <v>1216</v>
      </c>
      <c r="P18" s="249">
        <v>1607</v>
      </c>
      <c r="Q18" s="249">
        <v>1712</v>
      </c>
      <c r="R18" s="56">
        <f t="shared" si="3"/>
        <v>0.12170339994164769</v>
      </c>
    </row>
    <row r="19" spans="1:18" ht="14.45">
      <c r="B19" s="248" t="s">
        <v>469</v>
      </c>
      <c r="C19" s="81"/>
      <c r="D19" s="81"/>
      <c r="E19" s="81"/>
      <c r="G19" s="249">
        <v>0</v>
      </c>
      <c r="H19" s="249">
        <v>0</v>
      </c>
      <c r="I19" s="249">
        <v>0</v>
      </c>
      <c r="J19" s="249">
        <v>0</v>
      </c>
      <c r="K19" s="249">
        <v>0</v>
      </c>
      <c r="L19" s="249">
        <v>0</v>
      </c>
      <c r="M19" s="249">
        <v>0</v>
      </c>
      <c r="N19" s="249">
        <v>0</v>
      </c>
      <c r="O19" s="249">
        <v>0</v>
      </c>
      <c r="P19" s="249">
        <v>0</v>
      </c>
      <c r="Q19" s="249">
        <v>0</v>
      </c>
      <c r="R19" s="56" t="str">
        <f t="shared" si="3"/>
        <v/>
      </c>
    </row>
    <row r="20" spans="1:18">
      <c r="B20" t="s">
        <v>471</v>
      </c>
      <c r="G20" s="213">
        <f>G155</f>
        <v>-599</v>
      </c>
      <c r="H20" s="213">
        <f t="shared" ref="H20:Q20" si="10">H155</f>
        <v>414</v>
      </c>
      <c r="I20" s="213">
        <f t="shared" si="10"/>
        <v>-116</v>
      </c>
      <c r="J20" s="213">
        <f t="shared" si="10"/>
        <v>405</v>
      </c>
      <c r="K20" s="213">
        <f t="shared" si="10"/>
        <v>-427</v>
      </c>
      <c r="L20" s="213">
        <f t="shared" si="10"/>
        <v>-279</v>
      </c>
      <c r="M20" s="213">
        <f t="shared" si="10"/>
        <v>114</v>
      </c>
      <c r="N20" s="213">
        <f t="shared" si="10"/>
        <v>-204</v>
      </c>
      <c r="O20" s="213">
        <f t="shared" si="10"/>
        <v>-643</v>
      </c>
      <c r="P20" s="213">
        <f t="shared" si="10"/>
        <v>116</v>
      </c>
      <c r="Q20" s="213">
        <f t="shared" si="10"/>
        <v>-458</v>
      </c>
      <c r="R20" s="56">
        <f t="shared" si="3"/>
        <v>-2.4104053420562099E-2</v>
      </c>
    </row>
    <row r="21" spans="1:18">
      <c r="B21" t="s">
        <v>472</v>
      </c>
      <c r="G21" s="213">
        <f>G156-G155</f>
        <v>-1339</v>
      </c>
      <c r="H21" s="213">
        <f t="shared" ref="H21:Q21" si="11">H156-H155</f>
        <v>-1138</v>
      </c>
      <c r="I21" s="213">
        <f t="shared" si="11"/>
        <v>709</v>
      </c>
      <c r="J21" s="213">
        <f t="shared" si="11"/>
        <v>720</v>
      </c>
      <c r="K21" s="213">
        <f t="shared" si="11"/>
        <v>1579</v>
      </c>
      <c r="L21" s="213">
        <f t="shared" si="11"/>
        <v>-689</v>
      </c>
      <c r="M21" s="213">
        <f t="shared" si="11"/>
        <v>747</v>
      </c>
      <c r="N21" s="213">
        <f t="shared" si="11"/>
        <v>1077</v>
      </c>
      <c r="O21" s="213">
        <f t="shared" si="11"/>
        <v>6446</v>
      </c>
      <c r="P21" s="213">
        <f t="shared" si="11"/>
        <v>-1030</v>
      </c>
      <c r="Q21" s="213">
        <f t="shared" si="11"/>
        <v>2329</v>
      </c>
      <c r="R21" s="56">
        <f t="shared" si="3"/>
        <v>-2.0516071673078251</v>
      </c>
    </row>
    <row r="22" spans="1:18">
      <c r="B22" s="1" t="s">
        <v>270</v>
      </c>
      <c r="D22" s="1"/>
      <c r="E22" s="1"/>
      <c r="G22" s="482">
        <f>+G16-G17-G20-G21</f>
        <v>19986</v>
      </c>
      <c r="H22" s="482">
        <f t="shared" ref="H22:Q22" si="12">+H16-H17-H20-H21</f>
        <v>15945</v>
      </c>
      <c r="I22" s="482">
        <f t="shared" si="12"/>
        <v>11882</v>
      </c>
      <c r="J22" s="482">
        <f t="shared" si="12"/>
        <v>11399</v>
      </c>
      <c r="K22" s="482">
        <f t="shared" si="12"/>
        <v>11342</v>
      </c>
      <c r="L22" s="482">
        <f t="shared" si="12"/>
        <v>10158</v>
      </c>
      <c r="M22" s="482">
        <f t="shared" si="12"/>
        <v>2513</v>
      </c>
      <c r="N22" s="482">
        <f t="shared" si="12"/>
        <v>4836</v>
      </c>
      <c r="O22" s="482">
        <f t="shared" si="12"/>
        <v>1156</v>
      </c>
      <c r="P22" s="482">
        <f t="shared" si="12"/>
        <v>8689</v>
      </c>
      <c r="Q22" s="482">
        <f t="shared" si="12"/>
        <v>5798</v>
      </c>
      <c r="R22" s="59">
        <f t="shared" si="3"/>
        <v>-0.10640419620914288</v>
      </c>
    </row>
    <row r="23" spans="1:18">
      <c r="B23" t="s">
        <v>271</v>
      </c>
      <c r="G23" s="213">
        <v>4234</v>
      </c>
      <c r="H23" s="213">
        <v>2581</v>
      </c>
      <c r="I23" s="213">
        <v>449</v>
      </c>
      <c r="J23" s="213">
        <v>5642</v>
      </c>
      <c r="K23" s="213">
        <v>2619</v>
      </c>
      <c r="L23" s="213">
        <v>60</v>
      </c>
      <c r="M23" s="213">
        <v>-1360</v>
      </c>
      <c r="N23" s="213">
        <v>124</v>
      </c>
      <c r="O23" s="213">
        <v>-626</v>
      </c>
      <c r="P23" s="213">
        <v>1176</v>
      </c>
      <c r="Q23" s="213">
        <v>-218</v>
      </c>
      <c r="R23" s="56">
        <f t="shared" si="3"/>
        <v>-1.763628855568224</v>
      </c>
    </row>
    <row r="24" spans="1:18">
      <c r="B24" s="1" t="s">
        <v>272</v>
      </c>
      <c r="G24" s="215">
        <f>+G22-G23</f>
        <v>15752</v>
      </c>
      <c r="H24" s="215">
        <f t="shared" ref="H24:Q24" si="13">+H22-H23</f>
        <v>13364</v>
      </c>
      <c r="I24" s="215">
        <f t="shared" si="13"/>
        <v>11433</v>
      </c>
      <c r="J24" s="215">
        <f t="shared" si="13"/>
        <v>5757</v>
      </c>
      <c r="K24" s="215">
        <f t="shared" si="13"/>
        <v>8723</v>
      </c>
      <c r="L24" s="215">
        <f t="shared" si="13"/>
        <v>10098</v>
      </c>
      <c r="M24" s="215">
        <f t="shared" si="13"/>
        <v>3873</v>
      </c>
      <c r="N24" s="215">
        <f t="shared" si="13"/>
        <v>4712</v>
      </c>
      <c r="O24" s="215">
        <f t="shared" si="13"/>
        <v>1782</v>
      </c>
      <c r="P24" s="215">
        <f t="shared" si="13"/>
        <v>7513</v>
      </c>
      <c r="Q24" s="215">
        <f t="shared" si="13"/>
        <v>6016</v>
      </c>
      <c r="R24" s="59">
        <f t="shared" si="3"/>
        <v>-8.3784856077077086E-2</v>
      </c>
    </row>
    <row r="25" spans="1:18">
      <c r="B25" s="1" t="s">
        <v>273</v>
      </c>
      <c r="G25" s="216">
        <v>11.97</v>
      </c>
      <c r="H25" s="216">
        <v>13.48</v>
      </c>
      <c r="I25" s="216">
        <v>12.43</v>
      </c>
      <c r="J25" s="216">
        <v>6.17</v>
      </c>
      <c r="K25" s="216">
        <v>9.57</v>
      </c>
      <c r="L25" s="216">
        <v>10.63</v>
      </c>
      <c r="M25" s="216">
        <v>6.28</v>
      </c>
      <c r="N25" s="216">
        <v>6.41</v>
      </c>
      <c r="O25" s="216">
        <v>1.82</v>
      </c>
      <c r="P25" s="216">
        <v>8.23</v>
      </c>
      <c r="Q25" s="216">
        <v>6.53</v>
      </c>
      <c r="R25" s="59">
        <f t="shared" si="3"/>
        <v>-5.3600597675844019E-2</v>
      </c>
    </row>
    <row r="26" spans="1:18">
      <c r="B26" s="1" t="s">
        <v>595</v>
      </c>
      <c r="G26" s="216">
        <v>11.9</v>
      </c>
      <c r="H26" s="216">
        <v>13.42</v>
      </c>
      <c r="I26" s="216">
        <v>12.38</v>
      </c>
      <c r="J26" s="216">
        <v>6.14</v>
      </c>
      <c r="K26" s="216">
        <v>9.52</v>
      </c>
      <c r="L26" s="216">
        <v>10.56</v>
      </c>
      <c r="M26" s="216">
        <v>6.23</v>
      </c>
      <c r="N26" s="216">
        <v>6.35</v>
      </c>
      <c r="O26" s="216">
        <v>1.8</v>
      </c>
      <c r="P26" s="216">
        <v>8.14</v>
      </c>
      <c r="Q26" s="216">
        <v>6.43</v>
      </c>
      <c r="R26" s="59">
        <f t="shared" si="3"/>
        <v>-5.442337375979156E-2</v>
      </c>
    </row>
    <row r="27" spans="1:18">
      <c r="B27" t="s">
        <v>596</v>
      </c>
      <c r="G27" s="213">
        <v>1004272584</v>
      </c>
      <c r="H27" s="213">
        <v>978744523</v>
      </c>
      <c r="I27" s="213">
        <v>955422530</v>
      </c>
      <c r="J27" s="213">
        <v>932828295</v>
      </c>
      <c r="K27" s="213">
        <v>912048072</v>
      </c>
      <c r="L27" s="213">
        <v>887235105</v>
      </c>
      <c r="M27" s="213">
        <v>890348679</v>
      </c>
      <c r="N27" s="213">
        <v>895990771</v>
      </c>
      <c r="O27" s="213">
        <v>902664190</v>
      </c>
      <c r="P27" s="213">
        <v>911210319</v>
      </c>
      <c r="Q27" s="213">
        <v>921767834</v>
      </c>
      <c r="R27" s="56" t="s">
        <v>597</v>
      </c>
    </row>
    <row r="28" spans="1:18">
      <c r="B28" t="s">
        <v>598</v>
      </c>
      <c r="G28" s="213">
        <v>1010000480</v>
      </c>
      <c r="H28" s="213">
        <v>982700267</v>
      </c>
      <c r="I28" s="213">
        <v>958714097</v>
      </c>
      <c r="J28" s="213">
        <v>937385625</v>
      </c>
      <c r="K28" s="213">
        <v>916315714</v>
      </c>
      <c r="L28" s="213">
        <v>892813376</v>
      </c>
      <c r="M28" s="213">
        <v>896563971</v>
      </c>
      <c r="N28" s="213">
        <v>904641001</v>
      </c>
      <c r="O28" s="213">
        <v>912269062</v>
      </c>
      <c r="P28" s="213">
        <v>922073828</v>
      </c>
      <c r="Q28" s="213">
        <v>937161224</v>
      </c>
      <c r="R28" s="56">
        <f>IFERROR((Q28/G28)^(1/COUNT($G$4:$Q$4))-1,"")</f>
        <v>-6.7815150019451265E-3</v>
      </c>
    </row>
    <row r="29" spans="1:18" ht="3.95" customHeight="1"/>
    <row r="30" spans="1:18" ht="15.6">
      <c r="A30" t="s">
        <v>417</v>
      </c>
      <c r="B30" s="45" t="s">
        <v>275</v>
      </c>
      <c r="C30" s="49"/>
      <c r="D30" s="49"/>
      <c r="E30" s="49"/>
      <c r="F30" s="49"/>
      <c r="G30" s="211">
        <v>2014</v>
      </c>
      <c r="H30" s="211">
        <f>+G30+1</f>
        <v>2015</v>
      </c>
      <c r="I30" s="211">
        <f t="shared" ref="I30:M30" si="14">+H30+1</f>
        <v>2016</v>
      </c>
      <c r="J30" s="211">
        <f t="shared" si="14"/>
        <v>2017</v>
      </c>
      <c r="K30" s="211">
        <f t="shared" si="14"/>
        <v>2018</v>
      </c>
      <c r="L30" s="211">
        <f t="shared" si="14"/>
        <v>2019</v>
      </c>
      <c r="M30" s="211">
        <f t="shared" si="14"/>
        <v>2020</v>
      </c>
      <c r="N30" s="211">
        <f>+M30+1</f>
        <v>2021</v>
      </c>
      <c r="O30" s="211">
        <f>+N30+1</f>
        <v>2022</v>
      </c>
      <c r="P30" s="211">
        <f t="shared" ref="P30" si="15">+O30+1</f>
        <v>2023</v>
      </c>
      <c r="Q30" s="211">
        <f>+P30+1</f>
        <v>2024</v>
      </c>
      <c r="R30" s="51" t="str">
        <f>"CAGR "&amp;$G$4&amp;" - "&amp;$Q$4</f>
        <v>CAGR 2014 - 2024</v>
      </c>
    </row>
    <row r="31" spans="1:18" s="86" customFormat="1" ht="3.95" customHeight="1">
      <c r="B31" s="217"/>
      <c r="C31" s="217"/>
      <c r="D31" s="217"/>
      <c r="E31" s="217"/>
      <c r="F31" s="217"/>
      <c r="G31" s="218"/>
      <c r="H31" s="218"/>
      <c r="I31" s="218"/>
      <c r="J31" s="218"/>
      <c r="K31" s="218"/>
      <c r="L31" s="218"/>
      <c r="M31" s="218"/>
      <c r="N31" s="218"/>
      <c r="O31" s="218"/>
      <c r="P31" s="218"/>
      <c r="Q31" s="218"/>
      <c r="R31" s="53"/>
    </row>
    <row r="32" spans="1:18">
      <c r="B32" t="s">
        <v>476</v>
      </c>
      <c r="G32" s="222">
        <f>+SUM(G33:G34)</f>
        <v>8476</v>
      </c>
      <c r="H32" s="222">
        <f t="shared" ref="H32:N32" si="16">+SUM(H33:H34)</f>
        <v>8194</v>
      </c>
      <c r="I32" s="222">
        <f t="shared" si="16"/>
        <v>8527</v>
      </c>
      <c r="J32" s="222">
        <f t="shared" si="16"/>
        <v>12580</v>
      </c>
      <c r="K32" s="222">
        <f t="shared" si="16"/>
        <v>11997</v>
      </c>
      <c r="L32" s="222">
        <f t="shared" si="16"/>
        <v>8313</v>
      </c>
      <c r="M32" s="222">
        <f t="shared" si="16"/>
        <v>13675</v>
      </c>
      <c r="N32" s="222">
        <f t="shared" si="16"/>
        <v>6957</v>
      </c>
      <c r="O32" s="222">
        <f>+SUM(O33:O34)</f>
        <v>7989</v>
      </c>
      <c r="P32" s="222">
        <f>+SUM(P33:P34)</f>
        <v>13441</v>
      </c>
      <c r="Q32" s="222">
        <f>+SUM(Q33:Q34)</f>
        <v>14591</v>
      </c>
      <c r="R32" s="56">
        <f t="shared" ref="R32:R44" si="17">IFERROR((Q32/G32)^(1/COUNT($G$4:$Q$4))-1,"")</f>
        <v>5.0618197978505197E-2</v>
      </c>
    </row>
    <row r="33" spans="2:20" ht="14.45">
      <c r="B33" s="248" t="s">
        <v>276</v>
      </c>
      <c r="C33" s="81"/>
      <c r="D33" s="81"/>
      <c r="E33" s="81"/>
      <c r="G33" s="249">
        <v>8476</v>
      </c>
      <c r="H33" s="249">
        <v>7686</v>
      </c>
      <c r="I33" s="249">
        <v>7826</v>
      </c>
      <c r="J33" s="249">
        <v>11972</v>
      </c>
      <c r="K33" s="249">
        <v>11379</v>
      </c>
      <c r="L33" s="249">
        <v>8172</v>
      </c>
      <c r="M33" s="249">
        <v>13212</v>
      </c>
      <c r="N33" s="249">
        <v>6650</v>
      </c>
      <c r="O33" s="249">
        <v>7886</v>
      </c>
      <c r="P33" s="249">
        <v>13068</v>
      </c>
      <c r="Q33" s="249">
        <v>13947</v>
      </c>
      <c r="R33" s="56">
        <f t="shared" si="17"/>
        <v>4.6315632363543857E-2</v>
      </c>
    </row>
    <row r="34" spans="2:20" ht="14.45">
      <c r="B34" s="248" t="s">
        <v>599</v>
      </c>
      <c r="C34" s="81"/>
      <c r="D34" s="81"/>
      <c r="E34" s="81"/>
      <c r="G34" s="249">
        <v>0</v>
      </c>
      <c r="H34" s="249">
        <v>508</v>
      </c>
      <c r="I34" s="249">
        <v>701</v>
      </c>
      <c r="J34" s="249">
        <v>608</v>
      </c>
      <c r="K34" s="249">
        <v>618</v>
      </c>
      <c r="L34" s="249">
        <v>141</v>
      </c>
      <c r="M34" s="249">
        <v>463</v>
      </c>
      <c r="N34" s="249">
        <v>307</v>
      </c>
      <c r="O34" s="249">
        <v>103</v>
      </c>
      <c r="P34" s="249">
        <v>373</v>
      </c>
      <c r="Q34" s="249">
        <v>644</v>
      </c>
      <c r="R34" s="56" t="str">
        <f t="shared" si="17"/>
        <v/>
      </c>
    </row>
    <row r="35" spans="2:20">
      <c r="B35" t="s">
        <v>277</v>
      </c>
      <c r="G35" s="213">
        <f>G134</f>
        <v>11996</v>
      </c>
      <c r="H35" s="213">
        <f t="shared" ref="H35:Q35" si="18">H134</f>
        <v>9534</v>
      </c>
      <c r="I35" s="213">
        <f t="shared" si="18"/>
        <v>10239</v>
      </c>
      <c r="J35" s="213">
        <f t="shared" si="18"/>
        <v>9909</v>
      </c>
      <c r="K35" s="213">
        <f t="shared" si="18"/>
        <v>8175</v>
      </c>
      <c r="L35" s="213">
        <f t="shared" si="18"/>
        <v>9603</v>
      </c>
      <c r="M35" s="213">
        <f t="shared" si="18"/>
        <v>7846</v>
      </c>
      <c r="N35" s="213">
        <f t="shared" si="18"/>
        <v>7756</v>
      </c>
      <c r="O35" s="213">
        <f t="shared" si="18"/>
        <v>7358</v>
      </c>
      <c r="P35" s="213">
        <f t="shared" si="18"/>
        <v>7854</v>
      </c>
      <c r="Q35" s="213">
        <f t="shared" si="18"/>
        <v>7751</v>
      </c>
      <c r="R35" s="56">
        <f t="shared" si="17"/>
        <v>-3.8926771059388243E-2</v>
      </c>
    </row>
    <row r="36" spans="2:20">
      <c r="B36" t="s">
        <v>478</v>
      </c>
      <c r="G36" s="213">
        <v>2103</v>
      </c>
      <c r="H36" s="213">
        <v>1551</v>
      </c>
      <c r="I36" s="213">
        <v>1553</v>
      </c>
      <c r="J36" s="213">
        <v>1583</v>
      </c>
      <c r="K36" s="213">
        <v>1682</v>
      </c>
      <c r="L36" s="213">
        <v>1619</v>
      </c>
      <c r="M36" s="213">
        <v>1839</v>
      </c>
      <c r="N36" s="213">
        <v>1649</v>
      </c>
      <c r="O36" s="213">
        <v>1552</v>
      </c>
      <c r="P36" s="213">
        <v>1161</v>
      </c>
      <c r="Q36" s="213">
        <v>1289</v>
      </c>
      <c r="R36" s="56">
        <f t="shared" si="17"/>
        <v>-4.3524241023900956E-2</v>
      </c>
    </row>
    <row r="37" spans="2:20">
      <c r="B37" s="35" t="s">
        <v>480</v>
      </c>
      <c r="C37" s="35"/>
      <c r="D37" s="35"/>
      <c r="E37" s="35"/>
      <c r="G37" s="219">
        <f t="shared" ref="G37:Q37" si="19">+G38-G32-G35-G36</f>
        <v>24802</v>
      </c>
      <c r="H37" s="219">
        <f t="shared" si="19"/>
        <v>23225</v>
      </c>
      <c r="I37" s="219">
        <f t="shared" si="19"/>
        <v>23569</v>
      </c>
      <c r="J37" s="219">
        <f t="shared" si="19"/>
        <v>25663</v>
      </c>
      <c r="K37" s="219">
        <f t="shared" si="19"/>
        <v>27292</v>
      </c>
      <c r="L37" s="219">
        <f t="shared" si="19"/>
        <v>18885</v>
      </c>
      <c r="M37" s="219">
        <f t="shared" si="19"/>
        <v>15805</v>
      </c>
      <c r="N37" s="219">
        <f t="shared" si="19"/>
        <v>13177</v>
      </c>
      <c r="O37" s="219">
        <f t="shared" si="19"/>
        <v>12219</v>
      </c>
      <c r="P37" s="219">
        <f t="shared" si="19"/>
        <v>10452</v>
      </c>
      <c r="Q37" s="219">
        <f t="shared" si="19"/>
        <v>10851</v>
      </c>
      <c r="R37" s="220">
        <f t="shared" si="17"/>
        <v>-7.2397102833707705E-2</v>
      </c>
      <c r="T37" s="65"/>
    </row>
    <row r="38" spans="2:20" s="1" customFormat="1">
      <c r="B38" s="68" t="s">
        <v>280</v>
      </c>
      <c r="C38" s="68"/>
      <c r="D38" s="68"/>
      <c r="E38" s="68"/>
      <c r="F38" s="619"/>
      <c r="G38" s="246">
        <v>47377</v>
      </c>
      <c r="H38" s="246">
        <v>42504</v>
      </c>
      <c r="I38" s="246">
        <v>43888</v>
      </c>
      <c r="J38" s="246">
        <v>49735</v>
      </c>
      <c r="K38" s="246">
        <v>49146</v>
      </c>
      <c r="L38" s="246">
        <v>38420</v>
      </c>
      <c r="M38" s="246">
        <v>39165</v>
      </c>
      <c r="N38" s="246">
        <v>29539</v>
      </c>
      <c r="O38" s="246">
        <v>29118</v>
      </c>
      <c r="P38" s="246">
        <v>32908</v>
      </c>
      <c r="Q38" s="246">
        <v>34482</v>
      </c>
      <c r="R38" s="221">
        <f t="shared" si="17"/>
        <v>-2.8468674652606829E-2</v>
      </c>
    </row>
    <row r="39" spans="2:20">
      <c r="B39" t="s">
        <v>281</v>
      </c>
      <c r="G39" s="247">
        <f t="shared" ref="G39:Q39" si="20">+G40-G41</f>
        <v>10771</v>
      </c>
      <c r="H39" s="247">
        <f t="shared" si="20"/>
        <v>10727</v>
      </c>
      <c r="I39" s="247">
        <f t="shared" si="20"/>
        <v>10830</v>
      </c>
      <c r="J39" s="247">
        <f t="shared" si="20"/>
        <v>11116</v>
      </c>
      <c r="K39" s="247">
        <f t="shared" si="20"/>
        <v>10792</v>
      </c>
      <c r="L39" s="247">
        <f t="shared" si="20"/>
        <v>10010</v>
      </c>
      <c r="M39" s="247">
        <f t="shared" si="20"/>
        <v>10040</v>
      </c>
      <c r="N39" s="247">
        <f t="shared" si="20"/>
        <v>5695</v>
      </c>
      <c r="O39" s="247">
        <f t="shared" si="20"/>
        <v>5334</v>
      </c>
      <c r="P39" s="247">
        <f t="shared" si="20"/>
        <v>5501</v>
      </c>
      <c r="Q39" s="247">
        <f t="shared" si="20"/>
        <v>5732</v>
      </c>
      <c r="R39" s="56">
        <f t="shared" si="17"/>
        <v>-5.5731572877369961E-2</v>
      </c>
    </row>
    <row r="40" spans="2:20" ht="14.45">
      <c r="B40" s="248" t="s">
        <v>600</v>
      </c>
      <c r="C40" s="81"/>
      <c r="D40" s="81"/>
      <c r="E40" s="81"/>
      <c r="G40" s="249">
        <v>39034</v>
      </c>
      <c r="H40" s="249">
        <v>29342</v>
      </c>
      <c r="I40" s="249">
        <v>30133</v>
      </c>
      <c r="J40" s="249">
        <v>32331</v>
      </c>
      <c r="K40" s="249">
        <v>32460</v>
      </c>
      <c r="L40" s="249">
        <v>32028</v>
      </c>
      <c r="M40" s="249">
        <v>33176</v>
      </c>
      <c r="N40" s="249">
        <v>20085</v>
      </c>
      <c r="O40" s="249">
        <v>18695</v>
      </c>
      <c r="P40" s="249">
        <v>18122</v>
      </c>
      <c r="Q40" s="249">
        <v>17691</v>
      </c>
      <c r="R40" s="56">
        <f t="shared" si="17"/>
        <v>-6.9416402969322721E-2</v>
      </c>
    </row>
    <row r="41" spans="2:20" ht="14.45">
      <c r="B41" s="248" t="s">
        <v>484</v>
      </c>
      <c r="C41" s="81"/>
      <c r="D41" s="81"/>
      <c r="E41" s="81"/>
      <c r="G41" s="249">
        <v>28263</v>
      </c>
      <c r="H41" s="249">
        <v>18615</v>
      </c>
      <c r="I41" s="249">
        <v>19303</v>
      </c>
      <c r="J41" s="249">
        <v>21215</v>
      </c>
      <c r="K41" s="249">
        <v>21668</v>
      </c>
      <c r="L41" s="249">
        <v>22018</v>
      </c>
      <c r="M41" s="249">
        <v>23136</v>
      </c>
      <c r="N41" s="249">
        <v>14390</v>
      </c>
      <c r="O41" s="249">
        <v>13361</v>
      </c>
      <c r="P41" s="249">
        <v>12621</v>
      </c>
      <c r="Q41" s="249">
        <v>11959</v>
      </c>
      <c r="R41" s="56">
        <f t="shared" si="17"/>
        <v>-7.5209567766835739E-2</v>
      </c>
    </row>
    <row r="42" spans="2:20">
      <c r="B42" t="s">
        <v>483</v>
      </c>
      <c r="G42" s="278">
        <v>0</v>
      </c>
      <c r="H42" s="278">
        <v>0</v>
      </c>
      <c r="I42" s="278">
        <v>0</v>
      </c>
      <c r="J42" s="278">
        <v>0</v>
      </c>
      <c r="K42" s="278">
        <v>0</v>
      </c>
      <c r="L42" s="278">
        <v>4996</v>
      </c>
      <c r="M42" s="278">
        <v>4686</v>
      </c>
      <c r="N42" s="278">
        <v>3222</v>
      </c>
      <c r="O42" s="278">
        <v>2878</v>
      </c>
      <c r="P42" s="278">
        <v>3220</v>
      </c>
      <c r="Q42" s="278">
        <v>3197</v>
      </c>
      <c r="R42" s="56" t="str">
        <f t="shared" si="17"/>
        <v/>
      </c>
    </row>
    <row r="43" spans="2:20">
      <c r="B43" t="s">
        <v>601</v>
      </c>
      <c r="G43" s="213">
        <f>G44+G45</f>
        <v>33660</v>
      </c>
      <c r="H43" s="213">
        <f t="shared" ref="H43:Q43" si="21">H44+H45</f>
        <v>35508</v>
      </c>
      <c r="I43" s="213">
        <f t="shared" si="21"/>
        <v>40887</v>
      </c>
      <c r="J43" s="213">
        <f t="shared" si="21"/>
        <v>40530</v>
      </c>
      <c r="K43" s="213">
        <f>K44+K45</f>
        <v>39352</v>
      </c>
      <c r="L43" s="213">
        <f t="shared" si="21"/>
        <v>73457</v>
      </c>
      <c r="M43" s="213">
        <f t="shared" si="21"/>
        <v>73413</v>
      </c>
      <c r="N43" s="213">
        <f t="shared" si="21"/>
        <v>68154</v>
      </c>
      <c r="O43" s="213">
        <f t="shared" si="21"/>
        <v>67133</v>
      </c>
      <c r="P43" s="213">
        <f t="shared" si="21"/>
        <v>71214</v>
      </c>
      <c r="Q43" s="213">
        <f t="shared" si="21"/>
        <v>71366</v>
      </c>
      <c r="R43" s="56">
        <f t="shared" si="17"/>
        <v>7.0707040818745348E-2</v>
      </c>
    </row>
    <row r="44" spans="2:20" ht="14.45">
      <c r="B44" s="248" t="s">
        <v>602</v>
      </c>
      <c r="C44" s="81"/>
      <c r="D44" s="81"/>
      <c r="E44" s="81"/>
      <c r="G44" s="249">
        <v>30556</v>
      </c>
      <c r="H44" s="249">
        <v>32021</v>
      </c>
      <c r="I44" s="249">
        <v>36199</v>
      </c>
      <c r="J44" s="249">
        <v>36788</v>
      </c>
      <c r="K44" s="249">
        <v>36265</v>
      </c>
      <c r="L44" s="249">
        <v>58222</v>
      </c>
      <c r="M44" s="249">
        <v>59617</v>
      </c>
      <c r="N44" s="249">
        <v>55643</v>
      </c>
      <c r="O44" s="249">
        <v>55949</v>
      </c>
      <c r="P44" s="249">
        <v>60178</v>
      </c>
      <c r="Q44" s="249">
        <v>60706</v>
      </c>
      <c r="R44" s="56">
        <f t="shared" si="17"/>
        <v>6.4395898483141423E-2</v>
      </c>
    </row>
    <row r="45" spans="2:20" ht="14.45">
      <c r="B45" s="248" t="s">
        <v>603</v>
      </c>
      <c r="C45" s="81"/>
      <c r="D45" s="81"/>
      <c r="E45" s="81"/>
      <c r="G45" s="250">
        <v>3104</v>
      </c>
      <c r="H45" s="250">
        <v>3487</v>
      </c>
      <c r="I45" s="250">
        <v>4688</v>
      </c>
      <c r="J45" s="250">
        <v>3742</v>
      </c>
      <c r="K45" s="250">
        <v>3087</v>
      </c>
      <c r="L45" s="250">
        <v>15235</v>
      </c>
      <c r="M45" s="250">
        <v>13796</v>
      </c>
      <c r="N45" s="250">
        <v>12511</v>
      </c>
      <c r="O45" s="250">
        <v>11184</v>
      </c>
      <c r="P45" s="250">
        <v>11036</v>
      </c>
      <c r="Q45" s="250">
        <v>10660</v>
      </c>
      <c r="R45" s="56"/>
    </row>
    <row r="46" spans="2:20">
      <c r="B46" s="35" t="s">
        <v>604</v>
      </c>
      <c r="C46" s="35"/>
      <c r="D46" s="35"/>
      <c r="E46" s="35"/>
      <c r="G46" s="219">
        <f>+G47-G39-G42-G43</f>
        <v>25464</v>
      </c>
      <c r="H46" s="219">
        <f>+H47-H39-H42-H43</f>
        <v>21756</v>
      </c>
      <c r="I46" s="219">
        <f t="shared" ref="I46:O46" si="22">+I47-I39-I42-I43</f>
        <v>21864</v>
      </c>
      <c r="J46" s="219">
        <f t="shared" si="22"/>
        <v>23974</v>
      </c>
      <c r="K46" s="219">
        <f>+K47-K39-K42-K43</f>
        <v>24092</v>
      </c>
      <c r="L46" s="219">
        <f t="shared" si="22"/>
        <v>25305</v>
      </c>
      <c r="M46" s="219">
        <f t="shared" si="22"/>
        <v>28668</v>
      </c>
      <c r="N46" s="219">
        <f t="shared" si="22"/>
        <v>25392</v>
      </c>
      <c r="O46" s="219">
        <f t="shared" si="22"/>
        <v>22781</v>
      </c>
      <c r="P46" s="219">
        <f>+P47-P39-P42-P43</f>
        <v>22396</v>
      </c>
      <c r="Q46" s="219">
        <f>+Q47-Q39-Q42-Q43</f>
        <v>22398</v>
      </c>
      <c r="R46" s="220">
        <f t="shared" ref="R46:R61" si="23">IFERROR((Q46/G46)^(1/COUNT($G$4:$Q$4))-1,"")</f>
        <v>-1.1595342583063384E-2</v>
      </c>
    </row>
    <row r="47" spans="2:20" s="1" customFormat="1" ht="14.45" thickBot="1">
      <c r="B47" s="1" t="s">
        <v>605</v>
      </c>
      <c r="F47" s="618"/>
      <c r="G47" s="223">
        <f>G144</f>
        <v>69895</v>
      </c>
      <c r="H47" s="223">
        <f>H144</f>
        <v>67991</v>
      </c>
      <c r="I47" s="223">
        <f t="shared" ref="I47:Q47" si="24">I144</f>
        <v>73581</v>
      </c>
      <c r="J47" s="223">
        <f t="shared" si="24"/>
        <v>75620</v>
      </c>
      <c r="K47" s="223">
        <f t="shared" si="24"/>
        <v>74236</v>
      </c>
      <c r="L47" s="223">
        <f t="shared" si="24"/>
        <v>113768</v>
      </c>
      <c r="M47" s="223">
        <f t="shared" si="24"/>
        <v>116807</v>
      </c>
      <c r="N47" s="223">
        <f t="shared" si="24"/>
        <v>102463</v>
      </c>
      <c r="O47" s="223">
        <f t="shared" si="24"/>
        <v>98126</v>
      </c>
      <c r="P47" s="223">
        <f t="shared" si="24"/>
        <v>102331</v>
      </c>
      <c r="Q47" s="223">
        <f t="shared" si="24"/>
        <v>102693</v>
      </c>
      <c r="R47" s="224">
        <f>IFERROR((Q47/G47)^(1/COUNT($G$4:$Q$4))-1,"")</f>
        <v>3.5596157098162218E-2</v>
      </c>
    </row>
    <row r="48" spans="2:20" s="1" customFormat="1" ht="14.45" thickBot="1">
      <c r="B48" s="225" t="s">
        <v>282</v>
      </c>
      <c r="C48" s="225"/>
      <c r="D48" s="225"/>
      <c r="E48" s="225"/>
      <c r="F48" s="620"/>
      <c r="G48" s="226">
        <f>SUM(G47,G38)</f>
        <v>117272</v>
      </c>
      <c r="H48" s="226">
        <f>SUM(H47,H38)</f>
        <v>110495</v>
      </c>
      <c r="I48" s="226">
        <f t="shared" ref="I48:O48" si="25">SUM(I47,I38)</f>
        <v>117469</v>
      </c>
      <c r="J48" s="226">
        <f t="shared" si="25"/>
        <v>125355</v>
      </c>
      <c r="K48" s="226">
        <f t="shared" si="25"/>
        <v>123382</v>
      </c>
      <c r="L48" s="226">
        <f t="shared" si="25"/>
        <v>152188</v>
      </c>
      <c r="M48" s="226">
        <f t="shared" si="25"/>
        <v>155972</v>
      </c>
      <c r="N48" s="226">
        <f t="shared" si="25"/>
        <v>132002</v>
      </c>
      <c r="O48" s="226">
        <f t="shared" si="25"/>
        <v>127244</v>
      </c>
      <c r="P48" s="226">
        <f>SUM(P47,P38)</f>
        <v>135239</v>
      </c>
      <c r="Q48" s="226">
        <f>SUM(Q47,Q38)</f>
        <v>137175</v>
      </c>
      <c r="R48" s="227">
        <f t="shared" si="23"/>
        <v>1.4353072013430834E-2</v>
      </c>
    </row>
    <row r="49" spans="1:18">
      <c r="B49" t="s">
        <v>283</v>
      </c>
      <c r="G49" s="213">
        <v>6864</v>
      </c>
      <c r="H49" s="213">
        <v>6028</v>
      </c>
      <c r="I49" s="213">
        <v>6209</v>
      </c>
      <c r="J49" s="213">
        <v>6451</v>
      </c>
      <c r="K49" s="213">
        <v>6558</v>
      </c>
      <c r="L49" s="213">
        <v>4896</v>
      </c>
      <c r="M49" s="213">
        <v>4908</v>
      </c>
      <c r="N49" s="213">
        <v>3955</v>
      </c>
      <c r="O49" s="213">
        <v>4051</v>
      </c>
      <c r="P49" s="213">
        <v>4132</v>
      </c>
      <c r="Q49" s="213">
        <v>4032</v>
      </c>
      <c r="R49" s="56">
        <f t="shared" si="23"/>
        <v>-4.721515468882409E-2</v>
      </c>
    </row>
    <row r="50" spans="1:18">
      <c r="B50" t="s">
        <v>606</v>
      </c>
      <c r="G50" s="222">
        <f>+SUM(G51:G52)</f>
        <v>5731</v>
      </c>
      <c r="H50" s="222">
        <f t="shared" ref="H50:Q50" si="26">+SUM(H51:H52)</f>
        <v>6461</v>
      </c>
      <c r="I50" s="222">
        <f t="shared" si="26"/>
        <v>7513</v>
      </c>
      <c r="J50" s="222">
        <f t="shared" si="26"/>
        <v>6987</v>
      </c>
      <c r="K50" s="222">
        <f t="shared" si="26"/>
        <v>10207</v>
      </c>
      <c r="L50" s="222">
        <f t="shared" si="26"/>
        <v>10177</v>
      </c>
      <c r="M50" s="222">
        <f t="shared" si="26"/>
        <v>8540</v>
      </c>
      <c r="N50" s="222">
        <f t="shared" si="26"/>
        <v>7761</v>
      </c>
      <c r="O50" s="222">
        <f t="shared" si="26"/>
        <v>5634</v>
      </c>
      <c r="P50" s="222">
        <f t="shared" si="26"/>
        <v>7246</v>
      </c>
      <c r="Q50" s="222">
        <f t="shared" si="26"/>
        <v>5857</v>
      </c>
      <c r="R50" s="56">
        <f t="shared" si="23"/>
        <v>1.9790003267050604E-3</v>
      </c>
    </row>
    <row r="51" spans="1:18" ht="14.45">
      <c r="B51" s="248" t="s">
        <v>607</v>
      </c>
      <c r="G51" s="249">
        <v>5731</v>
      </c>
      <c r="H51" s="249">
        <v>6461</v>
      </c>
      <c r="I51" s="249">
        <v>7513</v>
      </c>
      <c r="J51" s="249">
        <v>6987</v>
      </c>
      <c r="K51" s="249">
        <v>10207</v>
      </c>
      <c r="L51" s="249">
        <v>8797</v>
      </c>
      <c r="M51" s="249">
        <v>7183</v>
      </c>
      <c r="N51" s="249">
        <v>6787</v>
      </c>
      <c r="O51" s="249">
        <v>4760</v>
      </c>
      <c r="P51" s="249">
        <v>6426</v>
      </c>
      <c r="Q51" s="249">
        <v>5089</v>
      </c>
      <c r="R51" s="56">
        <f t="shared" si="23"/>
        <v>-1.0742670716749503E-2</v>
      </c>
    </row>
    <row r="52" spans="1:18" ht="14.45">
      <c r="B52" s="248" t="s">
        <v>608</v>
      </c>
      <c r="G52" s="249">
        <v>0</v>
      </c>
      <c r="H52" s="249">
        <v>0</v>
      </c>
      <c r="I52" s="249">
        <v>0</v>
      </c>
      <c r="J52" s="249">
        <v>0</v>
      </c>
      <c r="K52" s="249">
        <v>0</v>
      </c>
      <c r="L52" s="249">
        <v>1380</v>
      </c>
      <c r="M52" s="249">
        <v>1357</v>
      </c>
      <c r="N52" s="249">
        <v>974</v>
      </c>
      <c r="O52" s="249">
        <v>874</v>
      </c>
      <c r="P52" s="249">
        <v>820</v>
      </c>
      <c r="Q52" s="249">
        <v>768</v>
      </c>
      <c r="R52" s="56" t="str">
        <f t="shared" si="23"/>
        <v/>
      </c>
    </row>
    <row r="53" spans="1:18">
      <c r="B53" s="35" t="s">
        <v>490</v>
      </c>
      <c r="C53" s="35"/>
      <c r="D53" s="35"/>
      <c r="E53" s="35"/>
      <c r="G53" s="219">
        <f t="shared" ref="G53:Q53" si="27">+G54-G49-G50</f>
        <v>26986</v>
      </c>
      <c r="H53" s="219">
        <f t="shared" si="27"/>
        <v>21780</v>
      </c>
      <c r="I53" s="219">
        <f t="shared" si="27"/>
        <v>22553</v>
      </c>
      <c r="J53" s="219">
        <f t="shared" si="27"/>
        <v>23925</v>
      </c>
      <c r="K53" s="219">
        <f t="shared" si="27"/>
        <v>21462</v>
      </c>
      <c r="L53" s="219">
        <f t="shared" si="27"/>
        <v>22628</v>
      </c>
      <c r="M53" s="219">
        <f t="shared" si="27"/>
        <v>26421</v>
      </c>
      <c r="N53" s="219">
        <f t="shared" si="27"/>
        <v>21903</v>
      </c>
      <c r="O53" s="219">
        <f t="shared" si="27"/>
        <v>21820</v>
      </c>
      <c r="P53" s="219">
        <f t="shared" si="27"/>
        <v>22744</v>
      </c>
      <c r="Q53" s="219">
        <f t="shared" si="27"/>
        <v>23253</v>
      </c>
      <c r="R53" s="220">
        <f t="shared" si="23"/>
        <v>-1.3443729181971009E-2</v>
      </c>
    </row>
    <row r="54" spans="1:18">
      <c r="B54" s="35" t="s">
        <v>284</v>
      </c>
      <c r="C54" s="35"/>
      <c r="D54" s="35"/>
      <c r="E54" s="35"/>
      <c r="F54" s="619"/>
      <c r="G54" s="213">
        <v>39581</v>
      </c>
      <c r="H54" s="213">
        <v>34269</v>
      </c>
      <c r="I54" s="213">
        <v>36275</v>
      </c>
      <c r="J54" s="213">
        <v>37363</v>
      </c>
      <c r="K54" s="213">
        <v>38227</v>
      </c>
      <c r="L54" s="213">
        <v>37701</v>
      </c>
      <c r="M54" s="213">
        <v>39869</v>
      </c>
      <c r="N54" s="213">
        <v>33619</v>
      </c>
      <c r="O54" s="213">
        <v>31505</v>
      </c>
      <c r="P54" s="213">
        <v>34122</v>
      </c>
      <c r="Q54" s="213">
        <v>33142</v>
      </c>
      <c r="R54" s="220">
        <f t="shared" si="23"/>
        <v>-1.6011149882752762E-2</v>
      </c>
    </row>
    <row r="55" spans="1:18">
      <c r="B55" t="s">
        <v>609</v>
      </c>
      <c r="G55" s="247">
        <f>+SUM(G56:G57)</f>
        <v>34991</v>
      </c>
      <c r="H55" s="247">
        <f t="shared" ref="H55:Q55" si="28">+SUM(H56:H57)</f>
        <v>33428</v>
      </c>
      <c r="I55" s="247">
        <f t="shared" si="28"/>
        <v>34655</v>
      </c>
      <c r="J55" s="247">
        <f t="shared" si="28"/>
        <v>39837</v>
      </c>
      <c r="K55" s="247">
        <f t="shared" si="28"/>
        <v>35605</v>
      </c>
      <c r="L55" s="247">
        <f t="shared" si="28"/>
        <v>58234</v>
      </c>
      <c r="M55" s="247">
        <f t="shared" si="28"/>
        <v>57676</v>
      </c>
      <c r="N55" s="247">
        <f t="shared" si="28"/>
        <v>47379</v>
      </c>
      <c r="O55" s="247">
        <f t="shared" si="28"/>
        <v>48379</v>
      </c>
      <c r="P55" s="247">
        <f t="shared" si="28"/>
        <v>52689</v>
      </c>
      <c r="Q55" s="247">
        <f t="shared" si="28"/>
        <v>52539</v>
      </c>
      <c r="R55" s="56">
        <f t="shared" si="23"/>
        <v>3.7642539752754667E-2</v>
      </c>
    </row>
    <row r="56" spans="1:18" ht="14.45">
      <c r="B56" s="248" t="s">
        <v>610</v>
      </c>
      <c r="G56" s="249">
        <v>34991</v>
      </c>
      <c r="H56" s="249">
        <v>33428</v>
      </c>
      <c r="I56" s="249">
        <v>34655</v>
      </c>
      <c r="J56" s="249">
        <v>39837</v>
      </c>
      <c r="K56" s="249">
        <v>35605</v>
      </c>
      <c r="L56" s="249">
        <v>54355</v>
      </c>
      <c r="M56" s="249">
        <v>54102</v>
      </c>
      <c r="N56" s="249">
        <v>44917</v>
      </c>
      <c r="O56" s="249">
        <v>46189</v>
      </c>
      <c r="P56" s="249">
        <v>50121</v>
      </c>
      <c r="Q56" s="249">
        <v>49884</v>
      </c>
      <c r="R56" s="56">
        <f t="shared" si="23"/>
        <v>3.276246858347065E-2</v>
      </c>
    </row>
    <row r="57" spans="1:18" ht="14.45">
      <c r="B57" s="248" t="s">
        <v>611</v>
      </c>
      <c r="G57" s="249">
        <v>0</v>
      </c>
      <c r="H57" s="249">
        <v>0</v>
      </c>
      <c r="I57" s="249">
        <v>0</v>
      </c>
      <c r="J57" s="249">
        <v>0</v>
      </c>
      <c r="K57" s="249">
        <v>0</v>
      </c>
      <c r="L57" s="249">
        <v>3879</v>
      </c>
      <c r="M57" s="249">
        <v>3574</v>
      </c>
      <c r="N57" s="249">
        <v>2462</v>
      </c>
      <c r="O57" s="249">
        <v>2190</v>
      </c>
      <c r="P57" s="249">
        <v>2568</v>
      </c>
      <c r="Q57" s="249">
        <v>2655</v>
      </c>
      <c r="R57" s="56" t="str">
        <f t="shared" si="23"/>
        <v/>
      </c>
    </row>
    <row r="58" spans="1:18">
      <c r="B58" s="35" t="s">
        <v>612</v>
      </c>
      <c r="C58" s="35"/>
      <c r="D58" s="35"/>
      <c r="E58" s="35"/>
      <c r="G58" s="228">
        <f>+G59-G55</f>
        <v>30685</v>
      </c>
      <c r="H58" s="228">
        <f t="shared" ref="H58:Q58" si="29">+H59-H55</f>
        <v>28374</v>
      </c>
      <c r="I58" s="228">
        <f t="shared" si="29"/>
        <v>28147</v>
      </c>
      <c r="J58" s="228">
        <f t="shared" si="29"/>
        <v>30431</v>
      </c>
      <c r="K58" s="228">
        <f t="shared" si="29"/>
        <v>24193</v>
      </c>
      <c r="L58" s="228">
        <f t="shared" si="29"/>
        <v>35519</v>
      </c>
      <c r="M58" s="228">
        <f t="shared" si="29"/>
        <v>37446</v>
      </c>
      <c r="N58" s="228">
        <f t="shared" si="29"/>
        <v>32008</v>
      </c>
      <c r="O58" s="228">
        <f t="shared" si="29"/>
        <v>25338</v>
      </c>
      <c r="P58" s="228">
        <f t="shared" si="29"/>
        <v>25816</v>
      </c>
      <c r="Q58" s="228">
        <f t="shared" si="29"/>
        <v>24102</v>
      </c>
      <c r="R58" s="220">
        <f t="shared" si="23"/>
        <v>-2.1713440729530409E-2</v>
      </c>
    </row>
    <row r="59" spans="1:18" s="1" customFormat="1" ht="14.45" thickBot="1">
      <c r="B59" s="1" t="s">
        <v>613</v>
      </c>
      <c r="F59" s="618"/>
      <c r="G59" s="213">
        <f>G150</f>
        <v>65676</v>
      </c>
      <c r="H59" s="213">
        <f t="shared" ref="H59:Q59" si="30">H150</f>
        <v>61802</v>
      </c>
      <c r="I59" s="213">
        <f t="shared" si="30"/>
        <v>62802</v>
      </c>
      <c r="J59" s="213">
        <f t="shared" si="30"/>
        <v>70268</v>
      </c>
      <c r="K59" s="213">
        <f t="shared" si="30"/>
        <v>59798</v>
      </c>
      <c r="L59" s="213">
        <f t="shared" si="30"/>
        <v>93753</v>
      </c>
      <c r="M59" s="213">
        <f t="shared" si="30"/>
        <v>95122</v>
      </c>
      <c r="N59" s="213">
        <f t="shared" si="30"/>
        <v>79387</v>
      </c>
      <c r="O59" s="213">
        <f t="shared" si="30"/>
        <v>73717</v>
      </c>
      <c r="P59" s="213">
        <f t="shared" si="30"/>
        <v>78505</v>
      </c>
      <c r="Q59" s="213">
        <f t="shared" si="30"/>
        <v>76641</v>
      </c>
      <c r="R59" s="59">
        <f t="shared" si="23"/>
        <v>1.4135208655912779E-2</v>
      </c>
    </row>
    <row r="60" spans="1:18" s="1" customFormat="1" ht="14.45" thickBot="1">
      <c r="B60" s="225" t="s">
        <v>436</v>
      </c>
      <c r="C60" s="225"/>
      <c r="D60" s="225"/>
      <c r="E60" s="225"/>
      <c r="F60" s="620"/>
      <c r="G60" s="226">
        <f t="shared" ref="G60:Q60" si="31">SUM(G59,G54)</f>
        <v>105257</v>
      </c>
      <c r="H60" s="226">
        <f t="shared" si="31"/>
        <v>96071</v>
      </c>
      <c r="I60" s="226">
        <f t="shared" si="31"/>
        <v>99077</v>
      </c>
      <c r="J60" s="226">
        <f t="shared" si="31"/>
        <v>107631</v>
      </c>
      <c r="K60" s="226">
        <f t="shared" si="31"/>
        <v>98025</v>
      </c>
      <c r="L60" s="226">
        <f t="shared" si="31"/>
        <v>131454</v>
      </c>
      <c r="M60" s="226">
        <f t="shared" si="31"/>
        <v>134991</v>
      </c>
      <c r="N60" s="226">
        <f t="shared" si="31"/>
        <v>113006</v>
      </c>
      <c r="O60" s="226">
        <f t="shared" si="31"/>
        <v>105222</v>
      </c>
      <c r="P60" s="226">
        <f t="shared" si="31"/>
        <v>112627</v>
      </c>
      <c r="Q60" s="226">
        <f t="shared" si="31"/>
        <v>109783</v>
      </c>
      <c r="R60" s="227">
        <f t="shared" si="23"/>
        <v>3.8346710148848828E-3</v>
      </c>
    </row>
    <row r="61" spans="1:18" s="1" customFormat="1">
      <c r="B61" s="1" t="s">
        <v>287</v>
      </c>
      <c r="F61"/>
      <c r="G61" s="215">
        <f t="shared" ref="G61:Q61" si="32">G48-G60</f>
        <v>12015</v>
      </c>
      <c r="H61" s="215">
        <f t="shared" si="32"/>
        <v>14424</v>
      </c>
      <c r="I61" s="215">
        <f t="shared" si="32"/>
        <v>18392</v>
      </c>
      <c r="J61" s="215">
        <f t="shared" si="32"/>
        <v>17724</v>
      </c>
      <c r="K61" s="215">
        <f t="shared" si="32"/>
        <v>25357</v>
      </c>
      <c r="L61" s="215">
        <f t="shared" si="32"/>
        <v>20734</v>
      </c>
      <c r="M61" s="215">
        <f t="shared" si="32"/>
        <v>20981</v>
      </c>
      <c r="N61" s="215">
        <f t="shared" si="32"/>
        <v>18996</v>
      </c>
      <c r="O61" s="215">
        <f t="shared" si="32"/>
        <v>22022</v>
      </c>
      <c r="P61" s="215">
        <f t="shared" si="32"/>
        <v>22612</v>
      </c>
      <c r="Q61" s="215">
        <f t="shared" si="32"/>
        <v>27392</v>
      </c>
      <c r="R61" s="59">
        <f t="shared" si="23"/>
        <v>7.7795486876862885E-2</v>
      </c>
    </row>
    <row r="62" spans="1:18" ht="14.45">
      <c r="B62" t="s">
        <v>614</v>
      </c>
      <c r="G62" s="249">
        <v>146</v>
      </c>
      <c r="H62" s="249">
        <v>162</v>
      </c>
      <c r="I62" s="249">
        <v>146</v>
      </c>
      <c r="J62" s="249">
        <v>131</v>
      </c>
      <c r="K62" s="249">
        <v>134</v>
      </c>
      <c r="L62" s="249">
        <v>144</v>
      </c>
      <c r="M62" s="249">
        <v>129</v>
      </c>
      <c r="N62" s="249">
        <v>95</v>
      </c>
      <c r="O62" s="249">
        <v>77</v>
      </c>
      <c r="P62" s="249">
        <v>80</v>
      </c>
      <c r="Q62" s="249">
        <v>86</v>
      </c>
      <c r="R62" s="56"/>
    </row>
    <row r="63" spans="1:18" ht="3.95" customHeight="1"/>
    <row r="64" spans="1:18" ht="15.6">
      <c r="A64" t="s">
        <v>417</v>
      </c>
      <c r="B64" s="45" t="s">
        <v>240</v>
      </c>
      <c r="C64" s="49"/>
      <c r="D64" s="49"/>
      <c r="E64" s="49"/>
      <c r="F64" s="49"/>
      <c r="G64" s="211">
        <v>2014</v>
      </c>
      <c r="H64" s="211">
        <f>+G64+1</f>
        <v>2015</v>
      </c>
      <c r="I64" s="211">
        <f t="shared" ref="I64:M64" si="33">+H64+1</f>
        <v>2016</v>
      </c>
      <c r="J64" s="211">
        <f t="shared" si="33"/>
        <v>2017</v>
      </c>
      <c r="K64" s="211">
        <f t="shared" si="33"/>
        <v>2018</v>
      </c>
      <c r="L64" s="211">
        <f t="shared" si="33"/>
        <v>2019</v>
      </c>
      <c r="M64" s="211">
        <f t="shared" si="33"/>
        <v>2020</v>
      </c>
      <c r="N64" s="211">
        <f>+M64+1</f>
        <v>2021</v>
      </c>
      <c r="O64" s="211">
        <f>+N64+1</f>
        <v>2022</v>
      </c>
      <c r="P64" s="211">
        <f t="shared" ref="P64" si="34">+O64+1</f>
        <v>2023</v>
      </c>
      <c r="Q64" s="211">
        <f>+P64+1</f>
        <v>2024</v>
      </c>
      <c r="R64" s="51" t="str">
        <f>"CAGR "&amp;$G$4&amp;" - "&amp;$Q$4</f>
        <v>CAGR 2014 - 2024</v>
      </c>
    </row>
    <row r="65" spans="2:18" ht="3.95" customHeight="1">
      <c r="B65" s="217"/>
      <c r="C65" s="217"/>
      <c r="D65" s="217"/>
      <c r="E65" s="217"/>
      <c r="F65" s="217"/>
      <c r="G65" s="218"/>
      <c r="H65" s="218"/>
      <c r="I65" s="218"/>
      <c r="J65" s="218"/>
      <c r="K65" s="218"/>
      <c r="L65" s="218"/>
      <c r="M65" s="218"/>
      <c r="N65" s="218"/>
      <c r="O65" s="218"/>
      <c r="P65" s="218"/>
      <c r="Q65" s="218"/>
      <c r="R65" s="53"/>
    </row>
    <row r="66" spans="2:18">
      <c r="B66" t="s">
        <v>272</v>
      </c>
      <c r="G66" s="229">
        <f>G24</f>
        <v>15752</v>
      </c>
      <c r="H66" s="229">
        <f t="shared" ref="H66:Q66" si="35">H24</f>
        <v>13364</v>
      </c>
      <c r="I66" s="229">
        <f t="shared" si="35"/>
        <v>11433</v>
      </c>
      <c r="J66" s="229">
        <f t="shared" si="35"/>
        <v>5757</v>
      </c>
      <c r="K66" s="229">
        <f t="shared" si="35"/>
        <v>8723</v>
      </c>
      <c r="L66" s="229">
        <f t="shared" si="35"/>
        <v>10098</v>
      </c>
      <c r="M66" s="229">
        <f t="shared" si="35"/>
        <v>3873</v>
      </c>
      <c r="N66" s="229">
        <f t="shared" si="35"/>
        <v>4712</v>
      </c>
      <c r="O66" s="229">
        <f t="shared" si="35"/>
        <v>1782</v>
      </c>
      <c r="P66" s="229">
        <f t="shared" si="35"/>
        <v>7513</v>
      </c>
      <c r="Q66" s="229">
        <f t="shared" si="35"/>
        <v>6016</v>
      </c>
      <c r="R66" s="56">
        <f>IFERROR((Q66/G66)^(1/COUNT($G$4:$Q$4))-1,"")</f>
        <v>-8.3784856077077086E-2</v>
      </c>
    </row>
    <row r="67" spans="2:18">
      <c r="B67" t="s">
        <v>615</v>
      </c>
      <c r="G67" s="222">
        <f>+G13</f>
        <v>4492</v>
      </c>
      <c r="H67" s="222">
        <f t="shared" ref="H67:Q67" si="36">+H13</f>
        <v>3855</v>
      </c>
      <c r="I67" s="222">
        <f t="shared" si="36"/>
        <v>4381</v>
      </c>
      <c r="J67" s="222">
        <f t="shared" si="36"/>
        <v>4541</v>
      </c>
      <c r="K67" s="222">
        <f t="shared" si="36"/>
        <v>4480</v>
      </c>
      <c r="L67" s="222">
        <f t="shared" si="36"/>
        <v>6059</v>
      </c>
      <c r="M67" s="222">
        <f t="shared" si="36"/>
        <v>6695</v>
      </c>
      <c r="N67" s="222">
        <f t="shared" si="36"/>
        <v>6417</v>
      </c>
      <c r="O67" s="222">
        <f t="shared" si="36"/>
        <v>4802</v>
      </c>
      <c r="P67" s="222">
        <f t="shared" si="36"/>
        <v>4396</v>
      </c>
      <c r="Q67" s="222">
        <f t="shared" si="36"/>
        <v>4667</v>
      </c>
      <c r="R67" s="56">
        <f>IFERROR((Q67/G67)^(1/COUNT($G$4:$Q$4))-1,"")</f>
        <v>3.4804454690435804E-3</v>
      </c>
    </row>
    <row r="68" spans="2:18">
      <c r="B68" t="s">
        <v>497</v>
      </c>
      <c r="G68" s="247">
        <f>+SUM(G69:G73)</f>
        <v>-1766</v>
      </c>
      <c r="H68" s="247">
        <f t="shared" ref="H68:Q68" si="37">+SUM(H69:H73)</f>
        <v>-2444</v>
      </c>
      <c r="I68" s="247">
        <f t="shared" si="37"/>
        <v>1357</v>
      </c>
      <c r="J68" s="247">
        <f t="shared" si="37"/>
        <v>6813</v>
      </c>
      <c r="K68" s="247">
        <f t="shared" si="37"/>
        <v>554</v>
      </c>
      <c r="L68" s="247">
        <f t="shared" si="37"/>
        <v>1225</v>
      </c>
      <c r="M68" s="247">
        <f t="shared" si="37"/>
        <v>8249</v>
      </c>
      <c r="N68" s="247">
        <f t="shared" si="37"/>
        <v>1962</v>
      </c>
      <c r="O68" s="247">
        <f t="shared" si="37"/>
        <v>202</v>
      </c>
      <c r="P68" s="247">
        <f t="shared" si="37"/>
        <v>2184</v>
      </c>
      <c r="Q68" s="247">
        <f t="shared" si="37"/>
        <v>1313</v>
      </c>
      <c r="R68" s="56">
        <f>IFERROR((Q68/G68)^(1/COUNT($G$4:$Q$4))-1,"")</f>
        <v>-1.9734141135660341</v>
      </c>
    </row>
    <row r="69" spans="2:18" ht="14.45">
      <c r="B69" s="248" t="s">
        <v>616</v>
      </c>
      <c r="G69" s="213">
        <v>1270</v>
      </c>
      <c r="H69" s="213">
        <v>812</v>
      </c>
      <c r="I69" s="213">
        <v>712</v>
      </c>
      <c r="J69" s="213">
        <v>1297</v>
      </c>
      <c r="K69" s="213">
        <v>1006</v>
      </c>
      <c r="L69" s="213">
        <v>502</v>
      </c>
      <c r="M69" s="213">
        <v>5297</v>
      </c>
      <c r="N69" s="213">
        <v>1372</v>
      </c>
      <c r="O69" s="213">
        <v>-539</v>
      </c>
      <c r="P69" s="213">
        <v>725</v>
      </c>
      <c r="Q69" s="213">
        <v>-374</v>
      </c>
      <c r="R69" s="56"/>
    </row>
    <row r="70" spans="2:18" ht="14.45">
      <c r="B70" s="248" t="s">
        <v>617</v>
      </c>
      <c r="G70" s="213">
        <v>-39</v>
      </c>
      <c r="H70" s="213">
        <v>133</v>
      </c>
      <c r="I70" s="213">
        <v>-14</v>
      </c>
      <c r="J70" s="213">
        <v>18</v>
      </c>
      <c r="K70" s="213">
        <v>-127</v>
      </c>
      <c r="L70" s="213">
        <v>67</v>
      </c>
      <c r="M70" s="213">
        <v>-209</v>
      </c>
      <c r="N70" s="213">
        <v>138</v>
      </c>
      <c r="O70" s="213">
        <v>71</v>
      </c>
      <c r="P70" s="213">
        <v>390</v>
      </c>
      <c r="Q70" s="213">
        <v>-166</v>
      </c>
      <c r="R70" s="56"/>
    </row>
    <row r="71" spans="2:18" ht="14.45">
      <c r="B71" s="248" t="s">
        <v>618</v>
      </c>
      <c r="G71" s="213">
        <v>-456</v>
      </c>
      <c r="H71" s="213">
        <v>81</v>
      </c>
      <c r="I71" s="213">
        <v>197</v>
      </c>
      <c r="J71" s="213">
        <v>47</v>
      </c>
      <c r="K71" s="213">
        <v>126</v>
      </c>
      <c r="L71" s="213">
        <v>-503</v>
      </c>
      <c r="M71" s="213">
        <v>138</v>
      </c>
      <c r="N71" s="213">
        <v>85</v>
      </c>
      <c r="O71" s="213">
        <v>213</v>
      </c>
      <c r="P71" s="213">
        <v>65</v>
      </c>
      <c r="Q71" s="213">
        <v>-13</v>
      </c>
      <c r="R71" s="56"/>
    </row>
    <row r="72" spans="2:18" ht="14.45">
      <c r="B72" s="248" t="s">
        <v>619</v>
      </c>
      <c r="G72" s="213">
        <v>-655</v>
      </c>
      <c r="H72" s="213">
        <v>-22</v>
      </c>
      <c r="I72" s="213">
        <v>54</v>
      </c>
      <c r="J72" s="213">
        <v>1014</v>
      </c>
      <c r="K72" s="213">
        <v>1368</v>
      </c>
      <c r="L72" s="213">
        <v>301</v>
      </c>
      <c r="M72" s="213">
        <v>936</v>
      </c>
      <c r="N72" s="213">
        <v>1038</v>
      </c>
      <c r="O72" s="213">
        <v>331</v>
      </c>
      <c r="P72" s="213">
        <v>-462</v>
      </c>
      <c r="Q72" s="213">
        <v>265</v>
      </c>
      <c r="R72" s="56"/>
    </row>
    <row r="73" spans="2:18" ht="14.45">
      <c r="B73" s="248" t="s">
        <v>620</v>
      </c>
      <c r="G73" s="213">
        <v>-1886</v>
      </c>
      <c r="H73" s="213">
        <v>-3448</v>
      </c>
      <c r="I73" s="213">
        <v>408</v>
      </c>
      <c r="J73" s="213">
        <v>4437</v>
      </c>
      <c r="K73" s="213">
        <v>-1819</v>
      </c>
      <c r="L73" s="213">
        <v>858</v>
      </c>
      <c r="M73" s="213">
        <v>2087</v>
      </c>
      <c r="N73" s="213">
        <v>-671</v>
      </c>
      <c r="O73" s="213">
        <v>126</v>
      </c>
      <c r="P73" s="213">
        <v>1466</v>
      </c>
      <c r="Q73" s="213">
        <v>1601</v>
      </c>
      <c r="R73" s="56"/>
    </row>
    <row r="74" spans="2:18">
      <c r="B74" t="s">
        <v>495</v>
      </c>
      <c r="G74" s="213">
        <v>512</v>
      </c>
      <c r="H74" s="213">
        <v>468</v>
      </c>
      <c r="I74" s="213">
        <v>544</v>
      </c>
      <c r="J74" s="213">
        <v>534</v>
      </c>
      <c r="K74" s="213">
        <v>510</v>
      </c>
      <c r="L74" s="213">
        <v>679</v>
      </c>
      <c r="M74" s="213">
        <v>937</v>
      </c>
      <c r="N74" s="213">
        <v>982</v>
      </c>
      <c r="O74" s="213">
        <v>987</v>
      </c>
      <c r="P74" s="213">
        <v>1133</v>
      </c>
      <c r="Q74" s="213">
        <v>1311</v>
      </c>
      <c r="R74" s="56"/>
    </row>
    <row r="75" spans="2:18">
      <c r="B75" t="s">
        <v>498</v>
      </c>
      <c r="G75" s="247">
        <f>+G76-G66-G67-G68-G74</f>
        <v>-2122</v>
      </c>
      <c r="H75" s="247">
        <f t="shared" ref="H75:Q75" si="38">+H76-H66-H67-H68-H74</f>
        <v>1765</v>
      </c>
      <c r="I75" s="247">
        <f t="shared" si="38"/>
        <v>-631</v>
      </c>
      <c r="J75" s="247">
        <f t="shared" si="38"/>
        <v>-921</v>
      </c>
      <c r="K75" s="247">
        <f t="shared" si="38"/>
        <v>980</v>
      </c>
      <c r="L75" s="247">
        <f t="shared" si="38"/>
        <v>-3291</v>
      </c>
      <c r="M75" s="247">
        <f t="shared" si="38"/>
        <v>-1557</v>
      </c>
      <c r="N75" s="247">
        <f t="shared" si="38"/>
        <v>-1277</v>
      </c>
      <c r="O75" s="247">
        <f t="shared" si="38"/>
        <v>2662</v>
      </c>
      <c r="P75" s="247">
        <f t="shared" si="38"/>
        <v>-1295</v>
      </c>
      <c r="Q75" s="247">
        <f t="shared" si="38"/>
        <v>138</v>
      </c>
      <c r="R75" s="56">
        <f>IFERROR((Q75/G75)^(1/COUNT($G$4:$Q$4))-1,"")</f>
        <v>-1.7800151972615095</v>
      </c>
    </row>
    <row r="76" spans="2:18" s="1" customFormat="1">
      <c r="B76" s="251" t="s">
        <v>289</v>
      </c>
      <c r="C76" s="251"/>
      <c r="D76" s="251"/>
      <c r="E76" s="251"/>
      <c r="F76" s="619"/>
      <c r="G76" s="252">
        <v>16868</v>
      </c>
      <c r="H76" s="252">
        <v>17008</v>
      </c>
      <c r="I76" s="252">
        <v>17084</v>
      </c>
      <c r="J76" s="252">
        <v>16724</v>
      </c>
      <c r="K76" s="252">
        <v>15247</v>
      </c>
      <c r="L76" s="252">
        <v>14770</v>
      </c>
      <c r="M76" s="252">
        <v>18197</v>
      </c>
      <c r="N76" s="252">
        <v>12796</v>
      </c>
      <c r="O76" s="252">
        <v>10435</v>
      </c>
      <c r="P76" s="252">
        <v>13931</v>
      </c>
      <c r="Q76" s="252">
        <v>13445</v>
      </c>
      <c r="R76" s="253">
        <f>IFERROR((Q76/G76)^(1/COUNT($G$4:$Q$4))-1,"")</f>
        <v>-2.0408064142486415E-2</v>
      </c>
    </row>
    <row r="77" spans="2:18">
      <c r="B77" t="s">
        <v>32</v>
      </c>
      <c r="G77" s="222">
        <f t="shared" ref="G77:Q77" si="39">+SUM(G78:G79)</f>
        <v>-3336</v>
      </c>
      <c r="H77" s="222">
        <f t="shared" si="39"/>
        <v>-3209</v>
      </c>
      <c r="I77" s="222">
        <f t="shared" si="39"/>
        <v>-3143</v>
      </c>
      <c r="J77" s="222">
        <f t="shared" si="39"/>
        <v>-2769</v>
      </c>
      <c r="K77" s="222">
        <f t="shared" si="39"/>
        <v>-3147</v>
      </c>
      <c r="L77" s="222">
        <f t="shared" si="39"/>
        <v>-1749</v>
      </c>
      <c r="M77" s="222">
        <f t="shared" si="39"/>
        <v>-2430</v>
      </c>
      <c r="N77" s="222">
        <f t="shared" si="39"/>
        <v>-1675</v>
      </c>
      <c r="O77" s="222">
        <f t="shared" si="39"/>
        <v>-1235</v>
      </c>
      <c r="P77" s="222">
        <f t="shared" si="39"/>
        <v>-924</v>
      </c>
      <c r="Q77" s="222">
        <f t="shared" si="39"/>
        <v>-491</v>
      </c>
      <c r="R77" s="56">
        <f>IFERROR((Q77/G77)^(1/COUNT($G$4:$Q$4))-1,"")</f>
        <v>-0.15986225750386773</v>
      </c>
    </row>
    <row r="78" spans="2:18" ht="14.45">
      <c r="B78" s="248" t="s">
        <v>621</v>
      </c>
      <c r="G78" s="249">
        <v>-3740</v>
      </c>
      <c r="H78" s="249">
        <v>-3579</v>
      </c>
      <c r="I78" s="249">
        <v>-3567</v>
      </c>
      <c r="J78" s="249">
        <v>-3229</v>
      </c>
      <c r="K78" s="249">
        <v>-3395</v>
      </c>
      <c r="L78" s="249">
        <v>-2286</v>
      </c>
      <c r="M78" s="249">
        <v>-2618</v>
      </c>
      <c r="N78" s="249">
        <v>-2062</v>
      </c>
      <c r="O78" s="249">
        <v>-1346</v>
      </c>
      <c r="P78" s="249">
        <v>-1245</v>
      </c>
      <c r="Q78" s="249">
        <v>-1048</v>
      </c>
      <c r="R78" s="56">
        <f t="shared" ref="R78:R85" si="40">IFERROR((Q78/G78)^(1/COUNT($G$4:$Q$4))-1,"")</f>
        <v>-0.10921726887650651</v>
      </c>
    </row>
    <row r="79" spans="2:18" ht="14.45">
      <c r="B79" s="248" t="s">
        <v>501</v>
      </c>
      <c r="G79" s="249">
        <v>404</v>
      </c>
      <c r="H79" s="249">
        <v>370</v>
      </c>
      <c r="I79" s="249">
        <v>424</v>
      </c>
      <c r="J79" s="249">
        <v>460</v>
      </c>
      <c r="K79" s="249">
        <v>248</v>
      </c>
      <c r="L79" s="249">
        <v>537</v>
      </c>
      <c r="M79" s="249">
        <v>188</v>
      </c>
      <c r="N79" s="249">
        <v>387</v>
      </c>
      <c r="O79" s="249">
        <v>111</v>
      </c>
      <c r="P79" s="249">
        <v>321</v>
      </c>
      <c r="Q79" s="249">
        <v>557</v>
      </c>
      <c r="R79" s="56">
        <f t="shared" si="40"/>
        <v>2.9625853736771068E-2</v>
      </c>
    </row>
    <row r="80" spans="2:18" ht="14.45">
      <c r="B80" s="81" t="s">
        <v>622</v>
      </c>
      <c r="G80" s="222">
        <f t="shared" ref="G80:Q80" si="41">+SUM(G81:G84)</f>
        <v>1856</v>
      </c>
      <c r="H80" s="222">
        <f t="shared" si="41"/>
        <v>-3981</v>
      </c>
      <c r="I80" s="222">
        <f t="shared" si="41"/>
        <v>-6311</v>
      </c>
      <c r="J80" s="222">
        <f t="shared" si="41"/>
        <v>-1740</v>
      </c>
      <c r="K80" s="222">
        <f t="shared" si="41"/>
        <v>-693</v>
      </c>
      <c r="L80" s="222">
        <f t="shared" si="41"/>
        <v>-31286</v>
      </c>
      <c r="M80" s="222">
        <f>+SUM(M81:M84)</f>
        <v>-461</v>
      </c>
      <c r="N80" s="222">
        <f t="shared" si="41"/>
        <v>-3593</v>
      </c>
      <c r="O80" s="222">
        <f t="shared" si="41"/>
        <v>-2341</v>
      </c>
      <c r="P80" s="222">
        <f t="shared" si="41"/>
        <v>-5582</v>
      </c>
      <c r="Q80" s="222">
        <f t="shared" si="41"/>
        <v>-3809</v>
      </c>
      <c r="R80" s="56">
        <f t="shared" si="40"/>
        <v>-2.0675416261113138</v>
      </c>
    </row>
    <row r="81" spans="2:18" ht="14.45">
      <c r="B81" s="248" t="s">
        <v>623</v>
      </c>
      <c r="G81" s="249">
        <v>-656</v>
      </c>
      <c r="H81" s="249">
        <v>-3349</v>
      </c>
      <c r="I81" s="249">
        <v>-5696</v>
      </c>
      <c r="J81" s="249">
        <v>-496</v>
      </c>
      <c r="K81" s="249">
        <v>-139</v>
      </c>
      <c r="L81" s="249">
        <v>-32630</v>
      </c>
      <c r="M81" s="249">
        <v>-336</v>
      </c>
      <c r="N81" s="249">
        <v>-3293</v>
      </c>
      <c r="O81" s="249">
        <v>-2348</v>
      </c>
      <c r="P81" s="249">
        <v>-5082</v>
      </c>
      <c r="Q81" s="249">
        <v>-3289</v>
      </c>
      <c r="R81" s="56">
        <f t="shared" si="40"/>
        <v>0.15784630007989797</v>
      </c>
    </row>
    <row r="82" spans="2:18" ht="14.45">
      <c r="B82" s="248" t="s">
        <v>624</v>
      </c>
      <c r="G82" s="249">
        <v>2357</v>
      </c>
      <c r="H82" s="249">
        <v>-401</v>
      </c>
      <c r="I82" s="249">
        <v>-454</v>
      </c>
      <c r="J82" s="249">
        <v>-205</v>
      </c>
      <c r="K82" s="249">
        <v>0</v>
      </c>
      <c r="L82" s="249">
        <v>1076</v>
      </c>
      <c r="M82" s="249">
        <v>503</v>
      </c>
      <c r="N82" s="249">
        <v>114</v>
      </c>
      <c r="O82" s="249">
        <v>1272</v>
      </c>
      <c r="P82" s="249">
        <v>-4</v>
      </c>
      <c r="Q82" s="249">
        <v>698</v>
      </c>
      <c r="R82" s="56">
        <f>IFERROR((Q82/G82)^(1/COUNT($G$4:$Q$4))-1,"")</f>
        <v>-0.10472972065148889</v>
      </c>
    </row>
    <row r="83" spans="2:18" ht="14.45">
      <c r="B83" s="248" t="s">
        <v>625</v>
      </c>
      <c r="G83" s="249">
        <v>-2338</v>
      </c>
      <c r="H83" s="249">
        <v>-3073</v>
      </c>
      <c r="I83" s="249">
        <v>-5853</v>
      </c>
      <c r="J83" s="249">
        <v>-4949</v>
      </c>
      <c r="K83" s="249">
        <v>-7041</v>
      </c>
      <c r="L83" s="249">
        <v>-3693</v>
      </c>
      <c r="M83" s="249">
        <v>-6246</v>
      </c>
      <c r="N83" s="249">
        <v>-3561</v>
      </c>
      <c r="O83" s="249">
        <v>-5930</v>
      </c>
      <c r="P83" s="249">
        <v>-11143</v>
      </c>
      <c r="Q83" s="249">
        <v>-7762</v>
      </c>
      <c r="R83" s="56">
        <f t="shared" si="40"/>
        <v>0.11525807287870249</v>
      </c>
    </row>
    <row r="84" spans="2:18" ht="14.45">
      <c r="B84" s="248" t="s">
        <v>626</v>
      </c>
      <c r="G84" s="249">
        <v>2493</v>
      </c>
      <c r="H84" s="249">
        <v>2842</v>
      </c>
      <c r="I84" s="249">
        <v>5692</v>
      </c>
      <c r="J84" s="249">
        <v>3910</v>
      </c>
      <c r="K84" s="249">
        <v>6487</v>
      </c>
      <c r="L84" s="249">
        <v>3961</v>
      </c>
      <c r="M84" s="249">
        <v>5618</v>
      </c>
      <c r="N84" s="249">
        <v>3147</v>
      </c>
      <c r="O84" s="249">
        <v>4665</v>
      </c>
      <c r="P84" s="249">
        <v>10647</v>
      </c>
      <c r="Q84" s="249">
        <v>6544</v>
      </c>
      <c r="R84" s="56">
        <f t="shared" si="40"/>
        <v>9.1696480505213174E-2</v>
      </c>
    </row>
    <row r="85" spans="2:18">
      <c r="B85" t="s">
        <v>504</v>
      </c>
      <c r="G85" s="222">
        <f>+G86-G77-G80</f>
        <v>-1521</v>
      </c>
      <c r="H85" s="222">
        <f t="shared" ref="H85:Q85" si="42">+H86-H77-H80</f>
        <v>-969</v>
      </c>
      <c r="I85" s="222">
        <f t="shared" si="42"/>
        <v>-1474</v>
      </c>
      <c r="J85" s="222">
        <f t="shared" si="42"/>
        <v>-2572</v>
      </c>
      <c r="K85" s="222">
        <f t="shared" si="42"/>
        <v>-1073</v>
      </c>
      <c r="L85" s="222">
        <f t="shared" si="42"/>
        <v>6099</v>
      </c>
      <c r="M85" s="222">
        <f t="shared" si="42"/>
        <v>-137</v>
      </c>
      <c r="N85" s="222">
        <f t="shared" si="42"/>
        <v>-707</v>
      </c>
      <c r="O85" s="222">
        <f t="shared" si="42"/>
        <v>-626</v>
      </c>
      <c r="P85" s="222">
        <f t="shared" si="42"/>
        <v>-564</v>
      </c>
      <c r="Q85" s="222">
        <f t="shared" si="42"/>
        <v>-637</v>
      </c>
      <c r="R85" s="56">
        <f t="shared" si="40"/>
        <v>-7.6073778953456572E-2</v>
      </c>
    </row>
    <row r="86" spans="2:18" s="1" customFormat="1">
      <c r="B86" s="251" t="s">
        <v>290</v>
      </c>
      <c r="C86" s="251"/>
      <c r="D86" s="251"/>
      <c r="E86" s="251"/>
      <c r="F86" s="619"/>
      <c r="G86" s="252">
        <v>-3001</v>
      </c>
      <c r="H86" s="252">
        <v>-8159</v>
      </c>
      <c r="I86" s="252">
        <v>-10928</v>
      </c>
      <c r="J86" s="252">
        <v>-7081</v>
      </c>
      <c r="K86" s="252">
        <v>-4913</v>
      </c>
      <c r="L86" s="252">
        <v>-26936</v>
      </c>
      <c r="M86" s="252">
        <v>-3028</v>
      </c>
      <c r="N86" s="252">
        <v>-5975</v>
      </c>
      <c r="O86" s="252">
        <v>-4202</v>
      </c>
      <c r="P86" s="252">
        <v>-7070</v>
      </c>
      <c r="Q86" s="252">
        <v>-4937</v>
      </c>
      <c r="R86" s="253">
        <f t="shared" ref="R86:R95" si="43">IFERROR((Q86/G86)^(1/COUNT($G$4:$Q$4))-1,"")</f>
        <v>4.6295324701171481E-2</v>
      </c>
    </row>
    <row r="87" spans="2:18">
      <c r="B87" t="s">
        <v>291</v>
      </c>
      <c r="G87" s="213">
        <f t="shared" ref="G87:H87" si="44">IF(G129&gt;0,G127+G129,G127)</f>
        <v>8180</v>
      </c>
      <c r="H87" s="213">
        <f t="shared" si="44"/>
        <v>5641</v>
      </c>
      <c r="I87" s="213">
        <f>IF(I129&gt;0,I127+I129,I127)</f>
        <v>9158</v>
      </c>
      <c r="J87" s="213">
        <f t="shared" ref="J87:Q87" si="45">IF(J129&gt;0,J127+J129,J127)</f>
        <v>10263</v>
      </c>
      <c r="K87" s="213">
        <f t="shared" si="45"/>
        <v>8232</v>
      </c>
      <c r="L87" s="213">
        <f t="shared" si="45"/>
        <v>31825</v>
      </c>
      <c r="M87" s="213">
        <f t="shared" si="45"/>
        <v>10504</v>
      </c>
      <c r="N87" s="213">
        <f t="shared" si="45"/>
        <v>522</v>
      </c>
      <c r="O87" s="213">
        <f t="shared" si="45"/>
        <v>8021</v>
      </c>
      <c r="P87" s="213">
        <f t="shared" si="45"/>
        <v>9586</v>
      </c>
      <c r="Q87" s="213">
        <f t="shared" si="45"/>
        <v>5735</v>
      </c>
      <c r="R87" s="56">
        <f t="shared" si="43"/>
        <v>-3.1766709524665537E-2</v>
      </c>
    </row>
    <row r="88" spans="2:18">
      <c r="B88" t="s">
        <v>292</v>
      </c>
      <c r="G88" s="213">
        <f>IF(G129&lt;0,G128+G129,G128)</f>
        <v>-6397</v>
      </c>
      <c r="H88" s="213">
        <f>IF(H129&lt;0,H128+H129,H128)</f>
        <v>-5622</v>
      </c>
      <c r="I88" s="213">
        <f>IF(I129&lt;0,I128+I129,I128)</f>
        <v>-6395</v>
      </c>
      <c r="J88" s="213">
        <f t="shared" ref="J88:Q88" si="46">IF(J129&lt;0,J128+J129,J128)</f>
        <v>-6816</v>
      </c>
      <c r="K88" s="213">
        <f t="shared" si="46"/>
        <v>-8533</v>
      </c>
      <c r="L88" s="213">
        <f t="shared" si="46"/>
        <v>-15541</v>
      </c>
      <c r="M88" s="213">
        <f t="shared" si="46"/>
        <v>-14218</v>
      </c>
      <c r="N88" s="213">
        <f t="shared" si="46"/>
        <v>-8637</v>
      </c>
      <c r="O88" s="213">
        <f t="shared" si="46"/>
        <v>-6800</v>
      </c>
      <c r="P88" s="213">
        <f t="shared" si="46"/>
        <v>-5089</v>
      </c>
      <c r="Q88" s="213">
        <f t="shared" si="46"/>
        <v>-6615</v>
      </c>
      <c r="R88" s="56">
        <f t="shared" si="43"/>
        <v>3.0510693479217643E-3</v>
      </c>
    </row>
    <row r="89" spans="2:18">
      <c r="B89" t="s">
        <v>509</v>
      </c>
      <c r="G89" s="213">
        <v>0</v>
      </c>
      <c r="H89" s="213">
        <v>0</v>
      </c>
      <c r="I89" s="213">
        <v>0</v>
      </c>
      <c r="J89" s="213">
        <v>0</v>
      </c>
      <c r="K89" s="213">
        <v>0</v>
      </c>
      <c r="L89" s="213">
        <v>-4</v>
      </c>
      <c r="M89" s="213">
        <v>-25</v>
      </c>
      <c r="N89" s="213">
        <v>-42</v>
      </c>
      <c r="O89" s="213">
        <v>-55</v>
      </c>
      <c r="P89" s="213">
        <v>-75</v>
      </c>
      <c r="Q89" s="213">
        <v>-189</v>
      </c>
      <c r="R89" s="56" t="str">
        <f>IFERROR((Q89/G89)^(1/COUNT($G$4:$Q$4))-1,"")</f>
        <v/>
      </c>
    </row>
    <row r="90" spans="2:18">
      <c r="B90" t="s">
        <v>505</v>
      </c>
      <c r="G90" s="213">
        <v>-4265</v>
      </c>
      <c r="H90" s="213">
        <v>-4897</v>
      </c>
      <c r="I90" s="213">
        <v>-5256</v>
      </c>
      <c r="J90" s="213">
        <v>-5506</v>
      </c>
      <c r="K90" s="213">
        <v>-5666</v>
      </c>
      <c r="L90" s="213">
        <v>-5707</v>
      </c>
      <c r="M90" s="213">
        <v>-5797</v>
      </c>
      <c r="N90" s="213">
        <v>-5869</v>
      </c>
      <c r="O90" s="213">
        <v>-5948</v>
      </c>
      <c r="P90" s="213">
        <v>-6040</v>
      </c>
      <c r="Q90" s="213">
        <v>-6147</v>
      </c>
      <c r="R90" s="56">
        <f t="shared" si="43"/>
        <v>3.3787529195768107E-2</v>
      </c>
    </row>
    <row r="91" spans="2:18">
      <c r="B91" t="s">
        <v>507</v>
      </c>
      <c r="G91" s="213">
        <f t="shared" ref="G91:H91" si="47">G130+G131</f>
        <v>-12970</v>
      </c>
      <c r="H91" s="213">
        <f t="shared" si="47"/>
        <v>-4287</v>
      </c>
      <c r="I91" s="213">
        <f>I130+I131</f>
        <v>-3628</v>
      </c>
      <c r="J91" s="213">
        <f t="shared" ref="J91:Q91" si="48">J130+J131</f>
        <v>-4533</v>
      </c>
      <c r="K91" s="213">
        <f t="shared" si="48"/>
        <v>-4614</v>
      </c>
      <c r="L91" s="213">
        <f t="shared" si="48"/>
        <v>-1633</v>
      </c>
      <c r="M91" s="213">
        <f t="shared" si="48"/>
        <v>-302</v>
      </c>
      <c r="N91" s="213">
        <f t="shared" si="48"/>
        <v>-319</v>
      </c>
      <c r="O91" s="213">
        <f t="shared" si="48"/>
        <v>-407</v>
      </c>
      <c r="P91" s="213">
        <f t="shared" si="48"/>
        <v>-402</v>
      </c>
      <c r="Q91" s="213">
        <f t="shared" si="48"/>
        <v>-651</v>
      </c>
      <c r="R91" s="56">
        <f t="shared" si="43"/>
        <v>-0.23813774875561033</v>
      </c>
    </row>
    <row r="92" spans="2:18">
      <c r="B92" t="s">
        <v>512</v>
      </c>
      <c r="G92" s="222">
        <f>+G93-G87-G88-G89-G90-G91</f>
        <v>0</v>
      </c>
      <c r="H92" s="222">
        <f t="shared" ref="H92:O92" si="49">+H93-H87-H88-H89-H90-H91</f>
        <v>-1</v>
      </c>
      <c r="I92" s="222">
        <f t="shared" si="49"/>
        <v>204</v>
      </c>
      <c r="J92" s="222">
        <f t="shared" si="49"/>
        <v>174</v>
      </c>
      <c r="K92" s="222">
        <f t="shared" si="49"/>
        <v>112</v>
      </c>
      <c r="L92" s="222">
        <f t="shared" si="49"/>
        <v>102</v>
      </c>
      <c r="M92" s="222">
        <f t="shared" si="49"/>
        <v>117</v>
      </c>
      <c r="N92" s="222">
        <f t="shared" si="49"/>
        <v>991</v>
      </c>
      <c r="O92" s="222">
        <f t="shared" si="49"/>
        <v>231</v>
      </c>
      <c r="P92" s="222">
        <f>+P93-P87-P88-P89-P90-P91</f>
        <v>251</v>
      </c>
      <c r="Q92" s="222">
        <f>+Q93-Q87-Q88-Q89-Q90-Q91</f>
        <v>788</v>
      </c>
      <c r="R92" s="56" t="str">
        <f t="shared" si="43"/>
        <v/>
      </c>
    </row>
    <row r="93" spans="2:18" s="1" customFormat="1">
      <c r="B93" s="251" t="s">
        <v>293</v>
      </c>
      <c r="C93" s="251"/>
      <c r="D93" s="251"/>
      <c r="E93" s="251"/>
      <c r="F93" s="619"/>
      <c r="G93" s="256">
        <v>-15452</v>
      </c>
      <c r="H93" s="256">
        <v>-9166</v>
      </c>
      <c r="I93" s="256">
        <v>-5917</v>
      </c>
      <c r="J93" s="256">
        <v>-6418</v>
      </c>
      <c r="K93" s="256">
        <v>-10469</v>
      </c>
      <c r="L93" s="256">
        <v>9042</v>
      </c>
      <c r="M93" s="256">
        <v>-9721</v>
      </c>
      <c r="N93" s="256">
        <v>-13354</v>
      </c>
      <c r="O93" s="256">
        <v>-4958</v>
      </c>
      <c r="P93" s="256">
        <v>-1769</v>
      </c>
      <c r="Q93" s="256">
        <v>-7079</v>
      </c>
      <c r="R93" s="253">
        <f t="shared" si="43"/>
        <v>-6.850472622140924E-2</v>
      </c>
    </row>
    <row r="94" spans="2:18" s="1" customFormat="1" ht="14.45" thickBot="1">
      <c r="B94" s="257" t="s">
        <v>627</v>
      </c>
      <c r="C94" s="254"/>
      <c r="D94" s="254"/>
      <c r="E94" s="254"/>
      <c r="F94" s="621"/>
      <c r="G94" s="258">
        <v>-655</v>
      </c>
      <c r="H94" s="258">
        <v>-473</v>
      </c>
      <c r="I94" s="258">
        <v>-51</v>
      </c>
      <c r="J94" s="258">
        <v>937</v>
      </c>
      <c r="K94" s="258">
        <v>-495</v>
      </c>
      <c r="L94" s="258">
        <v>-167</v>
      </c>
      <c r="M94" s="258">
        <v>-87</v>
      </c>
      <c r="N94" s="258">
        <v>-185</v>
      </c>
      <c r="O94" s="258">
        <v>-244</v>
      </c>
      <c r="P94" s="258">
        <v>9</v>
      </c>
      <c r="Q94" s="258">
        <v>-359</v>
      </c>
      <c r="R94" s="255">
        <f t="shared" si="43"/>
        <v>-5.319754110397823E-2</v>
      </c>
    </row>
    <row r="95" spans="2:18" s="1" customFormat="1">
      <c r="B95" s="1" t="s">
        <v>294</v>
      </c>
      <c r="F95"/>
      <c r="G95" s="223">
        <v>-2240</v>
      </c>
      <c r="H95" s="223">
        <v>-790</v>
      </c>
      <c r="I95" s="223">
        <v>188</v>
      </c>
      <c r="J95" s="223">
        <v>4161</v>
      </c>
      <c r="K95" s="223">
        <v>-630</v>
      </c>
      <c r="L95" s="223">
        <v>-3290</v>
      </c>
      <c r="M95" s="223">
        <v>5361</v>
      </c>
      <c r="N95" s="223">
        <v>-6718</v>
      </c>
      <c r="O95" s="223">
        <v>1032</v>
      </c>
      <c r="P95" s="223">
        <v>5101</v>
      </c>
      <c r="Q95" s="223">
        <v>1071</v>
      </c>
      <c r="R95" s="59">
        <f t="shared" si="43"/>
        <v>-1.9351201273554897</v>
      </c>
    </row>
    <row r="96" spans="2:18" ht="14.45">
      <c r="B96" s="81" t="s">
        <v>628</v>
      </c>
    </row>
    <row r="97" spans="1:18" ht="15.6">
      <c r="A97" t="s">
        <v>417</v>
      </c>
      <c r="B97" s="210" t="s">
        <v>629</v>
      </c>
      <c r="C97" s="49"/>
      <c r="D97" s="49"/>
      <c r="E97" s="49"/>
      <c r="F97" s="49"/>
      <c r="G97" s="485">
        <v>42004</v>
      </c>
      <c r="H97" s="485">
        <v>42369</v>
      </c>
      <c r="I97" s="485">
        <v>42735</v>
      </c>
      <c r="J97" s="485">
        <v>43100</v>
      </c>
      <c r="K97" s="485">
        <v>43465</v>
      </c>
      <c r="L97" s="485">
        <v>43830</v>
      </c>
      <c r="M97" s="485">
        <v>44196</v>
      </c>
      <c r="N97" s="485">
        <v>44561</v>
      </c>
      <c r="O97" s="485">
        <v>44926</v>
      </c>
      <c r="P97" s="485">
        <v>45291</v>
      </c>
      <c r="Q97" s="485">
        <v>45657</v>
      </c>
      <c r="R97" s="23"/>
    </row>
    <row r="98" spans="1:18" ht="3.95" customHeight="1">
      <c r="B98" s="217"/>
      <c r="C98" s="217"/>
      <c r="D98" s="217"/>
      <c r="E98" s="217"/>
      <c r="F98" s="217"/>
      <c r="G98" s="218"/>
      <c r="H98" s="218"/>
      <c r="I98" s="218"/>
      <c r="J98" s="218"/>
      <c r="K98" s="218"/>
      <c r="L98" s="218"/>
      <c r="M98" s="218"/>
      <c r="N98" s="218"/>
      <c r="O98" s="218"/>
      <c r="P98" s="218"/>
      <c r="Q98" s="218"/>
      <c r="R98" s="23"/>
    </row>
    <row r="99" spans="1:18">
      <c r="B99" t="s">
        <v>630</v>
      </c>
      <c r="G99" s="247" cm="1">
        <f t="array" aca="1" ref="G99" ca="1">(IFERROR(_xlfn.STOCKHISTORY(DCF!$R$4, G97, G97, 0, 0, 1), IFERROR(_xlfn.STOCKHISTORY(DCF!$R$4, G97+1, G97+1, 0, 0, 1), _xlfn.STOCKHISTORY(DCF!$R$4, G97-2, G97-2, 0, 0, 1))))*_xlfn.XLOOKUP("Basic Weighted Average Shares",$B:$B,G:G)/1000000</f>
        <v>161125.49337695999</v>
      </c>
      <c r="H99" s="247" cm="1">
        <f t="array" aca="1" ref="H99" ca="1">(IFERROR(_xlfn.STOCKHISTORY(DCF!$R$4, H97, H97, 0, 0, 1), IFERROR(_xlfn.STOCKHISTORY(DCF!$R$4, H97+1, H97+1, 0, 0, 1), _xlfn.STOCKHISTORY(DCF!$R$4, H97-2, H97-2, 0, 0, 1))))*_xlfn.XLOOKUP("Basic Weighted Average Shares",$B:$B,H:H)/1000000</f>
        <v>134694.82125526</v>
      </c>
      <c r="I99" s="247" cm="1">
        <f t="array" aca="1" ref="I99" ca="1">(IFERROR(_xlfn.STOCKHISTORY(DCF!$R$4, I97, I97, 0, 0, 1), IFERROR(_xlfn.STOCKHISTORY(DCF!$R$4, I97+1, I97+1, 0, 0, 1), _xlfn.STOCKHISTORY(DCF!$R$4, I97-2, I97-2, 0, 0, 1))))*_xlfn.XLOOKUP("Basic Weighted Average Shares",$B:$B,I:I)/1000000</f>
        <v>159173.39349799999</v>
      </c>
      <c r="J99" s="247" cm="1">
        <f t="array" aca="1" ref="J99" ca="1">(IFERROR(_xlfn.STOCKHISTORY(DCF!$R$4, J97, J97, 0, 0, 1), IFERROR(_xlfn.STOCKHISTORY(DCF!$R$4, J97+1, J97+1, 0, 0, 1), _xlfn.STOCKHISTORY(DCF!$R$4, J97-2, J97-2, 0, 0, 1))))*_xlfn.XLOOKUP("Basic Weighted Average Shares",$B:$B,J:J)/1000000</f>
        <v>143114.51701889999</v>
      </c>
      <c r="K99" s="247" cm="1">
        <f t="array" aca="1" ref="K99" ca="1">(IFERROR(_xlfn.STOCKHISTORY(DCF!$R$4, K97, K97, 0, 0, 1), IFERROR(_xlfn.STOCKHISTORY(DCF!$R$4, K97+1, K97+1, 0, 0, 1), _xlfn.STOCKHISTORY(DCF!$R$4, K97-2, K97-2, 0, 0, 1))))*_xlfn.XLOOKUP("Basic Weighted Average Shares",$B:$B,K:K)/1000000</f>
        <v>103672.50434424001</v>
      </c>
      <c r="L99" s="247" cm="1">
        <f t="array" aca="1" ref="L99" ca="1">(IFERROR(_xlfn.STOCKHISTORY(DCF!$R$4, L97, L97, 0, 0, 1), IFERROR(_xlfn.STOCKHISTORY(DCF!$R$4, L97+1, L97+1, 0, 0, 1), _xlfn.STOCKHISTORY(DCF!$R$4, L97-2, L97-2, 0, 0, 1))))*_xlfn.XLOOKUP("Basic Weighted Average Shares",$B:$B,L:L)/1000000</f>
        <v>118924.9934742</v>
      </c>
      <c r="M99" s="247" cm="1">
        <f t="array" aca="1" ref="M99" ca="1">(IFERROR(_xlfn.STOCKHISTORY(DCF!$R$4, M97, M97, 0, 0, 1), IFERROR(_xlfn.STOCKHISTORY(DCF!$R$4, M97+1, M97+1, 0, 0, 1), _xlfn.STOCKHISTORY(DCF!$R$4, M97-2, M97-2, 0, 0, 1))))*_xlfn.XLOOKUP("Basic Weighted Average Shares",$B:$B,M:M)/1000000</f>
        <v>112077.09171251999</v>
      </c>
      <c r="N99" s="247" cm="1">
        <f t="array" aca="1" ref="N99" ca="1">(IFERROR(_xlfn.STOCKHISTORY(DCF!$R$4, N97, N97, 0, 0, 1), IFERROR(_xlfn.STOCKHISTORY(DCF!$R$4, N97+1, N97+1, 0, 0, 1), _xlfn.STOCKHISTORY(DCF!$R$4, N97-2, N97-2, 0, 0, 1))))*_xlfn.XLOOKUP("Basic Weighted Average Shares",$B:$B,N:N)/1000000</f>
        <v>119758.12645186001</v>
      </c>
      <c r="O99" s="247" cm="1">
        <f t="array" aca="1" ref="O99" ca="1">(IFERROR(_xlfn.STOCKHISTORY(DCF!$R$4, O97, O97, 0, 0, 1), IFERROR(_xlfn.STOCKHISTORY(DCF!$R$4, O97+1, O97+1, 0, 0, 1), _xlfn.STOCKHISTORY(DCF!$R$4, O97-2, O97-2, 0, 0, 1))))*_xlfn.XLOOKUP("Basic Weighted Average Shares",$B:$B,O:O)/1000000</f>
        <v>127329.81064140001</v>
      </c>
      <c r="P99" s="247" cm="1">
        <f t="array" aca="1" ref="P99" ca="1">(IFERROR(_xlfn.STOCKHISTORY(DCF!$R$4, P97, P97, 0, 0, 1), IFERROR(_xlfn.STOCKHISTORY(DCF!$R$4, P97+1, P97+1, 0, 0, 1), _xlfn.STOCKHISTORY(DCF!$R$4, P97-2, P97-2, 0, 0, 1))))*_xlfn.XLOOKUP("Basic Weighted Average Shares",$B:$B,P:P)/1000000</f>
        <v>149028.44767245001</v>
      </c>
      <c r="Q99" s="247" cm="1">
        <f t="array" aca="1" ref="Q99" ca="1">(IFERROR(_xlfn.STOCKHISTORY(DCF!$R$4, Q97, Q97, 0, 0, 1), IFERROR(_xlfn.STOCKHISTORY(DCF!$R$4, Q97+1, Q97+1, 0, 0, 1), _xlfn.STOCKHISTORY(DCF!$R$4, Q97-2, Q97-2, 0, 0, 1))))*_xlfn.XLOOKUP("Basic Weighted Average Shares",$B:$B,Q:Q)/1000000</f>
        <v>202632.22294822001</v>
      </c>
    </row>
    <row r="100" spans="1:18">
      <c r="B100" t="s">
        <v>276</v>
      </c>
      <c r="G100" s="247">
        <f>_xlfn.XLOOKUP("Cash &amp; Cash Equivalents &amp; ST Investments",$B$30:$B$62,G$30:G$62)</f>
        <v>8476</v>
      </c>
      <c r="H100" s="247">
        <f t="shared" ref="H100:Q100" si="50">_xlfn.XLOOKUP("Cash &amp; Cash Equivalents &amp; ST Investments",$B$30:$B$62,H$30:H$62)</f>
        <v>8194</v>
      </c>
      <c r="I100" s="247">
        <f t="shared" si="50"/>
        <v>8527</v>
      </c>
      <c r="J100" s="247">
        <f t="shared" si="50"/>
        <v>12580</v>
      </c>
      <c r="K100" s="247">
        <f t="shared" si="50"/>
        <v>11997</v>
      </c>
      <c r="L100" s="247">
        <f t="shared" si="50"/>
        <v>8313</v>
      </c>
      <c r="M100" s="247">
        <f t="shared" si="50"/>
        <v>13675</v>
      </c>
      <c r="N100" s="247">
        <f t="shared" si="50"/>
        <v>6957</v>
      </c>
      <c r="O100" s="247">
        <f t="shared" si="50"/>
        <v>7989</v>
      </c>
      <c r="P100" s="247">
        <f t="shared" si="50"/>
        <v>13441</v>
      </c>
      <c r="Q100" s="247">
        <f t="shared" si="50"/>
        <v>14591</v>
      </c>
    </row>
    <row r="101" spans="1:18">
      <c r="B101" t="s">
        <v>286</v>
      </c>
      <c r="G101" s="247">
        <f>(_xlfn.XLOOKUP("Short-Term Debt",$B$30:$B$62,G$30:G$62)+_xlfn.XLOOKUP("Long-Term Debt",$B$30:$B$62,G$30:G$62))</f>
        <v>40722</v>
      </c>
      <c r="H101" s="247">
        <f t="shared" ref="H101:Q101" si="51">(_xlfn.XLOOKUP("Short-Term Debt",$B$30:$B$62,H$30:H$62)+_xlfn.XLOOKUP("Long-Term Debt",$B$30:$B$62,H$30:H$62))</f>
        <v>39889</v>
      </c>
      <c r="I101" s="247">
        <f t="shared" si="51"/>
        <v>42168</v>
      </c>
      <c r="J101" s="247">
        <f t="shared" si="51"/>
        <v>46824</v>
      </c>
      <c r="K101" s="247">
        <f t="shared" si="51"/>
        <v>45812</v>
      </c>
      <c r="L101" s="247">
        <f t="shared" si="51"/>
        <v>68411</v>
      </c>
      <c r="M101" s="247">
        <f t="shared" si="51"/>
        <v>66216</v>
      </c>
      <c r="N101" s="247">
        <f t="shared" si="51"/>
        <v>55140</v>
      </c>
      <c r="O101" s="247">
        <f t="shared" si="51"/>
        <v>54013</v>
      </c>
      <c r="P101" s="247">
        <f t="shared" si="51"/>
        <v>59935</v>
      </c>
      <c r="Q101" s="247">
        <f t="shared" si="51"/>
        <v>58396</v>
      </c>
    </row>
    <row r="102" spans="1:18">
      <c r="B102" t="s">
        <v>631</v>
      </c>
      <c r="G102" s="230">
        <v>0</v>
      </c>
      <c r="H102" s="230">
        <v>0</v>
      </c>
      <c r="I102" s="230">
        <v>0</v>
      </c>
      <c r="J102" s="230">
        <v>0</v>
      </c>
      <c r="K102" s="230">
        <v>0</v>
      </c>
      <c r="L102" s="230">
        <v>0</v>
      </c>
      <c r="M102" s="230">
        <v>0</v>
      </c>
      <c r="N102" s="230">
        <v>0</v>
      </c>
      <c r="O102" s="230">
        <v>0</v>
      </c>
      <c r="P102" s="230">
        <v>0</v>
      </c>
      <c r="Q102" s="230">
        <v>0</v>
      </c>
    </row>
    <row r="103" spans="1:18">
      <c r="B103" t="s">
        <v>614</v>
      </c>
      <c r="G103" s="860">
        <f>_xlfn.XLOOKUP("Non-Controlling Interest",$B$30:$B$62,G$30:G$62)</f>
        <v>146</v>
      </c>
      <c r="H103" s="860">
        <f t="shared" ref="H103:Q103" si="52">_xlfn.XLOOKUP("Non-Controlling Interest",$B$30:$B$62,H$30:H$62)</f>
        <v>162</v>
      </c>
      <c r="I103" s="860">
        <f t="shared" si="52"/>
        <v>146</v>
      </c>
      <c r="J103" s="860">
        <f t="shared" si="52"/>
        <v>131</v>
      </c>
      <c r="K103" s="860">
        <f t="shared" si="52"/>
        <v>134</v>
      </c>
      <c r="L103" s="860">
        <f t="shared" si="52"/>
        <v>144</v>
      </c>
      <c r="M103" s="860">
        <f t="shared" si="52"/>
        <v>129</v>
      </c>
      <c r="N103" s="860">
        <f t="shared" si="52"/>
        <v>95</v>
      </c>
      <c r="O103" s="860">
        <f t="shared" si="52"/>
        <v>77</v>
      </c>
      <c r="P103" s="860">
        <f t="shared" si="52"/>
        <v>80</v>
      </c>
      <c r="Q103" s="860">
        <f t="shared" si="52"/>
        <v>86</v>
      </c>
    </row>
    <row r="104" spans="1:18">
      <c r="B104" t="s">
        <v>523</v>
      </c>
      <c r="G104" s="231">
        <f t="shared" ref="G104:Q104" ca="1" si="53">+G99-G100+G101+G102+G103</f>
        <v>193517.49337695999</v>
      </c>
      <c r="H104" s="231">
        <f t="shared" ca="1" si="53"/>
        <v>166551.82125526</v>
      </c>
      <c r="I104" s="231">
        <f t="shared" ca="1" si="53"/>
        <v>192960.39349799999</v>
      </c>
      <c r="J104" s="231">
        <f t="shared" ca="1" si="53"/>
        <v>177489.51701889999</v>
      </c>
      <c r="K104" s="231">
        <f t="shared" ca="1" si="53"/>
        <v>137621.50434424001</v>
      </c>
      <c r="L104" s="231">
        <f t="shared" ca="1" si="53"/>
        <v>179166.99347420002</v>
      </c>
      <c r="M104" s="231">
        <f t="shared" ca="1" si="53"/>
        <v>164747.09171251999</v>
      </c>
      <c r="N104" s="231">
        <f t="shared" ca="1" si="53"/>
        <v>168036.12645186001</v>
      </c>
      <c r="O104" s="231">
        <f t="shared" ca="1" si="53"/>
        <v>173430.81064139999</v>
      </c>
      <c r="P104" s="231">
        <f t="shared" ca="1" si="53"/>
        <v>195602.44767245001</v>
      </c>
      <c r="Q104" s="231">
        <f t="shared" ca="1" si="53"/>
        <v>246523.22294822001</v>
      </c>
    </row>
    <row r="105" spans="1:18" ht="5.25" customHeight="1"/>
    <row r="106" spans="1:18" ht="15.6">
      <c r="A106" t="s">
        <v>417</v>
      </c>
      <c r="B106" s="45" t="s">
        <v>95</v>
      </c>
      <c r="C106" s="49"/>
      <c r="D106" s="49"/>
      <c r="E106" s="49"/>
      <c r="F106" s="49"/>
      <c r="G106" s="232" t="s">
        <v>632</v>
      </c>
      <c r="H106" s="211">
        <v>2025</v>
      </c>
      <c r="I106" s="211">
        <f>+H106+1</f>
        <v>2026</v>
      </c>
      <c r="J106" s="211">
        <f t="shared" ref="J106:Q106" si="54">+I106+1</f>
        <v>2027</v>
      </c>
      <c r="K106" s="211">
        <f t="shared" si="54"/>
        <v>2028</v>
      </c>
      <c r="L106" s="211">
        <f t="shared" si="54"/>
        <v>2029</v>
      </c>
      <c r="M106" s="211">
        <f t="shared" si="54"/>
        <v>2030</v>
      </c>
      <c r="N106" s="211">
        <f t="shared" si="54"/>
        <v>2031</v>
      </c>
      <c r="O106" s="211">
        <f t="shared" si="54"/>
        <v>2032</v>
      </c>
      <c r="P106" s="211">
        <f t="shared" si="54"/>
        <v>2033</v>
      </c>
      <c r="Q106" s="734">
        <f t="shared" si="54"/>
        <v>2034</v>
      </c>
    </row>
    <row r="107" spans="1:18" ht="3.95" customHeight="1">
      <c r="B107" s="217"/>
      <c r="C107" s="217"/>
      <c r="D107" s="217"/>
      <c r="E107" s="217"/>
      <c r="F107" s="217"/>
      <c r="G107" s="218"/>
      <c r="H107" s="218"/>
      <c r="I107" s="218"/>
      <c r="J107" s="218"/>
      <c r="K107" s="218"/>
      <c r="L107" s="218" t="s">
        <v>633</v>
      </c>
      <c r="M107" s="218" t="s">
        <v>633</v>
      </c>
      <c r="N107" s="218" t="s">
        <v>633</v>
      </c>
      <c r="O107" s="218" t="s">
        <v>633</v>
      </c>
      <c r="P107" s="218" t="s">
        <v>633</v>
      </c>
      <c r="Q107" s="218" t="s">
        <v>633</v>
      </c>
    </row>
    <row r="108" spans="1:18">
      <c r="B108" t="s">
        <v>632</v>
      </c>
      <c r="G108" s="733">
        <f>SUM(H108:Q108)</f>
        <v>55112</v>
      </c>
      <c r="H108" s="862">
        <f t="shared" ref="H108:Q108" si="55">H165</f>
        <v>4777.666666666667</v>
      </c>
      <c r="I108" s="862">
        <f t="shared" si="55"/>
        <v>6140</v>
      </c>
      <c r="J108" s="862">
        <f t="shared" si="55"/>
        <v>6530</v>
      </c>
      <c r="K108" s="862">
        <f t="shared" si="55"/>
        <v>3445.3333333333335</v>
      </c>
      <c r="L108" s="862">
        <f t="shared" si="55"/>
        <v>4785</v>
      </c>
      <c r="M108" s="862">
        <f t="shared" si="55"/>
        <v>2385</v>
      </c>
      <c r="N108" s="862">
        <f t="shared" si="55"/>
        <v>3088</v>
      </c>
      <c r="O108" s="862">
        <f t="shared" si="55"/>
        <v>3506</v>
      </c>
      <c r="P108" s="862">
        <f t="shared" si="55"/>
        <v>750</v>
      </c>
      <c r="Q108" s="862">
        <f t="shared" si="55"/>
        <v>19705</v>
      </c>
    </row>
    <row r="109" spans="1:18">
      <c r="B109" t="s">
        <v>634</v>
      </c>
      <c r="G109" s="733">
        <f t="shared" ref="G109:G110" si="56">SUM(H109:Q109)</f>
        <v>47711.149700598791</v>
      </c>
      <c r="H109" s="733">
        <f>H167</f>
        <v>4291.4610778443111</v>
      </c>
      <c r="I109" s="733">
        <f t="shared" ref="I109:Q109" si="57">I167</f>
        <v>5358.5868263473049</v>
      </c>
      <c r="J109" s="733">
        <f t="shared" si="57"/>
        <v>5405.3532934131727</v>
      </c>
      <c r="K109" s="733">
        <f t="shared" si="57"/>
        <v>3284.7065868263467</v>
      </c>
      <c r="L109" s="733">
        <f t="shared" si="57"/>
        <v>4188.5748502994002</v>
      </c>
      <c r="M109" s="733">
        <f t="shared" si="57"/>
        <v>5036.4934131736518</v>
      </c>
      <c r="N109" s="733">
        <f t="shared" si="57"/>
        <v>5036.4934131736518</v>
      </c>
      <c r="O109" s="733">
        <f t="shared" si="57"/>
        <v>5036.4934131736518</v>
      </c>
      <c r="P109" s="733">
        <f t="shared" si="57"/>
        <v>5036.4934131736518</v>
      </c>
      <c r="Q109" s="733">
        <f t="shared" si="57"/>
        <v>5036.4934131736518</v>
      </c>
    </row>
    <row r="110" spans="1:18">
      <c r="B110" t="s">
        <v>635</v>
      </c>
      <c r="G110" s="733">
        <f t="shared" si="56"/>
        <v>7230.8711327345318</v>
      </c>
      <c r="H110" s="733">
        <f>H168</f>
        <v>650.39308882235525</v>
      </c>
      <c r="I110" s="733">
        <f t="shared" ref="I110:Q110" si="58">I168</f>
        <v>812.12150698602784</v>
      </c>
      <c r="J110" s="733">
        <f t="shared" si="58"/>
        <v>819.20920658682621</v>
      </c>
      <c r="K110" s="733">
        <f t="shared" si="58"/>
        <v>497.81424650698597</v>
      </c>
      <c r="L110" s="733">
        <f t="shared" si="58"/>
        <v>634.80014970059869</v>
      </c>
      <c r="M110" s="733">
        <f t="shared" si="58"/>
        <v>763.30658682634714</v>
      </c>
      <c r="N110" s="733">
        <f t="shared" si="58"/>
        <v>763.30658682634703</v>
      </c>
      <c r="O110" s="733">
        <f t="shared" si="58"/>
        <v>763.30658682634703</v>
      </c>
      <c r="P110" s="733">
        <f t="shared" si="58"/>
        <v>763.30658682634703</v>
      </c>
      <c r="Q110" s="733">
        <f t="shared" si="58"/>
        <v>763.30658682634703</v>
      </c>
    </row>
    <row r="111" spans="1:18" ht="3.75" customHeight="1"/>
    <row r="112" spans="1:18" ht="15.6">
      <c r="A112" t="s">
        <v>417</v>
      </c>
      <c r="B112" s="45" t="s">
        <v>636</v>
      </c>
      <c r="C112" s="49"/>
      <c r="D112" s="49"/>
      <c r="E112" s="49"/>
      <c r="F112" s="49"/>
      <c r="G112" s="211">
        <v>2014</v>
      </c>
      <c r="H112" s="211">
        <f>+G112+1</f>
        <v>2015</v>
      </c>
      <c r="I112" s="211">
        <f t="shared" ref="I112" si="59">+H112+1</f>
        <v>2016</v>
      </c>
      <c r="J112" s="211">
        <f t="shared" ref="J112" si="60">+I112+1</f>
        <v>2017</v>
      </c>
      <c r="K112" s="211">
        <f t="shared" ref="K112" si="61">+J112+1</f>
        <v>2018</v>
      </c>
      <c r="L112" s="211">
        <f t="shared" ref="L112" si="62">+K112+1</f>
        <v>2019</v>
      </c>
      <c r="M112" s="211">
        <f t="shared" ref="M112" si="63">+L112+1</f>
        <v>2020</v>
      </c>
      <c r="N112" s="211">
        <f>+M112+1</f>
        <v>2021</v>
      </c>
      <c r="O112" s="211">
        <f>+N112+1</f>
        <v>2022</v>
      </c>
      <c r="P112" s="211">
        <f t="shared" ref="P112" si="64">+O112+1</f>
        <v>2023</v>
      </c>
      <c r="Q112" s="211">
        <f>+P112+1</f>
        <v>2024</v>
      </c>
      <c r="R112" s="51" t="str">
        <f>"CAGR "&amp;$G$4&amp;" - "&amp;$Q$4</f>
        <v>CAGR 2014 - 2024</v>
      </c>
    </row>
    <row r="113" spans="2:18" ht="5.25" customHeight="1">
      <c r="B113" s="217"/>
      <c r="C113" s="217"/>
      <c r="D113" s="217"/>
      <c r="E113" s="217"/>
      <c r="F113" s="217"/>
      <c r="G113" s="218"/>
      <c r="H113" s="218"/>
      <c r="I113" s="218"/>
      <c r="J113" s="218"/>
      <c r="K113" s="218"/>
      <c r="L113" s="218"/>
      <c r="M113" s="218"/>
      <c r="N113" s="218"/>
      <c r="O113" s="218"/>
      <c r="P113" s="218"/>
      <c r="Q113" s="218"/>
      <c r="R113" s="53"/>
    </row>
    <row r="114" spans="2:18">
      <c r="B114" t="s">
        <v>286</v>
      </c>
      <c r="G114" s="229">
        <f>IFERROR(SUM(G55+G50),"")</f>
        <v>40722</v>
      </c>
      <c r="H114" s="229">
        <f t="shared" ref="H114:Q114" si="65">IFERROR(SUM(H55+H50),"")</f>
        <v>39889</v>
      </c>
      <c r="I114" s="229">
        <f t="shared" si="65"/>
        <v>42168</v>
      </c>
      <c r="J114" s="229">
        <f t="shared" si="65"/>
        <v>46824</v>
      </c>
      <c r="K114" s="229">
        <f t="shared" si="65"/>
        <v>45812</v>
      </c>
      <c r="L114" s="229">
        <f t="shared" si="65"/>
        <v>68411</v>
      </c>
      <c r="M114" s="229">
        <f t="shared" si="65"/>
        <v>66216</v>
      </c>
      <c r="N114" s="229">
        <f t="shared" si="65"/>
        <v>55140</v>
      </c>
      <c r="O114" s="229">
        <f t="shared" si="65"/>
        <v>54013</v>
      </c>
      <c r="P114" s="229">
        <f t="shared" si="65"/>
        <v>59935</v>
      </c>
      <c r="Q114" s="229">
        <f t="shared" si="65"/>
        <v>58396</v>
      </c>
      <c r="R114" s="56">
        <f t="shared" ref="R114:R122" si="66">IFERROR((Q114/G114)^(1/COUNT($G$4:$Q$4))-1,"")</f>
        <v>3.3313686690983779E-2</v>
      </c>
    </row>
    <row r="115" spans="2:18">
      <c r="B115" t="s">
        <v>492</v>
      </c>
      <c r="G115" s="229">
        <f>IFERROR(SUM(G51,G56),"")</f>
        <v>40722</v>
      </c>
      <c r="H115" s="229">
        <f t="shared" ref="H115:Q115" si="67">IFERROR(SUM(H51,H56),"")</f>
        <v>39889</v>
      </c>
      <c r="I115" s="229">
        <f t="shared" si="67"/>
        <v>42168</v>
      </c>
      <c r="J115" s="229">
        <f t="shared" si="67"/>
        <v>46824</v>
      </c>
      <c r="K115" s="229">
        <f t="shared" si="67"/>
        <v>45812</v>
      </c>
      <c r="L115" s="229">
        <f t="shared" si="67"/>
        <v>63152</v>
      </c>
      <c r="M115" s="229">
        <f t="shared" si="67"/>
        <v>61285</v>
      </c>
      <c r="N115" s="229">
        <f t="shared" si="67"/>
        <v>51704</v>
      </c>
      <c r="O115" s="229">
        <f t="shared" si="67"/>
        <v>50949</v>
      </c>
      <c r="P115" s="229">
        <f t="shared" si="67"/>
        <v>56547</v>
      </c>
      <c r="Q115" s="229">
        <f t="shared" si="67"/>
        <v>54973</v>
      </c>
      <c r="R115" s="56">
        <f t="shared" si="66"/>
        <v>2.7654914530470531E-2</v>
      </c>
    </row>
    <row r="116" spans="2:18">
      <c r="B116" t="s">
        <v>493</v>
      </c>
      <c r="G116" s="229">
        <f>IFERROR(SUM(G52,G57),"")</f>
        <v>0</v>
      </c>
      <c r="H116" s="229">
        <f t="shared" ref="H116:Q116" si="68">IFERROR(SUM(H52,H57),"")</f>
        <v>0</v>
      </c>
      <c r="I116" s="229">
        <f t="shared" si="68"/>
        <v>0</v>
      </c>
      <c r="J116" s="229">
        <f t="shared" si="68"/>
        <v>0</v>
      </c>
      <c r="K116" s="229">
        <f t="shared" si="68"/>
        <v>0</v>
      </c>
      <c r="L116" s="229">
        <f t="shared" si="68"/>
        <v>5259</v>
      </c>
      <c r="M116" s="229">
        <f t="shared" si="68"/>
        <v>4931</v>
      </c>
      <c r="N116" s="229">
        <f t="shared" si="68"/>
        <v>3436</v>
      </c>
      <c r="O116" s="229">
        <f t="shared" si="68"/>
        <v>3064</v>
      </c>
      <c r="P116" s="229">
        <f t="shared" si="68"/>
        <v>3388</v>
      </c>
      <c r="Q116" s="229">
        <f t="shared" si="68"/>
        <v>3423</v>
      </c>
      <c r="R116" s="56" t="str">
        <f t="shared" si="66"/>
        <v/>
      </c>
    </row>
    <row r="117" spans="2:18">
      <c r="B117" t="s">
        <v>637</v>
      </c>
      <c r="G117" s="229">
        <f t="shared" ref="G117:Q117" si="69">+G114-G32</f>
        <v>32246</v>
      </c>
      <c r="H117" s="229">
        <f t="shared" si="69"/>
        <v>31695</v>
      </c>
      <c r="I117" s="229">
        <f t="shared" si="69"/>
        <v>33641</v>
      </c>
      <c r="J117" s="229">
        <f t="shared" si="69"/>
        <v>34244</v>
      </c>
      <c r="K117" s="229">
        <f t="shared" si="69"/>
        <v>33815</v>
      </c>
      <c r="L117" s="229">
        <f t="shared" si="69"/>
        <v>60098</v>
      </c>
      <c r="M117" s="229">
        <f t="shared" si="69"/>
        <v>52541</v>
      </c>
      <c r="N117" s="229">
        <f t="shared" si="69"/>
        <v>48183</v>
      </c>
      <c r="O117" s="229">
        <f t="shared" si="69"/>
        <v>46024</v>
      </c>
      <c r="P117" s="229">
        <f t="shared" si="69"/>
        <v>46494</v>
      </c>
      <c r="Q117" s="229">
        <f t="shared" si="69"/>
        <v>43805</v>
      </c>
      <c r="R117" s="56">
        <f t="shared" si="66"/>
        <v>2.8241806952010506E-2</v>
      </c>
    </row>
    <row r="118" spans="2:18">
      <c r="B118" t="s">
        <v>638</v>
      </c>
      <c r="G118" s="243">
        <f>IFERROR(G23/G22,"")</f>
        <v>0.21184829380566397</v>
      </c>
      <c r="H118" s="243">
        <f t="shared" ref="H118:Q118" si="70">IFERROR(H23/H22,"")</f>
        <v>0.1618689244277203</v>
      </c>
      <c r="I118" s="243">
        <f t="shared" si="70"/>
        <v>3.778825113617236E-2</v>
      </c>
      <c r="J118" s="243">
        <f t="shared" si="70"/>
        <v>0.49495569786823407</v>
      </c>
      <c r="K118" s="243">
        <f t="shared" si="70"/>
        <v>0.23091165579262918</v>
      </c>
      <c r="L118" s="243">
        <f t="shared" si="70"/>
        <v>5.9066745422327229E-3</v>
      </c>
      <c r="M118" s="243">
        <f t="shared" si="70"/>
        <v>-0.54118583366494233</v>
      </c>
      <c r="N118" s="243">
        <f t="shared" si="70"/>
        <v>2.564102564102564E-2</v>
      </c>
      <c r="O118" s="243">
        <f t="shared" si="70"/>
        <v>-0.54152249134948094</v>
      </c>
      <c r="P118" s="243">
        <f t="shared" si="70"/>
        <v>0.13534353780642192</v>
      </c>
      <c r="Q118" s="243">
        <f t="shared" si="70"/>
        <v>-3.7599172128320112E-2</v>
      </c>
      <c r="R118" s="56">
        <f t="shared" si="66"/>
        <v>-1.854557342736749</v>
      </c>
    </row>
    <row r="119" spans="2:18">
      <c r="B119" t="s">
        <v>434</v>
      </c>
      <c r="G119" s="247">
        <f>IFERROR(G16*(1-G118),"")</f>
        <v>14606.027419193435</v>
      </c>
      <c r="H119" s="247">
        <f t="shared" ref="H119:Q119" si="71">IFERROR(H16*(1-H118),"")</f>
        <v>13149.438444653497</v>
      </c>
      <c r="I119" s="247">
        <f t="shared" si="71"/>
        <v>12609.784968860462</v>
      </c>
      <c r="J119" s="247">
        <f t="shared" si="71"/>
        <v>6635.7770857092719</v>
      </c>
      <c r="K119" s="247">
        <f t="shared" si="71"/>
        <v>10165.040645388821</v>
      </c>
      <c r="L119" s="247">
        <f t="shared" si="71"/>
        <v>10471.779090372122</v>
      </c>
      <c r="M119" s="247">
        <f t="shared" si="71"/>
        <v>7185.0083565459618</v>
      </c>
      <c r="N119" s="247">
        <f t="shared" si="71"/>
        <v>6688</v>
      </c>
      <c r="O119" s="247">
        <f t="shared" si="71"/>
        <v>12601.946366782007</v>
      </c>
      <c r="P119" s="247">
        <f t="shared" si="71"/>
        <v>8112.2069283001492</v>
      </c>
      <c r="Q119" s="247">
        <f t="shared" si="71"/>
        <v>9733.7178337357709</v>
      </c>
      <c r="R119" s="56">
        <f t="shared" si="66"/>
        <v>-3.6222091324215167E-2</v>
      </c>
    </row>
    <row r="120" spans="2:18">
      <c r="B120" t="s">
        <v>477</v>
      </c>
      <c r="G120" s="486">
        <f>IFERROR(G35/G6*365,"")</f>
        <v>47.186102399965513</v>
      </c>
      <c r="H120" s="486">
        <f t="shared" ref="H120:Q120" si="72">IFERROR(H35/H6*365,"")</f>
        <v>42.572393291004516</v>
      </c>
      <c r="I120" s="486">
        <f t="shared" si="72"/>
        <v>46.762784819629871</v>
      </c>
      <c r="J120" s="486">
        <f t="shared" si="72"/>
        <v>45.701676796522577</v>
      </c>
      <c r="K120" s="486">
        <f t="shared" si="72"/>
        <v>37.490105665213406</v>
      </c>
      <c r="L120" s="486">
        <f t="shared" si="72"/>
        <v>45.433976693844222</v>
      </c>
      <c r="M120" s="486">
        <f t="shared" si="72"/>
        <v>51.899998187716342</v>
      </c>
      <c r="N120" s="486">
        <f t="shared" si="72"/>
        <v>49.362510897994774</v>
      </c>
      <c r="O120" s="486">
        <f t="shared" si="72"/>
        <v>44.369238394184698</v>
      </c>
      <c r="P120" s="486">
        <f t="shared" si="72"/>
        <v>46.34190106692531</v>
      </c>
      <c r="Q120" s="486">
        <f t="shared" si="72"/>
        <v>45.083342629037652</v>
      </c>
      <c r="R120" s="56">
        <f t="shared" si="66"/>
        <v>-4.1356584500665816E-3</v>
      </c>
    </row>
    <row r="121" spans="2:18">
      <c r="B121" t="s">
        <v>479</v>
      </c>
      <c r="G121" s="486">
        <f>IFERROR(G36/G7*365,"")</f>
        <v>16.547988617255204</v>
      </c>
      <c r="H121" s="486">
        <f t="shared" ref="H121:Q121" si="73">IFERROR(H36/H7*365,"")</f>
        <v>13.788513529970528</v>
      </c>
      <c r="I121" s="486">
        <f t="shared" si="73"/>
        <v>13.617897897897898</v>
      </c>
      <c r="J121" s="486">
        <f t="shared" si="73"/>
        <v>13.693122570859797</v>
      </c>
      <c r="K121" s="486">
        <f t="shared" si="73"/>
        <v>14.392919939045834</v>
      </c>
      <c r="L121" s="486">
        <f t="shared" si="73"/>
        <v>14.533928527509284</v>
      </c>
      <c r="M121" s="486">
        <f t="shared" si="73"/>
        <v>27.60693427654849</v>
      </c>
      <c r="N121" s="486">
        <f t="shared" si="73"/>
        <v>23.270249371737869</v>
      </c>
      <c r="O121" s="486">
        <f t="shared" si="73"/>
        <v>20.346239494289204</v>
      </c>
      <c r="P121" s="486">
        <f t="shared" si="73"/>
        <v>15.376088534107401</v>
      </c>
      <c r="Q121" s="486">
        <f t="shared" si="73"/>
        <v>17.296606742399177</v>
      </c>
      <c r="R121" s="56">
        <f t="shared" si="66"/>
        <v>4.0304440695617672E-3</v>
      </c>
    </row>
    <row r="122" spans="2:18">
      <c r="B122" t="s">
        <v>489</v>
      </c>
      <c r="G122" s="486">
        <f t="shared" ref="G122:Q122" si="74">IFERROR(G49/G7*365,"")</f>
        <v>54.011124046048373</v>
      </c>
      <c r="H122" s="486">
        <f t="shared" si="74"/>
        <v>53.589400102296814</v>
      </c>
      <c r="I122" s="486">
        <f t="shared" si="74"/>
        <v>54.445285285285287</v>
      </c>
      <c r="J122" s="486">
        <f t="shared" si="74"/>
        <v>55.801853256232825</v>
      </c>
      <c r="K122" s="486">
        <f t="shared" si="74"/>
        <v>56.116985113116868</v>
      </c>
      <c r="L122" s="486">
        <f t="shared" si="74"/>
        <v>43.951892569910719</v>
      </c>
      <c r="M122" s="486">
        <f t="shared" si="74"/>
        <v>73.678539113268087</v>
      </c>
      <c r="N122" s="486">
        <f t="shared" si="74"/>
        <v>55.811907983761841</v>
      </c>
      <c r="O122" s="486">
        <f t="shared" si="74"/>
        <v>53.107355793405645</v>
      </c>
      <c r="P122" s="486">
        <f t="shared" si="74"/>
        <v>54.723512336719885</v>
      </c>
      <c r="Q122" s="486">
        <f t="shared" si="74"/>
        <v>54.103893239219147</v>
      </c>
      <c r="R122" s="56">
        <f t="shared" si="66"/>
        <v>1.5602315378004938E-4</v>
      </c>
    </row>
    <row r="125" spans="2:18">
      <c r="O125"/>
    </row>
    <row r="126" spans="2:18">
      <c r="C126" s="584"/>
    </row>
    <row r="127" spans="2:18">
      <c r="B127" t="s">
        <v>639</v>
      </c>
      <c r="C127" s="584"/>
      <c r="G127" s="859">
        <v>8180</v>
      </c>
      <c r="H127" s="859">
        <v>5540</v>
      </c>
      <c r="I127" s="23">
        <v>9132</v>
      </c>
      <c r="J127" s="23">
        <v>9643</v>
      </c>
      <c r="K127" s="23">
        <v>6891</v>
      </c>
      <c r="L127" s="859">
        <v>31825</v>
      </c>
      <c r="M127" s="859">
        <v>10504</v>
      </c>
      <c r="N127" s="23">
        <v>522</v>
      </c>
      <c r="O127" s="859">
        <v>7804</v>
      </c>
      <c r="P127" s="859">
        <v>9586</v>
      </c>
      <c r="Q127" s="859">
        <v>5705</v>
      </c>
    </row>
    <row r="128" spans="2:18">
      <c r="B128" t="s">
        <v>640</v>
      </c>
      <c r="C128" s="584"/>
      <c r="G128" s="859">
        <v>-4644</v>
      </c>
      <c r="H128" s="859">
        <v>-5622</v>
      </c>
      <c r="I128" s="23">
        <v>-6395</v>
      </c>
      <c r="J128" s="23">
        <v>-6816</v>
      </c>
      <c r="K128" s="23">
        <v>-8533</v>
      </c>
      <c r="L128" s="859">
        <v>-12944</v>
      </c>
      <c r="M128" s="859">
        <v>-13365</v>
      </c>
      <c r="N128" s="859">
        <v>-8597</v>
      </c>
      <c r="O128" s="859">
        <v>-6800</v>
      </c>
      <c r="P128" s="859">
        <v>-5082</v>
      </c>
      <c r="Q128" s="859">
        <v>-6615</v>
      </c>
    </row>
    <row r="129" spans="2:17">
      <c r="B129" t="s">
        <v>641</v>
      </c>
      <c r="C129" s="584"/>
      <c r="G129" s="859">
        <v>-1753</v>
      </c>
      <c r="H129" s="23">
        <v>101</v>
      </c>
      <c r="I129" s="23">
        <v>26</v>
      </c>
      <c r="J129" s="23">
        <v>620</v>
      </c>
      <c r="K129" s="859">
        <v>1341</v>
      </c>
      <c r="L129" s="859">
        <v>-2597</v>
      </c>
      <c r="M129" s="23">
        <v>-853</v>
      </c>
      <c r="N129" s="23">
        <v>-40</v>
      </c>
      <c r="O129" s="23">
        <v>217</v>
      </c>
      <c r="P129" s="23">
        <v>-7</v>
      </c>
      <c r="Q129" s="23">
        <v>30</v>
      </c>
    </row>
    <row r="130" spans="2:17">
      <c r="B130" t="s">
        <v>642</v>
      </c>
      <c r="C130" s="584"/>
      <c r="G130" s="859">
        <v>-13679</v>
      </c>
      <c r="H130" s="859">
        <v>-4609</v>
      </c>
      <c r="I130" s="23">
        <v>-3502</v>
      </c>
      <c r="J130" s="23">
        <v>-4340</v>
      </c>
      <c r="K130" s="23">
        <v>-4443</v>
      </c>
      <c r="L130" s="859">
        <v>-1361</v>
      </c>
    </row>
    <row r="131" spans="2:17">
      <c r="B131" t="s">
        <v>643</v>
      </c>
      <c r="C131" s="584"/>
      <c r="G131" s="23">
        <v>709</v>
      </c>
      <c r="H131" s="23">
        <v>322</v>
      </c>
      <c r="I131" s="23">
        <v>-126</v>
      </c>
      <c r="J131" s="23">
        <v>-193</v>
      </c>
      <c r="K131" s="23">
        <v>-171</v>
      </c>
      <c r="L131" s="23">
        <v>-272</v>
      </c>
      <c r="M131" s="23">
        <v>-302</v>
      </c>
      <c r="N131" s="23">
        <v>-319</v>
      </c>
      <c r="O131" s="23">
        <v>-407</v>
      </c>
      <c r="P131" s="23">
        <v>-402</v>
      </c>
      <c r="Q131" s="23">
        <v>-651</v>
      </c>
    </row>
    <row r="132" spans="2:17">
      <c r="C132" s="584"/>
    </row>
    <row r="133" spans="2:17">
      <c r="C133" s="584"/>
    </row>
    <row r="134" spans="2:17">
      <c r="B134" s="1" t="s">
        <v>644</v>
      </c>
      <c r="C134" s="584"/>
      <c r="G134" s="859">
        <f>G135+G136</f>
        <v>11996</v>
      </c>
      <c r="H134" s="859">
        <f t="shared" ref="H134:Q134" si="75">H135+H136</f>
        <v>9534</v>
      </c>
      <c r="I134" s="859">
        <f t="shared" si="75"/>
        <v>10239</v>
      </c>
      <c r="J134" s="859">
        <f t="shared" si="75"/>
        <v>9909</v>
      </c>
      <c r="K134" s="859">
        <f t="shared" si="75"/>
        <v>8175</v>
      </c>
      <c r="L134" s="859">
        <f t="shared" si="75"/>
        <v>9603</v>
      </c>
      <c r="M134" s="859">
        <f t="shared" si="75"/>
        <v>7846</v>
      </c>
      <c r="N134" s="859">
        <f t="shared" si="75"/>
        <v>7756</v>
      </c>
      <c r="O134" s="859">
        <f t="shared" si="75"/>
        <v>7358</v>
      </c>
      <c r="P134" s="859">
        <f t="shared" si="75"/>
        <v>7854</v>
      </c>
      <c r="Q134" s="859">
        <f t="shared" si="75"/>
        <v>7751</v>
      </c>
    </row>
    <row r="135" spans="2:17">
      <c r="B135" t="s">
        <v>645</v>
      </c>
      <c r="C135" s="584"/>
      <c r="G135" s="859">
        <v>9090</v>
      </c>
      <c r="H135" s="859">
        <v>8333</v>
      </c>
      <c r="I135" s="859">
        <v>9182</v>
      </c>
      <c r="J135" s="859">
        <v>8928</v>
      </c>
      <c r="K135" s="859">
        <v>7432</v>
      </c>
      <c r="L135" s="859">
        <v>7870</v>
      </c>
      <c r="M135" s="859">
        <v>7132</v>
      </c>
      <c r="N135" s="859">
        <v>6754</v>
      </c>
      <c r="O135" s="859">
        <v>6541</v>
      </c>
      <c r="P135" s="859">
        <v>7214</v>
      </c>
      <c r="Q135" s="859">
        <v>6804</v>
      </c>
    </row>
    <row r="136" spans="2:17">
      <c r="B136" t="s">
        <v>646</v>
      </c>
      <c r="C136" s="584"/>
      <c r="G136" s="859">
        <v>2906</v>
      </c>
      <c r="H136" s="859">
        <v>1201</v>
      </c>
      <c r="I136" s="859">
        <v>1057</v>
      </c>
      <c r="J136" s="23">
        <v>981</v>
      </c>
      <c r="K136" s="23">
        <v>743</v>
      </c>
      <c r="L136" s="859">
        <v>1733</v>
      </c>
      <c r="M136" s="23">
        <v>714</v>
      </c>
      <c r="N136" s="23">
        <v>1002</v>
      </c>
      <c r="O136" s="23">
        <v>817</v>
      </c>
      <c r="P136" s="23">
        <v>640</v>
      </c>
      <c r="Q136" s="23">
        <v>947</v>
      </c>
    </row>
    <row r="137" spans="2:17">
      <c r="C137" s="584"/>
    </row>
    <row r="138" spans="2:17">
      <c r="B138" s="1" t="s">
        <v>647</v>
      </c>
      <c r="C138" s="584"/>
      <c r="G138" s="859">
        <f>SUM(G139:G143)</f>
        <v>25464</v>
      </c>
      <c r="H138" s="859">
        <f t="shared" ref="H138:Q138" si="76">SUM(H139:H143)</f>
        <v>21756</v>
      </c>
      <c r="I138" s="859">
        <f t="shared" si="76"/>
        <v>21864</v>
      </c>
      <c r="J138" s="859">
        <f t="shared" si="76"/>
        <v>23974</v>
      </c>
      <c r="K138" s="859">
        <f t="shared" si="76"/>
        <v>24092</v>
      </c>
      <c r="L138" s="859">
        <f t="shared" si="76"/>
        <v>25305</v>
      </c>
      <c r="M138" s="859">
        <f t="shared" si="76"/>
        <v>28668</v>
      </c>
      <c r="N138" s="859">
        <f t="shared" si="76"/>
        <v>25392</v>
      </c>
      <c r="O138" s="859">
        <f t="shared" si="76"/>
        <v>22781</v>
      </c>
      <c r="P138" s="859">
        <f t="shared" si="76"/>
        <v>22396</v>
      </c>
      <c r="Q138" s="859">
        <f t="shared" si="76"/>
        <v>22398</v>
      </c>
    </row>
    <row r="139" spans="2:17">
      <c r="B139" t="s">
        <v>648</v>
      </c>
      <c r="C139" s="584"/>
      <c r="G139" s="859">
        <v>11109</v>
      </c>
      <c r="H139" s="859">
        <v>10013</v>
      </c>
      <c r="I139" s="859">
        <v>9021</v>
      </c>
      <c r="J139" s="859">
        <v>9550</v>
      </c>
      <c r="K139" s="859">
        <v>9148</v>
      </c>
      <c r="L139" s="859">
        <v>8712</v>
      </c>
      <c r="M139" s="859">
        <v>7086</v>
      </c>
      <c r="N139" s="859">
        <v>5425</v>
      </c>
      <c r="O139" s="859">
        <v>5806</v>
      </c>
      <c r="P139" s="859">
        <v>5766</v>
      </c>
      <c r="Q139" s="859">
        <v>5353</v>
      </c>
    </row>
    <row r="140" spans="2:17">
      <c r="B140" t="s">
        <v>649</v>
      </c>
      <c r="C140" s="584"/>
      <c r="G140" s="859">
        <v>2160</v>
      </c>
      <c r="H140" s="859">
        <v>1734</v>
      </c>
      <c r="I140" s="859">
        <v>3034</v>
      </c>
      <c r="J140" s="859">
        <v>4643</v>
      </c>
      <c r="K140" s="859">
        <v>4666</v>
      </c>
      <c r="L140" s="859">
        <v>6865</v>
      </c>
      <c r="M140" s="859">
        <v>7610</v>
      </c>
      <c r="N140" s="859">
        <v>9850</v>
      </c>
      <c r="O140" s="859">
        <v>8236</v>
      </c>
      <c r="P140" s="859">
        <v>7506</v>
      </c>
      <c r="Q140" s="859">
        <v>7492</v>
      </c>
    </row>
    <row r="141" spans="2:17">
      <c r="B141" t="s">
        <v>650</v>
      </c>
      <c r="C141" s="584"/>
      <c r="J141" s="859">
        <v>2136</v>
      </c>
      <c r="K141" s="859">
        <v>2676</v>
      </c>
      <c r="L141" s="859">
        <v>2472</v>
      </c>
      <c r="M141" s="859">
        <v>2449</v>
      </c>
      <c r="N141" s="23">
        <v>924</v>
      </c>
      <c r="O141" s="23">
        <v>866</v>
      </c>
      <c r="P141" s="23">
        <v>842</v>
      </c>
      <c r="Q141" s="23">
        <v>788</v>
      </c>
    </row>
    <row r="142" spans="2:17">
      <c r="B142" t="s">
        <v>651</v>
      </c>
      <c r="C142" s="584"/>
      <c r="G142" s="859">
        <v>6675</v>
      </c>
      <c r="H142" s="859">
        <v>4822</v>
      </c>
      <c r="I142" s="859">
        <v>5224</v>
      </c>
      <c r="J142" s="859">
        <v>4862</v>
      </c>
      <c r="K142" s="859">
        <v>5216</v>
      </c>
      <c r="L142" s="859">
        <v>5182</v>
      </c>
      <c r="M142" s="859">
        <v>9241</v>
      </c>
      <c r="N142" s="859">
        <v>7370</v>
      </c>
      <c r="O142" s="859">
        <v>6256</v>
      </c>
      <c r="P142" s="859">
        <v>6656</v>
      </c>
      <c r="Q142" s="859">
        <v>6978</v>
      </c>
    </row>
    <row r="143" spans="2:17">
      <c r="B143" t="s">
        <v>652</v>
      </c>
      <c r="C143" s="584"/>
      <c r="G143" s="859">
        <v>5520</v>
      </c>
      <c r="H143" s="859">
        <v>5187</v>
      </c>
      <c r="I143" s="859">
        <v>4585</v>
      </c>
      <c r="J143" s="859">
        <v>2783</v>
      </c>
      <c r="K143" s="859">
        <v>2386</v>
      </c>
      <c r="L143" s="859">
        <v>2074</v>
      </c>
      <c r="M143" s="859">
        <v>2282</v>
      </c>
      <c r="N143" s="859">
        <v>1823</v>
      </c>
      <c r="O143" s="859">
        <v>1617</v>
      </c>
      <c r="P143" s="859">
        <v>1626</v>
      </c>
      <c r="Q143" s="859">
        <v>1787</v>
      </c>
    </row>
    <row r="144" spans="2:17">
      <c r="B144" s="1" t="s">
        <v>653</v>
      </c>
      <c r="C144" s="584"/>
      <c r="G144" s="859">
        <f>G138+G39+G42+G43</f>
        <v>69895</v>
      </c>
      <c r="H144" s="859">
        <f t="shared" ref="H144:Q144" si="77">H138+H39+H42+H43</f>
        <v>67991</v>
      </c>
      <c r="I144" s="859">
        <f t="shared" si="77"/>
        <v>73581</v>
      </c>
      <c r="J144" s="859">
        <f t="shared" si="77"/>
        <v>75620</v>
      </c>
      <c r="K144" s="859">
        <f t="shared" si="77"/>
        <v>74236</v>
      </c>
      <c r="L144" s="859">
        <f t="shared" si="77"/>
        <v>113768</v>
      </c>
      <c r="M144" s="859">
        <f t="shared" si="77"/>
        <v>116807</v>
      </c>
      <c r="N144" s="859">
        <f t="shared" si="77"/>
        <v>102463</v>
      </c>
      <c r="O144" s="859">
        <f t="shared" si="77"/>
        <v>98126</v>
      </c>
      <c r="P144" s="859">
        <f t="shared" si="77"/>
        <v>102331</v>
      </c>
      <c r="Q144" s="859">
        <f t="shared" si="77"/>
        <v>102693</v>
      </c>
    </row>
    <row r="145" spans="2:17">
      <c r="C145" s="584"/>
    </row>
    <row r="146" spans="2:17">
      <c r="B146" s="1" t="s">
        <v>654</v>
      </c>
      <c r="C146" s="584"/>
      <c r="G146" s="859">
        <f>SUM(G147:G149)</f>
        <v>30685</v>
      </c>
      <c r="H146" s="859">
        <f t="shared" ref="H146:Q146" si="78">SUM(H147:H149)</f>
        <v>28374</v>
      </c>
      <c r="I146" s="859">
        <f t="shared" si="78"/>
        <v>28147</v>
      </c>
      <c r="J146" s="859">
        <f t="shared" si="78"/>
        <v>30431</v>
      </c>
      <c r="K146" s="859">
        <f t="shared" si="78"/>
        <v>24193</v>
      </c>
      <c r="L146" s="859">
        <f t="shared" si="78"/>
        <v>35519</v>
      </c>
      <c r="M146" s="859">
        <f t="shared" si="78"/>
        <v>37446</v>
      </c>
      <c r="N146" s="859">
        <f t="shared" si="78"/>
        <v>32008</v>
      </c>
      <c r="O146" s="859">
        <f t="shared" si="78"/>
        <v>25338</v>
      </c>
      <c r="P146" s="859">
        <f t="shared" si="78"/>
        <v>25816</v>
      </c>
      <c r="Q146" s="859">
        <f t="shared" si="78"/>
        <v>24102</v>
      </c>
    </row>
    <row r="147" spans="2:17">
      <c r="B147" t="s">
        <v>655</v>
      </c>
      <c r="C147" s="584"/>
      <c r="G147" s="859">
        <v>18261</v>
      </c>
      <c r="H147" s="859">
        <v>16504</v>
      </c>
      <c r="I147" s="859">
        <v>17070</v>
      </c>
      <c r="J147" s="859">
        <v>16720</v>
      </c>
      <c r="K147" s="859">
        <v>17002</v>
      </c>
      <c r="L147" s="859">
        <v>17142</v>
      </c>
      <c r="M147" s="859">
        <v>18248</v>
      </c>
      <c r="N147" s="859">
        <v>14435</v>
      </c>
      <c r="O147" s="859">
        <v>9596</v>
      </c>
      <c r="P147" s="859">
        <v>10808</v>
      </c>
      <c r="Q147" s="859">
        <v>9432</v>
      </c>
    </row>
    <row r="148" spans="2:17">
      <c r="B148" t="s">
        <v>656</v>
      </c>
      <c r="C148" s="584"/>
      <c r="G148" s="859">
        <v>3691</v>
      </c>
      <c r="H148" s="859">
        <v>3771</v>
      </c>
      <c r="I148" s="859">
        <v>3600</v>
      </c>
      <c r="J148" s="859">
        <v>3746</v>
      </c>
      <c r="K148" s="859">
        <v>3445</v>
      </c>
      <c r="L148" s="859">
        <v>3851</v>
      </c>
      <c r="M148" s="859">
        <v>4301</v>
      </c>
      <c r="N148" s="859">
        <v>3577</v>
      </c>
      <c r="O148" s="859">
        <v>3499</v>
      </c>
      <c r="P148" s="859">
        <v>3533</v>
      </c>
      <c r="Q148" s="859">
        <v>3622</v>
      </c>
    </row>
    <row r="149" spans="2:17">
      <c r="B149" t="s">
        <v>657</v>
      </c>
      <c r="C149" s="584"/>
      <c r="G149" s="859">
        <v>8733</v>
      </c>
      <c r="H149" s="859">
        <v>8099</v>
      </c>
      <c r="I149" s="859">
        <v>7477</v>
      </c>
      <c r="J149" s="859">
        <v>9965</v>
      </c>
      <c r="K149" s="859">
        <v>3746</v>
      </c>
      <c r="L149" s="859">
        <v>14526</v>
      </c>
      <c r="M149" s="859">
        <v>14897</v>
      </c>
      <c r="N149" s="859">
        <v>13996</v>
      </c>
      <c r="O149" s="859">
        <v>12243</v>
      </c>
      <c r="P149" s="859">
        <v>11475</v>
      </c>
      <c r="Q149" s="859">
        <v>11048</v>
      </c>
    </row>
    <row r="150" spans="2:17">
      <c r="B150" s="1" t="s">
        <v>658</v>
      </c>
      <c r="C150" s="584"/>
      <c r="G150" s="859">
        <f>G146+G55</f>
        <v>65676</v>
      </c>
      <c r="H150" s="859">
        <f t="shared" ref="H150:Q150" si="79">H146+H55</f>
        <v>61802</v>
      </c>
      <c r="I150" s="859">
        <f t="shared" si="79"/>
        <v>62802</v>
      </c>
      <c r="J150" s="859">
        <f t="shared" si="79"/>
        <v>70268</v>
      </c>
      <c r="K150" s="859">
        <f t="shared" si="79"/>
        <v>59798</v>
      </c>
      <c r="L150" s="859">
        <f t="shared" si="79"/>
        <v>93753</v>
      </c>
      <c r="M150" s="859">
        <f t="shared" si="79"/>
        <v>95122</v>
      </c>
      <c r="N150" s="859">
        <f t="shared" si="79"/>
        <v>79387</v>
      </c>
      <c r="O150" s="859">
        <f t="shared" si="79"/>
        <v>73717</v>
      </c>
      <c r="P150" s="859">
        <f t="shared" si="79"/>
        <v>78505</v>
      </c>
      <c r="Q150" s="859">
        <f t="shared" si="79"/>
        <v>76641</v>
      </c>
    </row>
    <row r="151" spans="2:17">
      <c r="C151" s="584"/>
    </row>
    <row r="152" spans="2:17">
      <c r="B152" t="s">
        <v>659</v>
      </c>
      <c r="C152" s="584"/>
      <c r="G152" s="23">
        <v>-742</v>
      </c>
      <c r="H152" s="23">
        <v>-682</v>
      </c>
      <c r="I152" s="859">
        <v>-1631</v>
      </c>
      <c r="J152" s="859">
        <v>-1466</v>
      </c>
      <c r="K152" s="859">
        <v>-1026</v>
      </c>
      <c r="L152" s="23">
        <v>-639</v>
      </c>
      <c r="M152" s="23">
        <v>-620</v>
      </c>
      <c r="N152" s="23">
        <v>-612</v>
      </c>
      <c r="O152" s="23">
        <v>-663</v>
      </c>
      <c r="P152" s="23">
        <v>-860</v>
      </c>
      <c r="Q152" s="23">
        <v>-996</v>
      </c>
    </row>
    <row r="153" spans="2:17">
      <c r="C153" s="584"/>
      <c r="G153" s="859"/>
      <c r="K153" s="859"/>
      <c r="L153" s="859"/>
      <c r="O153" s="859"/>
      <c r="Q153" s="859"/>
    </row>
    <row r="154" spans="2:17">
      <c r="C154" s="584"/>
    </row>
    <row r="155" spans="2:17">
      <c r="B155" t="s">
        <v>471</v>
      </c>
      <c r="C155" s="584"/>
      <c r="G155" s="23">
        <v>-599</v>
      </c>
      <c r="H155" s="23">
        <v>414</v>
      </c>
      <c r="I155" s="23">
        <v>-116</v>
      </c>
      <c r="J155" s="23">
        <v>405</v>
      </c>
      <c r="K155" s="23">
        <v>-427</v>
      </c>
      <c r="L155" s="23">
        <v>-279</v>
      </c>
      <c r="M155" s="23">
        <v>114</v>
      </c>
      <c r="N155" s="23">
        <v>-204</v>
      </c>
      <c r="O155" s="23">
        <v>-643</v>
      </c>
      <c r="P155" s="23">
        <v>116</v>
      </c>
      <c r="Q155" s="23">
        <v>-458</v>
      </c>
    </row>
    <row r="156" spans="2:17">
      <c r="B156" t="s">
        <v>660</v>
      </c>
      <c r="C156" s="584"/>
      <c r="G156" s="859">
        <v>-1938</v>
      </c>
      <c r="H156" s="23">
        <v>-724</v>
      </c>
      <c r="I156" s="23">
        <v>593</v>
      </c>
      <c r="J156" s="23">
        <v>1125</v>
      </c>
      <c r="K156" s="859">
        <v>1152</v>
      </c>
      <c r="L156" s="859">
        <v>-968</v>
      </c>
      <c r="M156" s="23">
        <v>861</v>
      </c>
      <c r="N156" s="23">
        <v>873</v>
      </c>
      <c r="O156" s="859">
        <v>5803</v>
      </c>
      <c r="P156" s="23">
        <v>-914</v>
      </c>
      <c r="Q156" s="859">
        <v>1871</v>
      </c>
    </row>
    <row r="157" spans="2:17">
      <c r="C157" s="584"/>
    </row>
    <row r="158" spans="2:17">
      <c r="C158" s="584"/>
    </row>
    <row r="159" spans="2:17">
      <c r="B159" s="1" t="s">
        <v>609</v>
      </c>
      <c r="C159" s="584"/>
      <c r="H159" s="23">
        <v>2025</v>
      </c>
      <c r="I159" s="23">
        <v>2026</v>
      </c>
      <c r="J159" s="23">
        <v>2027</v>
      </c>
      <c r="K159" s="23">
        <v>2028</v>
      </c>
      <c r="L159" s="23">
        <v>2029</v>
      </c>
      <c r="M159" s="23">
        <v>2030</v>
      </c>
      <c r="N159" s="23">
        <v>2031</v>
      </c>
      <c r="O159" s="23">
        <v>2032</v>
      </c>
      <c r="P159" s="23">
        <v>2033</v>
      </c>
      <c r="Q159" s="23" t="s">
        <v>661</v>
      </c>
    </row>
    <row r="160" spans="2:17">
      <c r="B160" t="s">
        <v>662</v>
      </c>
      <c r="C160" s="584"/>
      <c r="H160" s="859">
        <v>1601</v>
      </c>
      <c r="I160" s="859">
        <v>5800</v>
      </c>
      <c r="J160" s="859">
        <v>4119</v>
      </c>
      <c r="K160" s="859">
        <v>1313</v>
      </c>
      <c r="L160" s="859">
        <v>3750</v>
      </c>
      <c r="M160" s="859">
        <v>1350</v>
      </c>
      <c r="N160" s="23">
        <v>500</v>
      </c>
      <c r="O160" s="859">
        <v>1850</v>
      </c>
      <c r="P160" s="23">
        <v>750</v>
      </c>
      <c r="Q160" s="859">
        <f>35813-SUM(H160:P160)</f>
        <v>14780</v>
      </c>
    </row>
    <row r="161" spans="2:18">
      <c r="B161" t="s">
        <v>663</v>
      </c>
      <c r="C161" s="584"/>
      <c r="H161" s="859">
        <v>3106</v>
      </c>
      <c r="J161" s="859">
        <v>2071</v>
      </c>
      <c r="K161" s="859">
        <v>1863</v>
      </c>
      <c r="L161" s="859">
        <v>1035</v>
      </c>
      <c r="M161" s="859">
        <v>1035</v>
      </c>
      <c r="N161" s="859">
        <v>2588</v>
      </c>
      <c r="O161" s="859">
        <v>1656</v>
      </c>
      <c r="Q161" s="859">
        <f>17340-SUM(H161:P161)</f>
        <v>3986</v>
      </c>
    </row>
    <row r="162" spans="2:18">
      <c r="B162" t="s">
        <v>664</v>
      </c>
      <c r="C162" s="584"/>
      <c r="Q162" s="23">
        <v>939</v>
      </c>
    </row>
    <row r="163" spans="2:18">
      <c r="B163" t="s">
        <v>665</v>
      </c>
      <c r="C163" s="584"/>
      <c r="I163" s="861">
        <f>808/3</f>
        <v>269.33333333333331</v>
      </c>
      <c r="J163" s="861">
        <f t="shared" ref="J163:K163" si="80">808/3</f>
        <v>269.33333333333331</v>
      </c>
      <c r="K163" s="861">
        <f t="shared" si="80"/>
        <v>269.33333333333331</v>
      </c>
    </row>
    <row r="164" spans="2:18">
      <c r="B164" t="s">
        <v>344</v>
      </c>
      <c r="C164" s="584"/>
      <c r="H164" s="861">
        <f>212/3</f>
        <v>70.666666666666671</v>
      </c>
      <c r="I164" s="861">
        <f t="shared" ref="I164:J164" si="81">212/3</f>
        <v>70.666666666666671</v>
      </c>
      <c r="J164" s="861">
        <f t="shared" si="81"/>
        <v>70.666666666666671</v>
      </c>
    </row>
    <row r="165" spans="2:18">
      <c r="B165" s="1" t="s">
        <v>666</v>
      </c>
      <c r="C165" s="584"/>
      <c r="H165" s="859">
        <f>SUM(H160:H164)</f>
        <v>4777.666666666667</v>
      </c>
      <c r="I165" s="859">
        <f t="shared" ref="I165:Q165" si="82">SUM(I160:I164)</f>
        <v>6140</v>
      </c>
      <c r="J165" s="859">
        <f t="shared" si="82"/>
        <v>6530</v>
      </c>
      <c r="K165" s="859">
        <f t="shared" si="82"/>
        <v>3445.3333333333335</v>
      </c>
      <c r="L165" s="859">
        <f t="shared" si="82"/>
        <v>4785</v>
      </c>
      <c r="M165" s="859">
        <f t="shared" si="82"/>
        <v>2385</v>
      </c>
      <c r="N165" s="859">
        <f t="shared" si="82"/>
        <v>3088</v>
      </c>
      <c r="O165" s="859">
        <f t="shared" si="82"/>
        <v>3506</v>
      </c>
      <c r="P165" s="859">
        <f t="shared" si="82"/>
        <v>750</v>
      </c>
      <c r="Q165" s="859">
        <f t="shared" si="82"/>
        <v>19705</v>
      </c>
    </row>
    <row r="166" spans="2:18">
      <c r="C166" s="584"/>
    </row>
    <row r="167" spans="2:18">
      <c r="B167" t="s">
        <v>667</v>
      </c>
      <c r="C167" s="584"/>
      <c r="G167" s="859">
        <v>47712</v>
      </c>
      <c r="H167" s="861">
        <f>H169*G167/G169</f>
        <v>4291.4610778443111</v>
      </c>
      <c r="I167" s="861">
        <f t="shared" ref="I167:Q167" si="83">I169*H167/H169</f>
        <v>5358.5868263473049</v>
      </c>
      <c r="J167" s="861">
        <f t="shared" si="83"/>
        <v>5405.3532934131727</v>
      </c>
      <c r="K167" s="861">
        <f t="shared" si="83"/>
        <v>3284.7065868263467</v>
      </c>
      <c r="L167" s="861">
        <f t="shared" si="83"/>
        <v>4188.5748502994002</v>
      </c>
      <c r="M167" s="861">
        <f t="shared" si="83"/>
        <v>5036.4934131736518</v>
      </c>
      <c r="N167" s="861">
        <f t="shared" si="83"/>
        <v>5036.4934131736518</v>
      </c>
      <c r="O167" s="861">
        <f t="shared" si="83"/>
        <v>5036.4934131736518</v>
      </c>
      <c r="P167" s="861">
        <f t="shared" si="83"/>
        <v>5036.4934131736518</v>
      </c>
      <c r="Q167" s="861">
        <f t="shared" si="83"/>
        <v>5036.4934131736518</v>
      </c>
    </row>
    <row r="168" spans="2:18">
      <c r="B168" t="s">
        <v>668</v>
      </c>
      <c r="C168" s="584"/>
      <c r="G168" s="859">
        <v>7231</v>
      </c>
      <c r="H168" s="861">
        <f>H169*G168/G169</f>
        <v>650.39308882235525</v>
      </c>
      <c r="I168" s="861">
        <f t="shared" ref="I168:Q168" si="84">I169*H168/H169</f>
        <v>812.12150698602784</v>
      </c>
      <c r="J168" s="861">
        <f t="shared" si="84"/>
        <v>819.20920658682621</v>
      </c>
      <c r="K168" s="861">
        <f t="shared" si="84"/>
        <v>497.81424650698597</v>
      </c>
      <c r="L168" s="861">
        <f t="shared" si="84"/>
        <v>634.80014970059869</v>
      </c>
      <c r="M168" s="861">
        <f t="shared" si="84"/>
        <v>763.30658682634714</v>
      </c>
      <c r="N168" s="861">
        <f t="shared" si="84"/>
        <v>763.30658682634703</v>
      </c>
      <c r="O168" s="861">
        <f t="shared" si="84"/>
        <v>763.30658682634703</v>
      </c>
      <c r="P168" s="861">
        <f t="shared" si="84"/>
        <v>763.30658682634703</v>
      </c>
      <c r="Q168" s="861">
        <f t="shared" si="84"/>
        <v>763.30658682634703</v>
      </c>
    </row>
    <row r="169" spans="2:18">
      <c r="B169" t="s">
        <v>669</v>
      </c>
      <c r="C169" s="584"/>
      <c r="G169" s="859">
        <v>56112</v>
      </c>
      <c r="H169" s="859">
        <v>5047</v>
      </c>
      <c r="I169" s="859">
        <v>6302</v>
      </c>
      <c r="J169" s="859">
        <v>6357</v>
      </c>
      <c r="K169" s="859">
        <v>3863</v>
      </c>
      <c r="L169" s="859">
        <v>4926</v>
      </c>
      <c r="M169" s="859">
        <f>29616/5</f>
        <v>5923.2</v>
      </c>
      <c r="N169" s="859">
        <f t="shared" ref="N169:Q169" si="85">29616/5</f>
        <v>5923.2</v>
      </c>
      <c r="O169" s="859">
        <f t="shared" si="85"/>
        <v>5923.2</v>
      </c>
      <c r="P169" s="859">
        <f t="shared" si="85"/>
        <v>5923.2</v>
      </c>
      <c r="Q169" s="859">
        <f t="shared" si="85"/>
        <v>5923.2</v>
      </c>
    </row>
    <row r="170" spans="2:18">
      <c r="C170" s="584"/>
    </row>
    <row r="171" spans="2:18">
      <c r="C171" s="584"/>
    </row>
    <row r="172" spans="2:18">
      <c r="B172" s="1" t="s">
        <v>670</v>
      </c>
      <c r="C172" s="584"/>
      <c r="G172" s="21">
        <v>2014</v>
      </c>
      <c r="H172" s="21">
        <v>2015</v>
      </c>
      <c r="I172" s="21">
        <v>2016</v>
      </c>
      <c r="J172" s="21">
        <v>2017</v>
      </c>
      <c r="K172" s="21">
        <v>2018</v>
      </c>
      <c r="L172" s="21">
        <v>2019</v>
      </c>
      <c r="M172" s="21">
        <v>2020</v>
      </c>
      <c r="N172" s="21">
        <v>2021</v>
      </c>
      <c r="O172" s="21">
        <v>2022</v>
      </c>
      <c r="P172" s="21">
        <v>2023</v>
      </c>
      <c r="Q172" s="21">
        <v>2024</v>
      </c>
    </row>
    <row r="173" spans="2:18">
      <c r="B173" t="s">
        <v>671</v>
      </c>
      <c r="C173" s="584"/>
      <c r="H173" s="229">
        <f>H45-G45</f>
        <v>383</v>
      </c>
      <c r="I173" s="229">
        <f t="shared" ref="I173:Q173" si="86">I45-H45</f>
        <v>1201</v>
      </c>
      <c r="J173" s="229">
        <f t="shared" si="86"/>
        <v>-946</v>
      </c>
      <c r="K173" s="229">
        <f t="shared" si="86"/>
        <v>-655</v>
      </c>
      <c r="L173" s="229">
        <f t="shared" si="86"/>
        <v>12148</v>
      </c>
      <c r="M173" s="229">
        <f t="shared" si="86"/>
        <v>-1439</v>
      </c>
      <c r="N173" s="229">
        <f t="shared" si="86"/>
        <v>-1285</v>
      </c>
      <c r="O173" s="229">
        <f t="shared" si="86"/>
        <v>-1327</v>
      </c>
      <c r="P173" s="229">
        <f t="shared" si="86"/>
        <v>-148</v>
      </c>
      <c r="Q173" s="229">
        <f t="shared" si="86"/>
        <v>-376</v>
      </c>
      <c r="R173" s="863">
        <f>-2365+3000-300</f>
        <v>335</v>
      </c>
    </row>
    <row r="174" spans="2:18">
      <c r="B174" t="s">
        <v>672</v>
      </c>
      <c r="C174" s="584"/>
      <c r="H174" s="229">
        <f>H173+H15</f>
        <v>1576</v>
      </c>
      <c r="I174" s="229">
        <f t="shared" ref="I174:Q174" si="87">I173+I15</f>
        <v>2745</v>
      </c>
      <c r="J174" s="229">
        <f t="shared" si="87"/>
        <v>574</v>
      </c>
      <c r="K174" s="229">
        <f t="shared" si="87"/>
        <v>698</v>
      </c>
      <c r="L174" s="229">
        <f t="shared" si="87"/>
        <v>13998</v>
      </c>
      <c r="M174" s="229">
        <f t="shared" si="87"/>
        <v>1029</v>
      </c>
      <c r="N174" s="229">
        <f t="shared" si="87"/>
        <v>1244</v>
      </c>
      <c r="O174" s="229">
        <f t="shared" si="87"/>
        <v>1068</v>
      </c>
      <c r="P174" s="229">
        <f t="shared" si="87"/>
        <v>2139</v>
      </c>
      <c r="Q174" s="229">
        <f t="shared" si="87"/>
        <v>2123</v>
      </c>
      <c r="R174" s="863"/>
    </row>
    <row r="175" spans="2:18">
      <c r="B175" t="s">
        <v>673</v>
      </c>
      <c r="C175" s="584"/>
      <c r="H175" s="877">
        <v>3555</v>
      </c>
      <c r="I175" s="877">
        <v>5899</v>
      </c>
      <c r="J175" s="877">
        <v>134</v>
      </c>
      <c r="K175" s="877">
        <v>49</v>
      </c>
      <c r="L175" s="877">
        <v>35000</v>
      </c>
      <c r="M175" s="877">
        <v>723</v>
      </c>
      <c r="N175" s="877">
        <v>3342</v>
      </c>
      <c r="O175" s="877">
        <v>2650</v>
      </c>
      <c r="P175" s="877">
        <v>5197</v>
      </c>
      <c r="Q175" s="877">
        <v>3515</v>
      </c>
      <c r="R175" s="863"/>
    </row>
    <row r="176" spans="2:18">
      <c r="B176" t="s">
        <v>674</v>
      </c>
      <c r="C176" s="584"/>
      <c r="H176" s="848">
        <f>H175/H6</f>
        <v>4.3491026535031382E-2</v>
      </c>
      <c r="I176" s="848">
        <f t="shared" ref="I176:Q176" si="88">I175/I6</f>
        <v>7.3812234887823916E-2</v>
      </c>
      <c r="J176" s="848">
        <f t="shared" si="88"/>
        <v>1.6932233159377803E-3</v>
      </c>
      <c r="K176" s="848">
        <f t="shared" si="88"/>
        <v>6.1564749783266949E-4</v>
      </c>
      <c r="L176" s="848">
        <f t="shared" si="88"/>
        <v>0.45367933944288175</v>
      </c>
      <c r="M176" s="848">
        <f t="shared" si="88"/>
        <v>1.3102810851954548E-2</v>
      </c>
      <c r="N176" s="848">
        <f t="shared" si="88"/>
        <v>5.8273757628596337E-2</v>
      </c>
      <c r="O176" s="848">
        <f t="shared" si="88"/>
        <v>4.3779943829506028E-2</v>
      </c>
      <c r="P176" s="848">
        <f t="shared" si="88"/>
        <v>8.4012285806660203E-2</v>
      </c>
      <c r="Q176" s="848">
        <f t="shared" si="88"/>
        <v>5.601325833027903E-2</v>
      </c>
      <c r="R176" s="75">
        <f>AVERAGE(M176:Q176)</f>
        <v>5.1036411289399231E-2</v>
      </c>
    </row>
    <row r="177" spans="2:18">
      <c r="C177" s="584"/>
      <c r="H177" s="848"/>
      <c r="I177" s="848"/>
      <c r="J177" s="848"/>
      <c r="K177" s="848"/>
      <c r="L177" s="848"/>
      <c r="M177" s="848"/>
      <c r="N177" s="848"/>
      <c r="O177" s="848"/>
      <c r="P177" s="848"/>
      <c r="Q177" s="848"/>
      <c r="R177" s="75"/>
    </row>
    <row r="178" spans="2:18">
      <c r="C178" s="584"/>
      <c r="H178" s="21">
        <v>2025</v>
      </c>
      <c r="I178" s="21">
        <v>2026</v>
      </c>
      <c r="J178" s="21">
        <v>2027</v>
      </c>
      <c r="K178" s="21">
        <v>2028</v>
      </c>
      <c r="L178" s="21">
        <v>2029</v>
      </c>
      <c r="M178" s="21">
        <v>2030</v>
      </c>
      <c r="N178" s="21">
        <v>2031</v>
      </c>
      <c r="O178" s="21">
        <v>2032</v>
      </c>
      <c r="P178" s="21">
        <v>2033</v>
      </c>
      <c r="Q178" s="21">
        <v>2034</v>
      </c>
      <c r="R178" s="863"/>
    </row>
    <row r="179" spans="2:18">
      <c r="B179" t="s">
        <v>675</v>
      </c>
      <c r="C179" s="584"/>
      <c r="H179" s="876">
        <v>7100</v>
      </c>
      <c r="I179" s="876">
        <f>DCF!I31*AVERAGE(N176,O176,P176,Q176,H180)</f>
        <v>4817.2374740368205</v>
      </c>
      <c r="J179" s="876">
        <f>DCF!J31*AVERAGE(O176,P176,Q176,H180,I180)</f>
        <v>5212.3349471079337</v>
      </c>
      <c r="K179" s="876">
        <f>DCF!K31*AVERAGE(P176,Q176,H180,I180,J180)</f>
        <v>6016.8331721887844</v>
      </c>
      <c r="L179" s="876">
        <f>DCF!L31*AVERAGE(Q176,H180,I180,J180,K180)</f>
        <v>6291.4234640773066</v>
      </c>
      <c r="M179" s="876">
        <f>DCF!M31*AVERAGE(H180:L180)</f>
        <v>7033.6513833901627</v>
      </c>
      <c r="N179" s="876">
        <f>DCF!N31*AVERAGE(I180:M180)</f>
        <v>7042.7453011252219</v>
      </c>
      <c r="O179" s="876">
        <f>DCF!O31*AVERAGE(J180:N180)</f>
        <v>7580.0894229872656</v>
      </c>
      <c r="P179" s="876">
        <f>DCF!P31*AVERAGE(K180:O180)</f>
        <v>8082.2761612843897</v>
      </c>
      <c r="Q179" s="876">
        <f>DCF!Q31*AVERAGE(L180:P180)</f>
        <v>8577.7923553571782</v>
      </c>
      <c r="R179" s="863"/>
    </row>
    <row r="180" spans="2:18">
      <c r="B180" t="s">
        <v>676</v>
      </c>
      <c r="C180" s="584"/>
      <c r="H180" s="878">
        <f>H179/DCF!H31</f>
        <v>0.10768603005756669</v>
      </c>
      <c r="I180" s="878">
        <f>I179/DCF!I31</f>
        <v>6.9953055130521663E-2</v>
      </c>
      <c r="J180" s="878">
        <f>J179/DCF!J31</f>
        <v>7.2288914630906725E-2</v>
      </c>
      <c r="K180" s="878">
        <f>K179/DCF!K31</f>
        <v>7.7990708791186858E-2</v>
      </c>
      <c r="L180" s="878">
        <f>L179/DCF!L31</f>
        <v>7.6786393388092192E-2</v>
      </c>
      <c r="M180" s="878">
        <f>M179/DCF!M31</f>
        <v>8.0941020399654812E-2</v>
      </c>
      <c r="N180" s="878">
        <f>N179/DCF!N31</f>
        <v>7.5592018468072439E-2</v>
      </c>
      <c r="O180" s="878">
        <f>O179/DCF!O31</f>
        <v>7.67198111355826E-2</v>
      </c>
      <c r="P180" s="878">
        <f>P179/DCF!P31</f>
        <v>7.7605990436517766E-2</v>
      </c>
      <c r="Q180" s="878">
        <f>Q179/DCF!Q31</f>
        <v>7.7529046765583975E-2</v>
      </c>
      <c r="R180" s="75">
        <f>AVERAGE(O180:Q180)</f>
        <v>7.7284949445894771E-2</v>
      </c>
    </row>
    <row r="181" spans="2:18">
      <c r="C181" s="584"/>
      <c r="H181" s="848"/>
      <c r="I181" s="848"/>
      <c r="J181" s="848"/>
      <c r="K181" s="848"/>
      <c r="L181" s="848"/>
      <c r="M181" s="848"/>
      <c r="N181" s="848"/>
      <c r="O181" s="848"/>
      <c r="P181" s="848"/>
      <c r="Q181" s="848"/>
      <c r="R181" s="863"/>
    </row>
    <row r="182" spans="2:18">
      <c r="B182" t="s">
        <v>677</v>
      </c>
      <c r="C182" s="584"/>
      <c r="H182" s="848">
        <f>H174/H175</f>
        <v>0.44331926863572435</v>
      </c>
      <c r="I182" s="848">
        <f t="shared" ref="I182:Q182" si="89">I174/I175</f>
        <v>0.4653331073063231</v>
      </c>
      <c r="J182" s="848">
        <f t="shared" si="89"/>
        <v>4.2835820895522385</v>
      </c>
      <c r="K182" s="848">
        <f t="shared" si="89"/>
        <v>14.244897959183673</v>
      </c>
      <c r="L182" s="848">
        <f t="shared" si="89"/>
        <v>0.39994285714285716</v>
      </c>
      <c r="M182" s="848">
        <f t="shared" si="89"/>
        <v>1.4232365145228216</v>
      </c>
      <c r="N182" s="848">
        <f t="shared" si="89"/>
        <v>0.37223219628964693</v>
      </c>
      <c r="O182" s="848">
        <f t="shared" si="89"/>
        <v>0.40301886792452829</v>
      </c>
      <c r="P182" s="848">
        <f t="shared" si="89"/>
        <v>0.41158360592649607</v>
      </c>
      <c r="Q182" s="848">
        <f t="shared" si="89"/>
        <v>0.60398293029871974</v>
      </c>
      <c r="R182" s="75">
        <f>R173/DCF!H43</f>
        <v>4.234133810948925E-2</v>
      </c>
    </row>
    <row r="183" spans="2:18">
      <c r="B183" t="s">
        <v>678</v>
      </c>
      <c r="C183" s="584"/>
      <c r="H183" s="848">
        <f>H174/H10</f>
        <v>0.30036211168286642</v>
      </c>
      <c r="I183" s="848">
        <f t="shared" ref="I183:Q183" si="90">I174/I10</f>
        <v>0.47730829420970267</v>
      </c>
      <c r="J183" s="848">
        <f t="shared" si="90"/>
        <v>0.10268336314847942</v>
      </c>
      <c r="K183" s="848">
        <f t="shared" si="90"/>
        <v>0.12976389663506227</v>
      </c>
      <c r="L183" s="848">
        <f t="shared" si="90"/>
        <v>2.3372850225413258</v>
      </c>
      <c r="M183" s="848">
        <f t="shared" si="90"/>
        <v>0.16432449696582563</v>
      </c>
      <c r="N183" s="848">
        <f t="shared" si="90"/>
        <v>0.19173859432799015</v>
      </c>
      <c r="O183" s="848">
        <f t="shared" si="90"/>
        <v>0.1626313385107355</v>
      </c>
      <c r="P183" s="848">
        <f t="shared" si="90"/>
        <v>0.31571955719557193</v>
      </c>
      <c r="Q183" s="848">
        <f t="shared" si="90"/>
        <v>0.28386147880732721</v>
      </c>
      <c r="R183" s="75"/>
    </row>
    <row r="184" spans="2:18">
      <c r="C184" s="584"/>
      <c r="H184" s="21">
        <v>2025</v>
      </c>
      <c r="I184" s="21">
        <v>2026</v>
      </c>
      <c r="J184" s="21">
        <v>2027</v>
      </c>
      <c r="K184" s="21">
        <v>2028</v>
      </c>
      <c r="L184" s="21">
        <v>2029</v>
      </c>
      <c r="M184" s="21">
        <v>2030</v>
      </c>
      <c r="N184" s="21">
        <v>2031</v>
      </c>
      <c r="O184" s="21">
        <v>2032</v>
      </c>
      <c r="P184" s="21">
        <v>2033</v>
      </c>
      <c r="Q184" s="21">
        <v>2034</v>
      </c>
    </row>
    <row r="185" spans="2:18">
      <c r="B185" t="s">
        <v>679</v>
      </c>
      <c r="C185" s="584"/>
      <c r="H185" s="864">
        <f>H179*H186</f>
        <v>3357.3187898210608</v>
      </c>
      <c r="I185" s="864">
        <f t="shared" ref="I185:Q185" si="91">I179*I186</f>
        <v>2390.0375884486066</v>
      </c>
      <c r="J185" s="864">
        <f t="shared" si="91"/>
        <v>2732.9792581163688</v>
      </c>
      <c r="K185" s="864">
        <f t="shared" si="91"/>
        <v>2995.0466831499657</v>
      </c>
      <c r="L185" s="864">
        <f t="shared" si="91"/>
        <v>3183.9842780555418</v>
      </c>
      <c r="M185" s="864">
        <f t="shared" si="91"/>
        <v>3582.9194509202707</v>
      </c>
      <c r="N185" s="864">
        <f t="shared" si="91"/>
        <v>3552.496884476097</v>
      </c>
      <c r="O185" s="864">
        <f t="shared" si="91"/>
        <v>3840.324489288249</v>
      </c>
      <c r="P185" s="864">
        <f t="shared" si="91"/>
        <v>4096.230276091529</v>
      </c>
      <c r="Q185" s="864">
        <f t="shared" si="91"/>
        <v>4339.9880572109423</v>
      </c>
    </row>
    <row r="186" spans="2:18">
      <c r="B186" t="s">
        <v>680</v>
      </c>
      <c r="C186" s="584"/>
      <c r="H186" s="848">
        <f>AVERAGE(O182:Q182)</f>
        <v>0.47286180138324801</v>
      </c>
      <c r="I186" s="848">
        <f>AVERAGE(P182,Q182,H186)</f>
        <v>0.49614277920282124</v>
      </c>
      <c r="J186" s="848">
        <f>AVERAGE(Q182,H186,I186)</f>
        <v>0.52432917029492965</v>
      </c>
      <c r="K186" s="848">
        <f>AVERAGE(H186:J186)</f>
        <v>0.49777791696033297</v>
      </c>
      <c r="L186" s="848">
        <f t="shared" ref="L186:Q186" si="92">AVERAGE(I186:K186)</f>
        <v>0.50608328881936127</v>
      </c>
      <c r="M186" s="848">
        <f t="shared" si="92"/>
        <v>0.50939679202487465</v>
      </c>
      <c r="N186" s="848">
        <f t="shared" si="92"/>
        <v>0.50441933260152305</v>
      </c>
      <c r="O186" s="848">
        <f t="shared" si="92"/>
        <v>0.50663313781525299</v>
      </c>
      <c r="P186" s="848">
        <f t="shared" si="92"/>
        <v>0.50681642081388356</v>
      </c>
      <c r="Q186" s="848">
        <f t="shared" si="92"/>
        <v>0.5059562970768865</v>
      </c>
    </row>
    <row r="187" spans="2:18">
      <c r="B187" t="s">
        <v>681</v>
      </c>
      <c r="C187" s="584"/>
      <c r="H187" s="864">
        <f>2365+SUM(H201)</f>
        <v>2578.8267094411931</v>
      </c>
      <c r="I187" s="864">
        <f>2365+SUM(H201:I201)</f>
        <v>2730.5331879057194</v>
      </c>
      <c r="J187" s="864">
        <f>2365+SUM(H201:J201)</f>
        <v>2900.9668891764004</v>
      </c>
      <c r="K187" s="864">
        <f>2365+SUM(H201:K201)</f>
        <v>3104.6312694223507</v>
      </c>
      <c r="L187" s="864">
        <f>2365+SUM(H201:L201)</f>
        <v>3324.1307893583571</v>
      </c>
      <c r="M187" s="864">
        <f>2365+SUM(H201:M201)</f>
        <v>3553.490842041022</v>
      </c>
      <c r="N187" s="864">
        <f>2365+SUM(H201:N201)</f>
        <v>3786.6582767226751</v>
      </c>
      <c r="O187" s="864">
        <f>2365+SUM(H201:O201)-H201</f>
        <v>3826.2375341918637</v>
      </c>
      <c r="P187" s="864">
        <f>2365+SUM(H201:P201)-H201-I201</f>
        <v>3945.9091306671198</v>
      </c>
      <c r="Q187" s="864">
        <f>2365+SUM(H201:Q201)-H201-I201-J201</f>
        <v>4063.0245102644249</v>
      </c>
    </row>
    <row r="188" spans="2:18">
      <c r="B188" t="s">
        <v>682</v>
      </c>
      <c r="C188" s="584"/>
      <c r="H188" s="864">
        <f>H185-H187</f>
        <v>778.49208037986773</v>
      </c>
      <c r="I188" s="864">
        <f t="shared" ref="I188:Q188" si="93">I185-I187</f>
        <v>-340.4955994571128</v>
      </c>
      <c r="J188" s="864">
        <f t="shared" si="93"/>
        <v>-167.98763106003162</v>
      </c>
      <c r="K188" s="864">
        <f t="shared" si="93"/>
        <v>-109.58458627238497</v>
      </c>
      <c r="L188" s="864">
        <f t="shared" si="93"/>
        <v>-140.14651130281527</v>
      </c>
      <c r="M188" s="864">
        <f t="shared" si="93"/>
        <v>29.428608879248713</v>
      </c>
      <c r="N188" s="864">
        <f t="shared" si="93"/>
        <v>-234.16139224657809</v>
      </c>
      <c r="O188" s="864">
        <f t="shared" si="93"/>
        <v>14.086955096385282</v>
      </c>
      <c r="P188" s="864">
        <f t="shared" si="93"/>
        <v>150.32114542440922</v>
      </c>
      <c r="Q188" s="864">
        <f t="shared" si="93"/>
        <v>276.96354694651745</v>
      </c>
    </row>
    <row r="189" spans="2:18">
      <c r="C189" s="584"/>
      <c r="H189" s="864"/>
      <c r="I189" s="864"/>
      <c r="J189" s="864"/>
      <c r="K189" s="864"/>
      <c r="L189" s="864"/>
      <c r="M189" s="864"/>
      <c r="N189" s="864"/>
      <c r="O189" s="864"/>
      <c r="P189" s="864"/>
      <c r="Q189" s="864"/>
    </row>
    <row r="190" spans="2:18">
      <c r="C190" s="584"/>
    </row>
    <row r="191" spans="2:18">
      <c r="B191" t="s">
        <v>683</v>
      </c>
      <c r="C191" s="584"/>
      <c r="H191" s="848">
        <f>H80/H6</f>
        <v>-4.8702609461592099E-2</v>
      </c>
      <c r="I191" s="848">
        <f t="shared" ref="I191:Q191" si="94">I80/I6</f>
        <v>-7.8967454547729576E-2</v>
      </c>
      <c r="J191" s="848">
        <f t="shared" si="94"/>
        <v>-2.1986631117401029E-2</v>
      </c>
      <c r="K191" s="848">
        <f t="shared" si="94"/>
        <v>-8.7070146122048969E-3</v>
      </c>
      <c r="L191" s="848">
        <f t="shared" si="94"/>
        <v>-0.40553748039457138</v>
      </c>
      <c r="M191" s="848">
        <f t="shared" si="94"/>
        <v>-8.3546276663223323E-3</v>
      </c>
      <c r="N191" s="848">
        <f t="shared" si="94"/>
        <v>-6.265039232781168E-2</v>
      </c>
      <c r="O191" s="848">
        <f t="shared" si="94"/>
        <v>-3.8675037171650418E-2</v>
      </c>
      <c r="P191" s="848">
        <f t="shared" si="94"/>
        <v>-9.0236016812156483E-2</v>
      </c>
      <c r="Q191" s="848">
        <f t="shared" si="94"/>
        <v>-6.0698293308686438E-2</v>
      </c>
      <c r="R191" s="75"/>
    </row>
    <row r="192" spans="2:18">
      <c r="C192" s="584"/>
    </row>
    <row r="193" spans="2:17">
      <c r="C193" s="584"/>
      <c r="L193" s="23">
        <v>2019</v>
      </c>
      <c r="M193" s="23">
        <v>2020</v>
      </c>
      <c r="N193" s="23">
        <v>2021</v>
      </c>
      <c r="O193" s="23">
        <v>2022</v>
      </c>
      <c r="P193" s="23">
        <v>2023</v>
      </c>
      <c r="Q193" s="23">
        <v>2024</v>
      </c>
    </row>
    <row r="194" spans="2:17">
      <c r="B194" s="1" t="s">
        <v>684</v>
      </c>
      <c r="C194" s="584" t="s">
        <v>685</v>
      </c>
      <c r="G194" s="229"/>
      <c r="H194" s="229">
        <f t="shared" ref="H194:O194" si="95">H175</f>
        <v>3555</v>
      </c>
      <c r="I194" s="229">
        <f t="shared" si="95"/>
        <v>5899</v>
      </c>
      <c r="J194" s="229">
        <f t="shared" si="95"/>
        <v>134</v>
      </c>
      <c r="K194" s="229">
        <f t="shared" si="95"/>
        <v>49</v>
      </c>
      <c r="L194" s="229">
        <f t="shared" si="95"/>
        <v>35000</v>
      </c>
      <c r="M194" s="229">
        <f t="shared" si="95"/>
        <v>723</v>
      </c>
      <c r="N194" s="229">
        <f t="shared" si="95"/>
        <v>3342</v>
      </c>
      <c r="O194" s="229">
        <f t="shared" si="95"/>
        <v>2650</v>
      </c>
      <c r="P194" s="229">
        <f>P175</f>
        <v>5197</v>
      </c>
      <c r="Q194" s="859">
        <f>2259+1256</f>
        <v>3515</v>
      </c>
    </row>
    <row r="195" spans="2:17">
      <c r="B195" s="1" t="s">
        <v>686</v>
      </c>
      <c r="C195" s="584" t="s">
        <v>687</v>
      </c>
      <c r="H195" s="859"/>
      <c r="L195" s="23">
        <v>7215</v>
      </c>
      <c r="M195" s="23">
        <v>84</v>
      </c>
      <c r="N195" s="23">
        <v>490</v>
      </c>
      <c r="O195" s="23">
        <f>365+204</f>
        <v>569</v>
      </c>
      <c r="P195" s="23">
        <f>770+44</f>
        <v>814</v>
      </c>
      <c r="Q195" s="23">
        <f>680+167</f>
        <v>847</v>
      </c>
    </row>
    <row r="196" spans="2:17">
      <c r="C196" s="584" t="s">
        <v>688</v>
      </c>
      <c r="L196" s="23">
        <v>4571</v>
      </c>
      <c r="M196" s="23">
        <v>73</v>
      </c>
      <c r="N196" s="23">
        <f>117+196</f>
        <v>313</v>
      </c>
      <c r="O196" s="23">
        <v>120</v>
      </c>
      <c r="P196" s="23">
        <f>530+108</f>
        <v>638</v>
      </c>
      <c r="Q196" s="23">
        <f>550+179</f>
        <v>729</v>
      </c>
    </row>
    <row r="197" spans="2:17">
      <c r="C197" s="584" t="s">
        <v>689</v>
      </c>
      <c r="L197" s="23">
        <v>1686</v>
      </c>
      <c r="M197" s="23">
        <v>11</v>
      </c>
      <c r="N197" s="23">
        <v>48</v>
      </c>
      <c r="O197" s="23">
        <v>25</v>
      </c>
      <c r="P197" s="23">
        <v>37</v>
      </c>
      <c r="Q197" s="23">
        <f>45+6</f>
        <v>51</v>
      </c>
    </row>
    <row r="198" spans="2:17">
      <c r="C198" s="584" t="s">
        <v>690</v>
      </c>
      <c r="H198" s="848">
        <f t="shared" ref="H198:P198" si="96">(H195+H196+H197)/H194</f>
        <v>0</v>
      </c>
      <c r="I198" s="848">
        <f t="shared" si="96"/>
        <v>0</v>
      </c>
      <c r="J198" s="848">
        <f t="shared" si="96"/>
        <v>0</v>
      </c>
      <c r="K198" s="848">
        <f t="shared" si="96"/>
        <v>0</v>
      </c>
      <c r="L198" s="848">
        <f t="shared" si="96"/>
        <v>0.38491428571428571</v>
      </c>
      <c r="M198" s="848">
        <f t="shared" si="96"/>
        <v>0.23236514522821577</v>
      </c>
      <c r="N198" s="848">
        <f t="shared" si="96"/>
        <v>0.25463794135248352</v>
      </c>
      <c r="O198" s="848">
        <f t="shared" si="96"/>
        <v>0.26943396226415095</v>
      </c>
      <c r="P198" s="848">
        <f t="shared" si="96"/>
        <v>0.28651144891283431</v>
      </c>
      <c r="Q198" s="848">
        <f>(Q195+Q196+Q197)/Q194</f>
        <v>0.46287339971550495</v>
      </c>
    </row>
    <row r="199" spans="2:17">
      <c r="C199" s="584"/>
      <c r="H199" s="21">
        <v>2025</v>
      </c>
      <c r="I199" s="21">
        <v>2026</v>
      </c>
      <c r="J199" s="21">
        <v>2027</v>
      </c>
      <c r="K199" s="21">
        <v>2028</v>
      </c>
      <c r="L199" s="21">
        <v>2029</v>
      </c>
      <c r="M199" s="21">
        <v>2030</v>
      </c>
      <c r="N199" s="21">
        <v>2031</v>
      </c>
      <c r="O199" s="21">
        <v>2032</v>
      </c>
      <c r="P199" s="21">
        <v>2033</v>
      </c>
      <c r="Q199" s="21">
        <v>2034</v>
      </c>
    </row>
    <row r="200" spans="2:17">
      <c r="C200" s="584" t="s">
        <v>691</v>
      </c>
      <c r="H200" s="848">
        <f>AVERAGE(M198:Q198)</f>
        <v>0.30116437949463787</v>
      </c>
      <c r="I200" s="848">
        <f>AVERAGE(N198,O198,P198,Q198,H200)</f>
        <v>0.31492422634792233</v>
      </c>
      <c r="J200" s="848">
        <f>AVERAGE(O198,P198,Q198,H200,I200)</f>
        <v>0.3269814833470101</v>
      </c>
      <c r="K200" s="848">
        <f>AVERAGE(P198,Q198,H200,I200,J200)</f>
        <v>0.33849098756358192</v>
      </c>
      <c r="L200" s="848">
        <f>AVERAGE(Q198,H200,I200,J200,K200)</f>
        <v>0.34888689529373146</v>
      </c>
      <c r="M200" s="848">
        <f>AVERAGE(H200:L200)</f>
        <v>0.32608959440937674</v>
      </c>
      <c r="N200" s="848">
        <f t="shared" ref="N200:Q200" si="97">AVERAGE(I200:M200)</f>
        <v>0.33107463739232446</v>
      </c>
      <c r="O200" s="848">
        <f t="shared" si="97"/>
        <v>0.33430471960120495</v>
      </c>
      <c r="P200" s="848">
        <f t="shared" si="97"/>
        <v>0.33576936685204389</v>
      </c>
      <c r="Q200" s="848">
        <f t="shared" si="97"/>
        <v>0.3352250427097363</v>
      </c>
    </row>
    <row r="201" spans="2:17">
      <c r="C201" s="584" t="s">
        <v>692</v>
      </c>
      <c r="H201" s="864">
        <f>H200*H179/10</f>
        <v>213.82670944119292</v>
      </c>
      <c r="I201" s="864">
        <f t="shared" ref="I201:Q201" si="98">I200*I179/10</f>
        <v>151.70647846452653</v>
      </c>
      <c r="J201" s="864">
        <f t="shared" si="98"/>
        <v>170.43370127068115</v>
      </c>
      <c r="K201" s="864">
        <f t="shared" si="98"/>
        <v>203.6643802459501</v>
      </c>
      <c r="L201" s="864">
        <f t="shared" si="98"/>
        <v>219.49951993600644</v>
      </c>
      <c r="M201" s="864">
        <f t="shared" si="98"/>
        <v>229.36005268266499</v>
      </c>
      <c r="N201" s="864">
        <f t="shared" si="98"/>
        <v>233.16743468165296</v>
      </c>
      <c r="O201" s="864">
        <f t="shared" si="98"/>
        <v>253.40596691038172</v>
      </c>
      <c r="P201" s="864">
        <f t="shared" si="98"/>
        <v>271.37807493978272</v>
      </c>
      <c r="Q201" s="864">
        <f t="shared" si="98"/>
        <v>287.54908086798594</v>
      </c>
    </row>
    <row r="202" spans="2:17">
      <c r="C202" s="584"/>
    </row>
    <row r="203" spans="2:17">
      <c r="B203" t="s">
        <v>693</v>
      </c>
      <c r="C203" s="584"/>
      <c r="H203" s="848">
        <f>H41/H40</f>
        <v>0.63441483198145998</v>
      </c>
      <c r="I203" s="848">
        <f t="shared" ref="I203:Q203" si="99">I41/I40</f>
        <v>0.64059336939567912</v>
      </c>
      <c r="J203" s="848">
        <f t="shared" si="99"/>
        <v>0.65618137391358144</v>
      </c>
      <c r="K203" s="848">
        <f t="shared" si="99"/>
        <v>0.66752926678989521</v>
      </c>
      <c r="L203" s="848">
        <f t="shared" si="99"/>
        <v>0.68746097164980646</v>
      </c>
      <c r="M203" s="848">
        <f t="shared" si="99"/>
        <v>0.69737159392331804</v>
      </c>
      <c r="N203" s="848">
        <f t="shared" si="99"/>
        <v>0.71645506596962905</v>
      </c>
      <c r="O203" s="848">
        <f t="shared" si="99"/>
        <v>0.71468307033966305</v>
      </c>
      <c r="P203" s="848">
        <f t="shared" si="99"/>
        <v>0.69644630835448629</v>
      </c>
      <c r="Q203" s="848">
        <f t="shared" si="99"/>
        <v>0.67599344299361253</v>
      </c>
    </row>
    <row r="204" spans="2:17">
      <c r="C204" s="584"/>
    </row>
    <row r="205" spans="2:17">
      <c r="C205" s="584"/>
      <c r="G205" s="21">
        <v>2014</v>
      </c>
      <c r="H205" s="21">
        <v>2015</v>
      </c>
      <c r="I205" s="21">
        <v>2016</v>
      </c>
      <c r="J205" s="21">
        <v>2017</v>
      </c>
      <c r="K205" s="21">
        <v>2018</v>
      </c>
      <c r="L205" s="21">
        <v>2019</v>
      </c>
      <c r="M205" s="21">
        <v>2020</v>
      </c>
      <c r="N205" s="21">
        <v>2021</v>
      </c>
      <c r="O205" s="21">
        <v>2022</v>
      </c>
      <c r="P205" s="21">
        <v>2023</v>
      </c>
      <c r="Q205" s="21">
        <v>2024</v>
      </c>
    </row>
    <row r="206" spans="2:17">
      <c r="B206" t="s">
        <v>694</v>
      </c>
      <c r="C206" s="584"/>
      <c r="H206" s="848"/>
      <c r="I206" s="848"/>
      <c r="J206" s="848">
        <f>AVERAGE(J18/AVERAGE(I114:J114),I18/AVERAGE(H114:I114))</f>
        <v>1.4588323517032171E-2</v>
      </c>
      <c r="K206" s="848">
        <f t="shared" ref="K206:P206" si="100">AVERAGE(K18/AVERAGE(J114:K114),J18/AVERAGE(I114:J114))</f>
        <v>1.4715474686437871E-2</v>
      </c>
      <c r="L206" s="848">
        <f t="shared" si="100"/>
        <v>1.957119798054751E-2</v>
      </c>
      <c r="M206" s="848">
        <f t="shared" si="100"/>
        <v>2.1333631332708179E-2</v>
      </c>
      <c r="N206" s="848">
        <f t="shared" si="100"/>
        <v>1.9084627273061407E-2</v>
      </c>
      <c r="O206" s="848">
        <f t="shared" si="100"/>
        <v>2.0657778748017816E-2</v>
      </c>
      <c r="P206" s="848">
        <f t="shared" si="100"/>
        <v>2.5243250105308056E-2</v>
      </c>
      <c r="Q206" s="848">
        <f>AVERAGE(Q18/AVERAGE(P114:Q114),P18/AVERAGE(O114:P114))</f>
        <v>2.8570815056995082E-2</v>
      </c>
    </row>
    <row r="207" spans="2:17">
      <c r="B207" t="s">
        <v>695</v>
      </c>
      <c r="C207" s="584"/>
      <c r="H207" s="848">
        <f t="shared" ref="H207:I207" si="101">H18/AVERAGE(G114:H114)</f>
        <v>1.1611318554539703E-2</v>
      </c>
      <c r="I207" s="848">
        <f t="shared" si="101"/>
        <v>1.5355179935898217E-2</v>
      </c>
      <c r="J207" s="848">
        <f>J18/AVERAGE(I114:J114)</f>
        <v>1.3821467098166127E-2</v>
      </c>
      <c r="K207" s="848">
        <f>K18/AVERAGE(J114:K114)</f>
        <v>1.5609482274709615E-2</v>
      </c>
      <c r="L207" s="848">
        <f t="shared" ref="L207:Q207" si="102">L18/AVERAGE(K114:L114)</f>
        <v>2.3532913686385402E-2</v>
      </c>
      <c r="M207" s="848">
        <f t="shared" si="102"/>
        <v>1.9134348979030952E-2</v>
      </c>
      <c r="N207" s="848">
        <f t="shared" si="102"/>
        <v>1.9034905567091861E-2</v>
      </c>
      <c r="O207" s="848">
        <f t="shared" si="102"/>
        <v>2.2280651928943775E-2</v>
      </c>
      <c r="P207" s="848">
        <f t="shared" si="102"/>
        <v>2.820584828167234E-2</v>
      </c>
      <c r="Q207" s="848">
        <f t="shared" si="102"/>
        <v>2.893578183231782E-2</v>
      </c>
    </row>
    <row r="209" spans="2:18">
      <c r="B209" s="1" t="s">
        <v>696</v>
      </c>
      <c r="C209" s="584"/>
      <c r="H209" s="229">
        <f t="shared" ref="H209:Q209" si="103">H87</f>
        <v>5641</v>
      </c>
      <c r="I209" s="229">
        <f t="shared" si="103"/>
        <v>9158</v>
      </c>
      <c r="J209" s="229">
        <f t="shared" si="103"/>
        <v>10263</v>
      </c>
      <c r="K209" s="229">
        <f t="shared" si="103"/>
        <v>8232</v>
      </c>
      <c r="L209" s="229">
        <f t="shared" si="103"/>
        <v>31825</v>
      </c>
      <c r="M209" s="229">
        <f t="shared" si="103"/>
        <v>10504</v>
      </c>
      <c r="N209" s="229">
        <f t="shared" si="103"/>
        <v>522</v>
      </c>
      <c r="O209" s="229">
        <f t="shared" si="103"/>
        <v>8021</v>
      </c>
      <c r="P209" s="229">
        <f t="shared" si="103"/>
        <v>9586</v>
      </c>
      <c r="Q209" s="229">
        <f t="shared" si="103"/>
        <v>5735</v>
      </c>
    </row>
    <row r="210" spans="2:18">
      <c r="B210" t="s">
        <v>697</v>
      </c>
      <c r="C210" s="584"/>
      <c r="H210" s="229">
        <f>+H78+H88+H68+H80</f>
        <v>-15626</v>
      </c>
      <c r="I210" s="229">
        <f t="shared" ref="I210:Q210" si="104">+I78+I88+I68+I80</f>
        <v>-14916</v>
      </c>
      <c r="J210" s="229">
        <f t="shared" si="104"/>
        <v>-4972</v>
      </c>
      <c r="K210" s="229">
        <f t="shared" si="104"/>
        <v>-12067</v>
      </c>
      <c r="L210" s="229">
        <f t="shared" si="104"/>
        <v>-47888</v>
      </c>
      <c r="M210" s="229">
        <f t="shared" si="104"/>
        <v>-9048</v>
      </c>
      <c r="N210" s="229">
        <f t="shared" si="104"/>
        <v>-12330</v>
      </c>
      <c r="O210" s="229">
        <f t="shared" si="104"/>
        <v>-10285</v>
      </c>
      <c r="P210" s="229">
        <f t="shared" si="104"/>
        <v>-9732</v>
      </c>
      <c r="Q210" s="229">
        <f t="shared" si="104"/>
        <v>-10159</v>
      </c>
    </row>
    <row r="211" spans="2:18">
      <c r="B211" t="s">
        <v>698</v>
      </c>
      <c r="C211" s="584"/>
      <c r="H211" s="875">
        <f t="shared" ref="H211:Q211" si="105">H87/-H210</f>
        <v>0.36100089594265966</v>
      </c>
      <c r="I211" s="875">
        <f t="shared" si="105"/>
        <v>0.61397157414856529</v>
      </c>
      <c r="J211" s="875">
        <f t="shared" si="105"/>
        <v>2.0641592920353982</v>
      </c>
      <c r="K211" s="875">
        <f t="shared" si="105"/>
        <v>0.68219109969337866</v>
      </c>
      <c r="L211" s="875">
        <f t="shared" si="105"/>
        <v>0.66457150016705646</v>
      </c>
      <c r="M211" s="875">
        <f t="shared" si="105"/>
        <v>1.1609195402298851</v>
      </c>
      <c r="N211" s="875">
        <f t="shared" si="105"/>
        <v>4.2335766423357665E-2</v>
      </c>
      <c r="O211" s="875">
        <f t="shared" si="105"/>
        <v>0.77987360233349534</v>
      </c>
      <c r="P211" s="875">
        <f t="shared" si="105"/>
        <v>0.9849979449239622</v>
      </c>
      <c r="Q211" s="875">
        <f t="shared" si="105"/>
        <v>0.56452406732946159</v>
      </c>
    </row>
    <row r="212" spans="2:18">
      <c r="B212" t="s">
        <v>699</v>
      </c>
      <c r="C212" s="584"/>
      <c r="H212" s="229">
        <f>H78+H81</f>
        <v>-6928</v>
      </c>
      <c r="I212" s="229">
        <f t="shared" ref="I212:Q212" si="106">I78+I81</f>
        <v>-9263</v>
      </c>
      <c r="J212" s="229">
        <f t="shared" si="106"/>
        <v>-3725</v>
      </c>
      <c r="K212" s="229">
        <f t="shared" si="106"/>
        <v>-3534</v>
      </c>
      <c r="L212" s="229">
        <f t="shared" si="106"/>
        <v>-34916</v>
      </c>
      <c r="M212" s="229">
        <f t="shared" si="106"/>
        <v>-2954</v>
      </c>
      <c r="N212" s="229">
        <f t="shared" si="106"/>
        <v>-5355</v>
      </c>
      <c r="O212" s="229">
        <f t="shared" si="106"/>
        <v>-3694</v>
      </c>
      <c r="P212" s="229">
        <f t="shared" si="106"/>
        <v>-6327</v>
      </c>
      <c r="Q212" s="229">
        <f t="shared" si="106"/>
        <v>-4337</v>
      </c>
    </row>
    <row r="213" spans="2:18">
      <c r="B213" t="s">
        <v>698</v>
      </c>
      <c r="C213" s="584"/>
      <c r="H213" s="848">
        <f>H209/-H212</f>
        <v>0.81423210161662818</v>
      </c>
      <c r="I213" s="848">
        <f t="shared" ref="I213:Q213" si="107">I209/-I212</f>
        <v>0.98866457950987796</v>
      </c>
      <c r="J213" s="848">
        <f t="shared" si="107"/>
        <v>2.7551677852348995</v>
      </c>
      <c r="K213" s="848">
        <f t="shared" si="107"/>
        <v>2.3293718166383703</v>
      </c>
      <c r="L213" s="848">
        <f t="shared" si="107"/>
        <v>0.91147325008592051</v>
      </c>
      <c r="M213" s="848">
        <f t="shared" si="107"/>
        <v>3.5558564658090726</v>
      </c>
      <c r="N213" s="848">
        <f t="shared" si="107"/>
        <v>9.7478991596638656E-2</v>
      </c>
      <c r="O213" s="848">
        <f t="shared" si="107"/>
        <v>2.1713589604764483</v>
      </c>
      <c r="P213" s="848">
        <f t="shared" si="107"/>
        <v>1.5150940414098308</v>
      </c>
      <c r="Q213" s="848">
        <f t="shared" si="107"/>
        <v>1.3223426331565598</v>
      </c>
    </row>
    <row r="214" spans="2:18">
      <c r="B214" t="s">
        <v>700</v>
      </c>
      <c r="C214" s="584"/>
      <c r="H214" s="229">
        <f>H209+H32</f>
        <v>13835</v>
      </c>
      <c r="I214" s="229">
        <f t="shared" ref="I214:Q214" si="108">I209+I32</f>
        <v>17685</v>
      </c>
      <c r="J214" s="229">
        <f t="shared" si="108"/>
        <v>22843</v>
      </c>
      <c r="K214" s="229">
        <f t="shared" si="108"/>
        <v>20229</v>
      </c>
      <c r="L214" s="229">
        <f t="shared" si="108"/>
        <v>40138</v>
      </c>
      <c r="M214" s="229">
        <f t="shared" si="108"/>
        <v>24179</v>
      </c>
      <c r="N214" s="229">
        <f t="shared" si="108"/>
        <v>7479</v>
      </c>
      <c r="O214" s="229">
        <f t="shared" si="108"/>
        <v>16010</v>
      </c>
      <c r="P214" s="229">
        <f t="shared" si="108"/>
        <v>23027</v>
      </c>
      <c r="Q214" s="229">
        <f t="shared" si="108"/>
        <v>20326</v>
      </c>
    </row>
    <row r="215" spans="2:18">
      <c r="B215" t="s">
        <v>701</v>
      </c>
      <c r="C215" s="584"/>
      <c r="H215" s="848">
        <f>H214/-(H210)</f>
        <v>0.88538333546653014</v>
      </c>
      <c r="I215" s="848">
        <f t="shared" ref="I215:Q215" si="109">I214/-(I210)</f>
        <v>1.1856395816572807</v>
      </c>
      <c r="J215" s="848">
        <f t="shared" si="109"/>
        <v>4.5943282381335475</v>
      </c>
      <c r="K215" s="848">
        <f t="shared" si="109"/>
        <v>1.6763901549680948</v>
      </c>
      <c r="L215" s="848">
        <f t="shared" si="109"/>
        <v>0.8381640494487137</v>
      </c>
      <c r="M215" s="848">
        <f t="shared" si="109"/>
        <v>2.6723032714412023</v>
      </c>
      <c r="N215" s="848">
        <f t="shared" si="109"/>
        <v>0.60656934306569343</v>
      </c>
      <c r="O215" s="848">
        <f t="shared" si="109"/>
        <v>1.5566358774914926</v>
      </c>
      <c r="P215" s="848">
        <f t="shared" si="109"/>
        <v>2.3661117961364568</v>
      </c>
      <c r="Q215" s="848">
        <f t="shared" si="109"/>
        <v>2.0007874790825868</v>
      </c>
      <c r="R215" s="75">
        <f>AVERAGE(M215:Q215)</f>
        <v>1.8404815534434866</v>
      </c>
    </row>
    <row r="216" spans="2:18">
      <c r="B216" t="s">
        <v>702</v>
      </c>
      <c r="C216" s="584"/>
      <c r="H216" s="848">
        <f>-H90/H214</f>
        <v>0.35395735453559812</v>
      </c>
      <c r="I216" s="848">
        <f t="shared" ref="I216:Q216" si="110">-I90/I214</f>
        <v>0.29720101781170483</v>
      </c>
      <c r="J216" s="848">
        <f t="shared" si="110"/>
        <v>0.24103664142187978</v>
      </c>
      <c r="K216" s="848">
        <f t="shared" si="110"/>
        <v>0.28009293588412676</v>
      </c>
      <c r="L216" s="848">
        <f t="shared" si="110"/>
        <v>0.14218446360057801</v>
      </c>
      <c r="M216" s="848">
        <f t="shared" si="110"/>
        <v>0.23975350510773813</v>
      </c>
      <c r="N216" s="848">
        <f t="shared" si="110"/>
        <v>0.78473057895440568</v>
      </c>
      <c r="O216" s="848">
        <f t="shared" si="110"/>
        <v>0.37151780137414114</v>
      </c>
      <c r="P216" s="848">
        <f t="shared" si="110"/>
        <v>0.26230077734833024</v>
      </c>
      <c r="Q216" s="848">
        <f t="shared" si="110"/>
        <v>0.30242054511463151</v>
      </c>
    </row>
    <row r="217" spans="2:18">
      <c r="B217" t="s">
        <v>703</v>
      </c>
      <c r="C217" s="584"/>
      <c r="H217" s="848">
        <f>H209/H214</f>
        <v>0.4077340079508493</v>
      </c>
      <c r="I217" s="848">
        <f t="shared" ref="I217:Q217" si="111">I209/I214</f>
        <v>0.51783997738196208</v>
      </c>
      <c r="J217" s="848">
        <f t="shared" si="111"/>
        <v>0.44928424462636257</v>
      </c>
      <c r="K217" s="848">
        <f t="shared" si="111"/>
        <v>0.40694053092095506</v>
      </c>
      <c r="L217" s="848">
        <f t="shared" si="111"/>
        <v>0.79288953111764415</v>
      </c>
      <c r="M217" s="848">
        <f t="shared" si="111"/>
        <v>0.43442656850986394</v>
      </c>
      <c r="N217" s="848">
        <f t="shared" si="111"/>
        <v>6.9795427196149215E-2</v>
      </c>
      <c r="O217" s="848">
        <f t="shared" si="111"/>
        <v>0.50099937539038097</v>
      </c>
      <c r="P217" s="848">
        <f t="shared" si="111"/>
        <v>0.41629391583792941</v>
      </c>
      <c r="Q217" s="848">
        <f t="shared" si="111"/>
        <v>0.2821509396831644</v>
      </c>
      <c r="R217" s="75">
        <f>AVERAGE(O217:Q217)</f>
        <v>0.39981474363715824</v>
      </c>
    </row>
    <row r="218" spans="2:18">
      <c r="C218" s="584"/>
      <c r="H218" s="21">
        <v>2025</v>
      </c>
      <c r="I218" s="21">
        <v>2026</v>
      </c>
      <c r="J218" s="21">
        <v>2027</v>
      </c>
      <c r="K218" s="21">
        <v>2028</v>
      </c>
      <c r="L218" s="21">
        <v>2029</v>
      </c>
      <c r="M218" s="21">
        <v>2030</v>
      </c>
      <c r="N218" s="21">
        <v>2031</v>
      </c>
      <c r="O218" s="21">
        <v>2032</v>
      </c>
      <c r="P218" s="21">
        <v>2033</v>
      </c>
      <c r="Q218" s="21">
        <v>2034</v>
      </c>
    </row>
    <row r="219" spans="2:18">
      <c r="B219" t="s">
        <v>697</v>
      </c>
      <c r="C219" s="584"/>
      <c r="H219" s="881">
        <f>DCF!H135+DCF!H142+DCF!H129+DCF!H159</f>
        <v>-10589.316958294032</v>
      </c>
      <c r="I219" s="881">
        <f>DCF!I135+DCF!I142+DCF!I129+DCF!I159</f>
        <v>-11127.193308420134</v>
      </c>
      <c r="J219" s="881">
        <f>DCF!J135+DCF!J142+DCF!J129+DCF!J159</f>
        <v>-11425.718023823174</v>
      </c>
      <c r="K219" s="881">
        <f>DCF!K135+DCF!K142+DCF!K129+DCF!K159</f>
        <v>-9039.900599431121</v>
      </c>
      <c r="L219" s="881">
        <f>DCF!L135+DCF!L142+DCF!L129+DCF!L159</f>
        <v>-10323.171000362589</v>
      </c>
      <c r="M219" s="881">
        <f>DCF!M135+DCF!M142+DCF!M129+DCF!M159</f>
        <v>-11403.289000221099</v>
      </c>
      <c r="N219" s="881">
        <f>DCF!N135+DCF!N142+DCF!N129+DCF!N159</f>
        <v>-11422.218765944035</v>
      </c>
      <c r="O219" s="881">
        <f>DCF!O135+DCF!O142+DCF!O129+DCF!O159</f>
        <v>-11837.234153690908</v>
      </c>
      <c r="P219" s="881">
        <f>DCF!P135+DCF!P142+DCF!P129+DCF!P159</f>
        <v>-11909.099476913632</v>
      </c>
      <c r="Q219" s="881">
        <f>DCF!Q135+DCF!Q142+DCF!Q129+DCF!Q159</f>
        <v>-11930.792192813769</v>
      </c>
    </row>
    <row r="220" spans="2:18">
      <c r="B220" t="s">
        <v>704</v>
      </c>
      <c r="C220" s="584"/>
      <c r="H220" s="864">
        <f>H219*-AVERAGE(O215:Q215)</f>
        <v>20908.730415216171</v>
      </c>
      <c r="I220" s="864">
        <f>I219*-AVERAGE(P215,Q215,H221)</f>
        <v>23520.701988302037</v>
      </c>
      <c r="J220" s="864">
        <f>J219*-AVERAGE(Q215,H221,I221)</f>
        <v>23190.790768959789</v>
      </c>
      <c r="K220" s="864">
        <f>K219*-AVERAGE(H221:J221)</f>
        <v>18435.419846120505</v>
      </c>
      <c r="L220" s="864">
        <f t="shared" ref="L220:Q220" si="112">L219*-AVERAGE(I221:K221)</f>
        <v>21275.516549806805</v>
      </c>
      <c r="M220" s="864">
        <f t="shared" si="112"/>
        <v>23300.673127636204</v>
      </c>
      <c r="N220" s="864">
        <f t="shared" si="112"/>
        <v>23391.241053033093</v>
      </c>
      <c r="O220" s="864">
        <f t="shared" si="112"/>
        <v>24274.809001667192</v>
      </c>
      <c r="P220" s="864">
        <f t="shared" si="112"/>
        <v>24381.568404142035</v>
      </c>
      <c r="Q220" s="864">
        <f t="shared" si="112"/>
        <v>24441.794772226007</v>
      </c>
    </row>
    <row r="221" spans="2:18">
      <c r="B221" t="s">
        <v>701</v>
      </c>
      <c r="C221" s="584"/>
      <c r="H221" s="848">
        <f>H220/-H219</f>
        <v>1.9745117175701787</v>
      </c>
      <c r="I221" s="848">
        <f t="shared" ref="I221:K221" si="113">I220/-I219</f>
        <v>2.1138036642630742</v>
      </c>
      <c r="J221" s="848">
        <f t="shared" si="113"/>
        <v>2.0297009536386135</v>
      </c>
      <c r="K221" s="848">
        <f t="shared" si="113"/>
        <v>2.0393387784906221</v>
      </c>
      <c r="L221" s="848">
        <f t="shared" ref="L221" si="114">L220/-L219</f>
        <v>2.0609477987974363</v>
      </c>
      <c r="M221" s="848">
        <f t="shared" ref="M221" si="115">M220/-M219</f>
        <v>2.0433291769755573</v>
      </c>
      <c r="N221" s="848">
        <f t="shared" ref="N221" si="116">N220/-N219</f>
        <v>2.0478719180878717</v>
      </c>
      <c r="O221" s="848">
        <f t="shared" ref="O221" si="117">O220/-O219</f>
        <v>2.0507162979536218</v>
      </c>
      <c r="P221" s="848">
        <f t="shared" ref="P221" si="118">P220/-P219</f>
        <v>2.0473057976723505</v>
      </c>
      <c r="Q221" s="848">
        <f t="shared" ref="Q221" si="119">Q220/-Q219</f>
        <v>2.0486313379046148</v>
      </c>
    </row>
    <row r="222" spans="2:18">
      <c r="B222" s="915" t="s">
        <v>696</v>
      </c>
      <c r="C222" s="916"/>
      <c r="D222" s="915"/>
      <c r="E222" s="915"/>
      <c r="F222" s="915"/>
      <c r="G222" s="917"/>
      <c r="H222" s="918">
        <f>H220-Inputs!Q33</f>
        <v>6961.7304152161705</v>
      </c>
      <c r="I222" s="918">
        <f>I220-DCF!H89</f>
        <v>5235.7225204937786</v>
      </c>
      <c r="J222" s="918">
        <f>J220-DCF!I89</f>
        <v>751.25017824781025</v>
      </c>
      <c r="K222" s="918">
        <f>K220-DCF!J89</f>
        <v>-7712.8416691826606</v>
      </c>
      <c r="L222" s="918">
        <f>L220-DCF!K89</f>
        <v>-12694.714543152415</v>
      </c>
      <c r="M222" s="918">
        <f>M220-DCF!L89</f>
        <v>-18180.927804385159</v>
      </c>
      <c r="N222" s="918">
        <f>N220-DCF!M89</f>
        <v>-25527.412579354317</v>
      </c>
      <c r="O222" s="918">
        <f>O220-DCF!N89</f>
        <v>-33496.178105270286</v>
      </c>
      <c r="P222" s="918">
        <f>P220-DCF!O89</f>
        <v>-42992.38108178605</v>
      </c>
      <c r="Q222" s="918">
        <f>Q220-DCF!P89</f>
        <v>-53644.595559396133</v>
      </c>
    </row>
    <row r="224" spans="2:18">
      <c r="B224" t="s">
        <v>705</v>
      </c>
      <c r="C224" s="584"/>
      <c r="H224" s="848">
        <f>AVERAGE(O216:Q216)</f>
        <v>0.31207970794570095</v>
      </c>
      <c r="I224" s="848">
        <f>AVERAGE(P216,Q216,H224)</f>
        <v>0.29226701013622086</v>
      </c>
      <c r="J224" s="848">
        <f>AVERAGE(Q216,H224,I224)</f>
        <v>0.30225575439885111</v>
      </c>
      <c r="K224" s="848">
        <f>AVERAGE(H224:J224)</f>
        <v>0.30220082416025762</v>
      </c>
      <c r="L224" s="848">
        <f t="shared" ref="L224:Q224" si="120">AVERAGE(I224:K224)</f>
        <v>0.29890786289844318</v>
      </c>
      <c r="M224" s="848">
        <f t="shared" si="120"/>
        <v>0.30112148048585063</v>
      </c>
      <c r="N224" s="848">
        <f t="shared" si="120"/>
        <v>0.30074338918151716</v>
      </c>
      <c r="O224" s="848">
        <f t="shared" si="120"/>
        <v>0.30025757752193699</v>
      </c>
      <c r="P224" s="848">
        <f t="shared" si="120"/>
        <v>0.30070748239643491</v>
      </c>
      <c r="Q224" s="848">
        <f t="shared" si="120"/>
        <v>0.30056948303329634</v>
      </c>
    </row>
    <row r="225" spans="2:27">
      <c r="B225" t="s">
        <v>696</v>
      </c>
      <c r="C225" s="584"/>
      <c r="H225" s="864">
        <f>H220*R217</f>
        <v>8359.618690738107</v>
      </c>
      <c r="I225" s="864">
        <f>I220*AVERAGE(P217,Q217,H226)</f>
        <v>8610.6122458644331</v>
      </c>
      <c r="J225" s="864">
        <f>J220*AVERAGE(Q217,H226,I226)</f>
        <v>8101.7198882841722</v>
      </c>
      <c r="K225" s="864">
        <f>K220*AVERAGE(H226:J226)</f>
        <v>6853.3797132076988</v>
      </c>
      <c r="L225" s="864">
        <f t="shared" ref="L225:Q225" si="121">L220*AVERAGE(I226:K226)</f>
        <v>7710.1616961058453</v>
      </c>
      <c r="M225" s="864">
        <f t="shared" si="121"/>
        <v>8415.4061873157243</v>
      </c>
      <c r="N225" s="864">
        <f t="shared" si="121"/>
        <v>8540.2391846942974</v>
      </c>
      <c r="O225" s="864">
        <f t="shared" si="121"/>
        <v>8809.0524945796933</v>
      </c>
      <c r="P225" s="864">
        <f t="shared" si="121"/>
        <v>8851.7982238137502</v>
      </c>
      <c r="Q225" s="864">
        <f t="shared" si="121"/>
        <v>8889.0380069740695</v>
      </c>
    </row>
    <row r="226" spans="2:27">
      <c r="C226" s="584"/>
      <c r="H226" s="848">
        <f>H225/H220</f>
        <v>0.3998147436371583</v>
      </c>
      <c r="I226" s="848">
        <f>I225/I220</f>
        <v>0.36608653305275074</v>
      </c>
      <c r="J226" s="848">
        <f>J225/J220</f>
        <v>0.34935073879102446</v>
      </c>
      <c r="K226" s="848">
        <f>K225/K220</f>
        <v>0.37175067182697785</v>
      </c>
      <c r="L226" s="848">
        <f t="shared" ref="L226:Q226" si="122">L225/L220</f>
        <v>0.36239598122358435</v>
      </c>
      <c r="M226" s="848">
        <f t="shared" si="122"/>
        <v>0.36116579728052889</v>
      </c>
      <c r="N226" s="848">
        <f t="shared" si="122"/>
        <v>0.36510415011036373</v>
      </c>
      <c r="O226" s="848">
        <f t="shared" si="122"/>
        <v>0.36288864287149236</v>
      </c>
      <c r="P226" s="848">
        <f t="shared" si="122"/>
        <v>0.36305286342079507</v>
      </c>
      <c r="Q226" s="848">
        <f t="shared" si="122"/>
        <v>0.36368188546755037</v>
      </c>
    </row>
    <row r="227" spans="2:27">
      <c r="B227" t="s">
        <v>706</v>
      </c>
      <c r="C227" s="584"/>
      <c r="H227" s="864">
        <f>H220-H225</f>
        <v>12549.111724478063</v>
      </c>
      <c r="I227" s="864">
        <f t="shared" ref="I227:Q227" si="123">I220-I225</f>
        <v>14910.089742437603</v>
      </c>
      <c r="J227" s="864">
        <f t="shared" si="123"/>
        <v>15089.070880675616</v>
      </c>
      <c r="K227" s="864">
        <f t="shared" si="123"/>
        <v>11582.040132912807</v>
      </c>
      <c r="L227" s="864">
        <f t="shared" si="123"/>
        <v>13565.354853700959</v>
      </c>
      <c r="M227" s="864">
        <f t="shared" si="123"/>
        <v>14885.26694032048</v>
      </c>
      <c r="N227" s="864">
        <f t="shared" si="123"/>
        <v>14851.001868338795</v>
      </c>
      <c r="O227" s="864">
        <f t="shared" si="123"/>
        <v>15465.756507087499</v>
      </c>
      <c r="P227" s="864">
        <f t="shared" si="123"/>
        <v>15529.770180328285</v>
      </c>
      <c r="Q227" s="864">
        <f t="shared" si="123"/>
        <v>15552.756765251937</v>
      </c>
    </row>
    <row r="228" spans="2:27">
      <c r="C228" s="584"/>
    </row>
    <row r="229" spans="2:27">
      <c r="B229" t="s">
        <v>707</v>
      </c>
      <c r="C229" s="584"/>
      <c r="H229" s="864">
        <f>DCF!H117+DCF!H119</f>
        <v>61800.597770669876</v>
      </c>
      <c r="I229" s="864">
        <f>DCF!I117+DCF!I119</f>
        <v>64327.292113833217</v>
      </c>
      <c r="J229" s="864">
        <f>DCF!J117+DCF!J119</f>
        <v>66234.220511435284</v>
      </c>
      <c r="K229" s="864">
        <f>DCF!K117+DCF!K119</f>
        <v>69483.598163663599</v>
      </c>
      <c r="L229" s="864">
        <f>DCF!L117+DCF!L119</f>
        <v>72540.119375709386</v>
      </c>
      <c r="M229" s="864">
        <f>DCF!M117+DCF!M119</f>
        <v>75295.245242507066</v>
      </c>
      <c r="N229" s="864">
        <f>DCF!N117+DCF!N119</f>
        <v>78248.846684147182</v>
      </c>
      <c r="O229" s="864">
        <f>DCF!O117+DCF!O119</f>
        <v>81441.912640910916</v>
      </c>
      <c r="P229" s="864">
        <f>DCF!P117+DCF!P119</f>
        <v>84657.283393854217</v>
      </c>
      <c r="Q229" s="864">
        <f>DCF!Q117+DCF!Q119</f>
        <v>87973.541559475154</v>
      </c>
    </row>
    <row r="231" spans="2:27">
      <c r="B231" s="1" t="s">
        <v>708</v>
      </c>
      <c r="C231" s="584"/>
      <c r="G231" s="21">
        <v>2014</v>
      </c>
      <c r="H231" s="21">
        <v>2015</v>
      </c>
      <c r="I231" s="21">
        <v>2016</v>
      </c>
      <c r="J231" s="21">
        <v>2017</v>
      </c>
      <c r="K231" s="21">
        <v>2018</v>
      </c>
      <c r="L231" s="21">
        <v>2019</v>
      </c>
      <c r="M231" s="21">
        <v>2020</v>
      </c>
      <c r="N231" s="21">
        <v>2021</v>
      </c>
      <c r="O231" s="21">
        <v>2022</v>
      </c>
      <c r="P231" s="21">
        <v>2023</v>
      </c>
      <c r="Q231" s="21">
        <v>2024</v>
      </c>
    </row>
    <row r="232" spans="2:27">
      <c r="C232" s="584"/>
      <c r="G232" s="848">
        <f t="shared" ref="G232:Q232" si="124">G20/G6</f>
        <v>-6.4552283038591275E-3</v>
      </c>
      <c r="H232" s="848">
        <f t="shared" si="124"/>
        <v>5.0647777736998571E-3</v>
      </c>
      <c r="I232" s="848">
        <f t="shared" si="124"/>
        <v>-1.4514696129831455E-3</v>
      </c>
      <c r="J232" s="848">
        <f t="shared" si="124"/>
        <v>5.1175779324985149E-3</v>
      </c>
      <c r="K232" s="848">
        <f t="shared" si="124"/>
        <v>-5.3649281953989771E-3</v>
      </c>
      <c r="L232" s="848">
        <f t="shared" si="124"/>
        <v>-3.6164724487018291E-3</v>
      </c>
      <c r="M232" s="848">
        <f t="shared" si="124"/>
        <v>2.0660033708476051E-3</v>
      </c>
      <c r="N232" s="848">
        <f t="shared" si="124"/>
        <v>-3.5571054925893635E-3</v>
      </c>
      <c r="O232" s="848">
        <f t="shared" si="124"/>
        <v>-1.0622831653725425E-2</v>
      </c>
      <c r="P232" s="848">
        <f t="shared" si="124"/>
        <v>1.8752020691884901E-3</v>
      </c>
      <c r="Q232" s="848">
        <f t="shared" si="124"/>
        <v>-7.2984558507163001E-3</v>
      </c>
    </row>
    <row r="233" spans="2:27">
      <c r="C233" s="584"/>
      <c r="H233" s="21">
        <v>2025</v>
      </c>
      <c r="I233" s="21">
        <v>2026</v>
      </c>
      <c r="J233" s="21">
        <v>2027</v>
      </c>
      <c r="K233" s="21">
        <v>2028</v>
      </c>
      <c r="L233" s="21">
        <v>2029</v>
      </c>
      <c r="M233" s="21">
        <v>2030</v>
      </c>
      <c r="N233" s="21">
        <v>2031</v>
      </c>
      <c r="O233" s="21">
        <v>2032</v>
      </c>
      <c r="P233" s="21">
        <v>2033</v>
      </c>
      <c r="Q233" s="21">
        <v>2034</v>
      </c>
    </row>
    <row r="234" spans="2:27">
      <c r="C234" s="584"/>
      <c r="H234" s="848">
        <f>AVERAGE(O232:Q232)</f>
        <v>-5.3486951450844129E-3</v>
      </c>
      <c r="I234" s="848">
        <f>AVERAGE(P232,Q232,H234)</f>
        <v>-3.5906496422040742E-3</v>
      </c>
      <c r="J234" s="848">
        <f>AVERAGE(H234,I234,Q232)</f>
        <v>-5.4126002126682615E-3</v>
      </c>
      <c r="K234" s="848">
        <f>AVERAGE(H234:J234)</f>
        <v>-4.7839816666522495E-3</v>
      </c>
      <c r="L234" s="848">
        <f t="shared" ref="L234:Q234" si="125">AVERAGE(I234:K234)</f>
        <v>-4.5957438405081945E-3</v>
      </c>
      <c r="M234" s="848">
        <f t="shared" si="125"/>
        <v>-4.9307752399429016E-3</v>
      </c>
      <c r="N234" s="848">
        <f t="shared" si="125"/>
        <v>-4.7701669157011149E-3</v>
      </c>
      <c r="O234" s="848">
        <f t="shared" si="125"/>
        <v>-4.7655619987174037E-3</v>
      </c>
      <c r="P234" s="848">
        <f t="shared" si="125"/>
        <v>-4.8221680514538064E-3</v>
      </c>
      <c r="Q234" s="848">
        <f t="shared" si="125"/>
        <v>-4.7859656552907753E-3</v>
      </c>
    </row>
    <row r="235" spans="2:27">
      <c r="C235" s="584"/>
    </row>
    <row r="236" spans="2:27">
      <c r="B236" t="s">
        <v>709</v>
      </c>
      <c r="C236" s="584"/>
      <c r="G236" s="848">
        <v>0.21</v>
      </c>
      <c r="H236" s="848">
        <v>0.17199999999999999</v>
      </c>
      <c r="I236" s="848">
        <v>6.5000000000000002E-2</v>
      </c>
      <c r="J236" s="848">
        <v>6.8000000000000005E-2</v>
      </c>
      <c r="K236" s="848">
        <v>7.9000000000000001E-2</v>
      </c>
      <c r="L236" s="848">
        <v>8.5000000000000006E-2</v>
      </c>
      <c r="M236" s="848">
        <v>-0.115</v>
      </c>
      <c r="N236" s="848">
        <v>0.09</v>
      </c>
      <c r="O236" s="848">
        <v>0.152</v>
      </c>
      <c r="P236" s="848">
        <v>0.14000000000000001</v>
      </c>
      <c r="Q236" s="848">
        <v>0.13600000000000001</v>
      </c>
    </row>
    <row r="237" spans="2:27">
      <c r="C237" s="584"/>
    </row>
    <row r="238" spans="2:27">
      <c r="C238" s="584"/>
    </row>
    <row r="239" spans="2:27">
      <c r="B239" t="s">
        <v>710</v>
      </c>
      <c r="C239" s="584"/>
      <c r="G239" s="848">
        <f t="shared" ref="G239:Q239" ca="1" si="126">G114/(G114+G99)</f>
        <v>0.20174637454600286</v>
      </c>
      <c r="H239" s="848">
        <f t="shared" ca="1" si="126"/>
        <v>0.22848050703208098</v>
      </c>
      <c r="I239" s="848">
        <f t="shared" ca="1" si="126"/>
        <v>0.20943532409007029</v>
      </c>
      <c r="J239" s="848">
        <f t="shared" ca="1" si="126"/>
        <v>0.24652187842100892</v>
      </c>
      <c r="K239" s="848">
        <f t="shared" ca="1" si="126"/>
        <v>0.306466547826937</v>
      </c>
      <c r="L239" s="848">
        <f t="shared" ca="1" si="126"/>
        <v>0.3651780884778108</v>
      </c>
      <c r="M239" s="848">
        <f t="shared" ca="1" si="126"/>
        <v>0.37138847817371839</v>
      </c>
      <c r="N239" s="848">
        <f t="shared" ca="1" si="126"/>
        <v>0.31526924340825951</v>
      </c>
      <c r="O239" s="848">
        <f t="shared" ca="1" si="126"/>
        <v>0.29785024180974617</v>
      </c>
      <c r="P239" s="848">
        <f t="shared" ca="1" si="126"/>
        <v>0.28682049740080884</v>
      </c>
      <c r="Q239" s="848">
        <f t="shared" ca="1" si="126"/>
        <v>0.22371527239636449</v>
      </c>
    </row>
    <row r="240" spans="2:27">
      <c r="C240" s="584"/>
      <c r="R240" s="82">
        <v>2025</v>
      </c>
      <c r="S240" s="1">
        <v>2026</v>
      </c>
      <c r="T240" s="82">
        <v>2027</v>
      </c>
      <c r="U240" s="1">
        <v>2028</v>
      </c>
      <c r="V240" s="82">
        <v>2029</v>
      </c>
      <c r="W240" s="1">
        <v>2030</v>
      </c>
      <c r="X240" s="82">
        <v>2031</v>
      </c>
      <c r="Y240" s="1">
        <v>2032</v>
      </c>
      <c r="Z240" s="82">
        <v>2033</v>
      </c>
      <c r="AA240" s="1">
        <v>2034</v>
      </c>
    </row>
    <row r="241" spans="2:27">
      <c r="C241" s="584"/>
      <c r="R241" s="919">
        <f>R242*DCF!H106</f>
        <v>-1263.8563712603939</v>
      </c>
      <c r="S241" s="919">
        <f>S242*DCF!I106</f>
        <v>-1189.7628489655647</v>
      </c>
      <c r="T241" s="919">
        <f>T242*DCF!J106</f>
        <v>-1151.3239830662937</v>
      </c>
      <c r="U241" s="919">
        <f>U242*DCF!K106</f>
        <v>-1165.1171867807188</v>
      </c>
      <c r="V241" s="919">
        <f>V242*DCF!L106</f>
        <v>-1140.0086919501252</v>
      </c>
      <c r="W241" s="919">
        <f>W242*DCF!M106</f>
        <v>-1141.4878096376351</v>
      </c>
      <c r="X241" s="919">
        <f>X242*DCF!N106</f>
        <v>-1120.8889548663785</v>
      </c>
      <c r="Y241" s="919">
        <f>Y242*DCF!O106</f>
        <v>-1120.0289337012134</v>
      </c>
      <c r="Z241" s="919">
        <f>Z242*DCF!P106</f>
        <v>-1136.2044527272933</v>
      </c>
      <c r="AA241" s="919">
        <f>AA242*DCF!Q106</f>
        <v>-1166.5162010696204</v>
      </c>
    </row>
    <row r="242" spans="2:27">
      <c r="B242" t="s">
        <v>711</v>
      </c>
      <c r="C242" s="584"/>
      <c r="G242" s="848">
        <f t="shared" ref="G242:Q242" si="127">G78/G45</f>
        <v>-1.2048969072164948</v>
      </c>
      <c r="H242" s="848">
        <f t="shared" si="127"/>
        <v>-1.0263837109262977</v>
      </c>
      <c r="I242" s="848">
        <f t="shared" si="127"/>
        <v>-0.76087883959044367</v>
      </c>
      <c r="J242" s="848">
        <f t="shared" si="127"/>
        <v>-0.86290753607696424</v>
      </c>
      <c r="K242" s="848">
        <f t="shared" si="127"/>
        <v>-1.0997732426303855</v>
      </c>
      <c r="L242" s="848">
        <f t="shared" si="127"/>
        <v>-0.15004922874958976</v>
      </c>
      <c r="M242" s="848">
        <f t="shared" si="127"/>
        <v>-0.18976514931864308</v>
      </c>
      <c r="N242" s="848">
        <f t="shared" si="127"/>
        <v>-0.16481496283270722</v>
      </c>
      <c r="O242" s="848">
        <f t="shared" si="127"/>
        <v>-0.12035050071530758</v>
      </c>
      <c r="P242" s="848">
        <f t="shared" si="127"/>
        <v>-0.11281261326567597</v>
      </c>
      <c r="Q242" s="848">
        <f t="shared" si="127"/>
        <v>-9.8311444652908073E-2</v>
      </c>
      <c r="R242" s="75">
        <f t="shared" ref="R242:AA242" si="128">AVERAGE(O242:Q242)</f>
        <v>-0.11049151954463055</v>
      </c>
      <c r="S242" s="75">
        <f t="shared" si="128"/>
        <v>-0.10720519248773819</v>
      </c>
      <c r="T242" s="75">
        <f t="shared" si="128"/>
        <v>-0.10533605222842561</v>
      </c>
      <c r="U242" s="75">
        <f t="shared" si="128"/>
        <v>-0.10767758808693145</v>
      </c>
      <c r="V242" s="75">
        <f t="shared" si="128"/>
        <v>-0.10673961093436508</v>
      </c>
      <c r="W242" s="75">
        <f t="shared" si="128"/>
        <v>-0.10658441708324072</v>
      </c>
      <c r="X242" s="75">
        <f t="shared" si="128"/>
        <v>-0.10700053870151242</v>
      </c>
      <c r="Y242" s="75">
        <f t="shared" si="128"/>
        <v>-0.10677485557303941</v>
      </c>
      <c r="Z242" s="75">
        <f t="shared" si="128"/>
        <v>-0.10678660378593086</v>
      </c>
      <c r="AA242" s="75">
        <f t="shared" si="128"/>
        <v>-0.10685399935349423</v>
      </c>
    </row>
    <row r="243" spans="2:27">
      <c r="C243" s="584"/>
      <c r="G243" s="848"/>
      <c r="H243" s="848"/>
      <c r="I243" s="848"/>
      <c r="J243" s="848"/>
      <c r="K243" s="848"/>
      <c r="L243" s="848"/>
      <c r="M243" s="848"/>
      <c r="N243" s="848"/>
      <c r="O243" s="848"/>
      <c r="P243" s="848"/>
      <c r="Q243" s="848"/>
    </row>
    <row r="244" spans="2:27">
      <c r="C244" s="584"/>
    </row>
    <row r="245" spans="2:27">
      <c r="C245" s="584"/>
    </row>
    <row r="246" spans="2:27">
      <c r="C246" s="584"/>
    </row>
    <row r="247" spans="2:27">
      <c r="C247" s="584"/>
    </row>
    <row r="248" spans="2:27">
      <c r="C248" s="584"/>
    </row>
    <row r="249" spans="2:27">
      <c r="C249" s="584"/>
    </row>
    <row r="250" spans="2:27">
      <c r="C250" s="584"/>
    </row>
    <row r="251" spans="2:27">
      <c r="C251" s="584"/>
    </row>
    <row r="252" spans="2:27">
      <c r="C252" s="584"/>
    </row>
    <row r="253" spans="2:27">
      <c r="C253" s="584"/>
    </row>
    <row r="254" spans="2:27">
      <c r="C254" s="584"/>
    </row>
    <row r="255" spans="2:27">
      <c r="C255" s="584"/>
    </row>
    <row r="256" spans="2:27">
      <c r="C256" s="584"/>
    </row>
    <row r="257" spans="3:3">
      <c r="C257" s="584"/>
    </row>
    <row r="258" spans="3:3">
      <c r="C258" s="584"/>
    </row>
    <row r="259" spans="3:3">
      <c r="C259" s="584"/>
    </row>
    <row r="260" spans="3:3">
      <c r="C260" s="584"/>
    </row>
    <row r="261" spans="3:3">
      <c r="C261" s="584"/>
    </row>
    <row r="262" spans="3:3">
      <c r="C262" s="584"/>
    </row>
    <row r="263" spans="3:3">
      <c r="C263" s="584"/>
    </row>
    <row r="264" spans="3:3">
      <c r="C264" s="584"/>
    </row>
    <row r="265" spans="3:3">
      <c r="C265" s="584"/>
    </row>
    <row r="266" spans="3:3">
      <c r="C266" s="584"/>
    </row>
    <row r="267" spans="3:3">
      <c r="C267" s="584"/>
    </row>
    <row r="268" spans="3:3">
      <c r="C268" s="584"/>
    </row>
    <row r="269" spans="3:3">
      <c r="C269" s="584"/>
    </row>
    <row r="270" spans="3:3">
      <c r="C270" s="584"/>
    </row>
    <row r="271" spans="3:3">
      <c r="C271" s="584"/>
    </row>
    <row r="272" spans="3:3">
      <c r="C272" s="584"/>
    </row>
    <row r="273" spans="3:3">
      <c r="C273" s="584"/>
    </row>
    <row r="274" spans="3:3">
      <c r="C274" s="584"/>
    </row>
    <row r="275" spans="3:3">
      <c r="C275" s="584"/>
    </row>
    <row r="276" spans="3:3">
      <c r="C276" s="584"/>
    </row>
    <row r="277" spans="3:3">
      <c r="C277" s="584"/>
    </row>
    <row r="278" spans="3:3">
      <c r="C278" s="584"/>
    </row>
    <row r="279" spans="3:3">
      <c r="C279" s="584"/>
    </row>
    <row r="280" spans="3:3">
      <c r="C280" s="584"/>
    </row>
    <row r="281" spans="3:3">
      <c r="C281" s="584"/>
    </row>
    <row r="282" spans="3:3">
      <c r="C282" s="584"/>
    </row>
    <row r="283" spans="3:3">
      <c r="C283" s="584"/>
    </row>
    <row r="284" spans="3:3">
      <c r="C284" s="584"/>
    </row>
    <row r="285" spans="3:3">
      <c r="C285" s="584"/>
    </row>
    <row r="286" spans="3:3">
      <c r="C286" s="584"/>
    </row>
    <row r="287" spans="3:3">
      <c r="C287" s="584"/>
    </row>
    <row r="288" spans="3:3">
      <c r="C288" s="584"/>
    </row>
    <row r="289" spans="3:3">
      <c r="C289" s="584"/>
    </row>
    <row r="290" spans="3:3">
      <c r="C290" s="584"/>
    </row>
    <row r="291" spans="3:3">
      <c r="C291" s="584"/>
    </row>
    <row r="292" spans="3:3">
      <c r="C292" s="584"/>
    </row>
    <row r="293" spans="3:3">
      <c r="C293" s="584"/>
    </row>
    <row r="294" spans="3:3">
      <c r="C294" s="584"/>
    </row>
    <row r="295" spans="3:3">
      <c r="C295" s="584"/>
    </row>
    <row r="296" spans="3:3">
      <c r="C296" s="584"/>
    </row>
    <row r="297" spans="3:3">
      <c r="C297" s="584"/>
    </row>
    <row r="298" spans="3:3">
      <c r="C298" s="584"/>
    </row>
    <row r="299" spans="3:3">
      <c r="C299" s="584"/>
    </row>
    <row r="300" spans="3:3">
      <c r="C300" s="584"/>
    </row>
    <row r="301" spans="3:3">
      <c r="C301" s="584"/>
    </row>
    <row r="302" spans="3:3">
      <c r="C302" s="584"/>
    </row>
    <row r="303" spans="3:3">
      <c r="C303" s="584"/>
    </row>
    <row r="304" spans="3:3">
      <c r="C304" s="584"/>
    </row>
    <row r="305" spans="3:3">
      <c r="C305" s="584"/>
    </row>
    <row r="306" spans="3:3">
      <c r="C306" s="584"/>
    </row>
    <row r="307" spans="3:3">
      <c r="C307" s="584"/>
    </row>
    <row r="308" spans="3:3">
      <c r="C308" s="584"/>
    </row>
    <row r="309" spans="3:3">
      <c r="C309" s="584"/>
    </row>
    <row r="310" spans="3:3">
      <c r="C310" s="584"/>
    </row>
    <row r="311" spans="3:3">
      <c r="C311" s="584"/>
    </row>
    <row r="312" spans="3:3">
      <c r="C312" s="584"/>
    </row>
    <row r="313" spans="3:3">
      <c r="C313" s="584"/>
    </row>
    <row r="314" spans="3:3">
      <c r="C314" s="584"/>
    </row>
    <row r="315" spans="3:3">
      <c r="C315" s="584"/>
    </row>
    <row r="316" spans="3:3">
      <c r="C316" s="584"/>
    </row>
    <row r="317" spans="3:3">
      <c r="C317" s="584"/>
    </row>
    <row r="318" spans="3:3">
      <c r="C318" s="584"/>
    </row>
    <row r="319" spans="3:3">
      <c r="C319" s="584"/>
    </row>
    <row r="320" spans="3:3">
      <c r="C320" s="584"/>
    </row>
    <row r="321" spans="3:3">
      <c r="C321" s="584"/>
    </row>
    <row r="322" spans="3:3">
      <c r="C322" s="584"/>
    </row>
    <row r="323" spans="3:3">
      <c r="C323" s="584"/>
    </row>
    <row r="324" spans="3:3">
      <c r="C324" s="584"/>
    </row>
    <row r="325" spans="3:3">
      <c r="C325" s="584"/>
    </row>
    <row r="326" spans="3:3">
      <c r="C326" s="584"/>
    </row>
    <row r="327" spans="3:3">
      <c r="C327" s="584"/>
    </row>
    <row r="328" spans="3:3">
      <c r="C328" s="584"/>
    </row>
    <row r="329" spans="3:3">
      <c r="C329" s="584"/>
    </row>
    <row r="330" spans="3:3">
      <c r="C330" s="584"/>
    </row>
    <row r="331" spans="3:3">
      <c r="C331" s="584"/>
    </row>
    <row r="332" spans="3:3">
      <c r="C332" s="584"/>
    </row>
    <row r="333" spans="3:3">
      <c r="C333" s="584"/>
    </row>
    <row r="334" spans="3:3">
      <c r="C334" s="584"/>
    </row>
    <row r="335" spans="3:3">
      <c r="C335" s="584"/>
    </row>
    <row r="336" spans="3:3">
      <c r="C336" s="584"/>
    </row>
    <row r="337" spans="3:3">
      <c r="C337" s="584"/>
    </row>
    <row r="338" spans="3:3">
      <c r="C338" s="584"/>
    </row>
    <row r="339" spans="3:3">
      <c r="C339" s="584"/>
    </row>
    <row r="340" spans="3:3">
      <c r="C340" s="584"/>
    </row>
    <row r="341" spans="3:3">
      <c r="C341" s="584"/>
    </row>
    <row r="342" spans="3:3">
      <c r="C342" s="584"/>
    </row>
    <row r="343" spans="3:3">
      <c r="C343" s="584"/>
    </row>
    <row r="344" spans="3:3">
      <c r="C344" s="584"/>
    </row>
    <row r="345" spans="3:3">
      <c r="C345" s="584"/>
    </row>
    <row r="346" spans="3:3">
      <c r="C346" s="584"/>
    </row>
    <row r="347" spans="3:3">
      <c r="C347" s="584"/>
    </row>
    <row r="348" spans="3:3">
      <c r="C348" s="584"/>
    </row>
    <row r="349" spans="3:3">
      <c r="C349" s="584"/>
    </row>
    <row r="350" spans="3:3">
      <c r="C350" s="584"/>
    </row>
    <row r="351" spans="3:3">
      <c r="C351" s="584"/>
    </row>
    <row r="352" spans="3:3">
      <c r="C352" s="584"/>
    </row>
    <row r="353" spans="3:3">
      <c r="C353" s="584"/>
    </row>
    <row r="354" spans="3:3">
      <c r="C354" s="584"/>
    </row>
    <row r="355" spans="3:3">
      <c r="C355" s="584"/>
    </row>
    <row r="356" spans="3:3">
      <c r="C356" s="584"/>
    </row>
    <row r="357" spans="3:3">
      <c r="C357" s="584"/>
    </row>
    <row r="358" spans="3:3">
      <c r="C358" s="584"/>
    </row>
    <row r="359" spans="3:3">
      <c r="C359" s="584"/>
    </row>
    <row r="360" spans="3:3">
      <c r="C360" s="584"/>
    </row>
    <row r="361" spans="3:3">
      <c r="C361" s="584"/>
    </row>
    <row r="362" spans="3:3">
      <c r="C362" s="584"/>
    </row>
    <row r="363" spans="3:3">
      <c r="C363" s="584"/>
    </row>
    <row r="364" spans="3:3">
      <c r="C364" s="584"/>
    </row>
    <row r="365" spans="3:3">
      <c r="C365" s="584"/>
    </row>
    <row r="366" spans="3:3">
      <c r="C366" s="584"/>
    </row>
    <row r="367" spans="3:3">
      <c r="C367" s="584"/>
    </row>
    <row r="368" spans="3:3">
      <c r="C368" s="584"/>
    </row>
    <row r="369" spans="3:3">
      <c r="C369" s="584"/>
    </row>
    <row r="370" spans="3:3">
      <c r="C370" s="584"/>
    </row>
    <row r="371" spans="3:3">
      <c r="C371" s="584"/>
    </row>
    <row r="372" spans="3:3">
      <c r="C372" s="584"/>
    </row>
    <row r="373" spans="3:3">
      <c r="C373" s="584"/>
    </row>
    <row r="374" spans="3:3">
      <c r="C374" s="584"/>
    </row>
    <row r="375" spans="3:3">
      <c r="C375" s="584"/>
    </row>
    <row r="376" spans="3:3">
      <c r="C376" s="584"/>
    </row>
    <row r="377" spans="3:3">
      <c r="C377" s="584"/>
    </row>
    <row r="378" spans="3:3">
      <c r="C378" s="584"/>
    </row>
    <row r="379" spans="3:3">
      <c r="C379" s="584"/>
    </row>
    <row r="380" spans="3:3">
      <c r="C380" s="584"/>
    </row>
    <row r="381" spans="3:3">
      <c r="C381" s="584"/>
    </row>
    <row r="382" spans="3:3">
      <c r="C382" s="584"/>
    </row>
    <row r="383" spans="3:3">
      <c r="C383" s="584"/>
    </row>
    <row r="384" spans="3:3">
      <c r="C384" s="584"/>
    </row>
    <row r="385" spans="3:3">
      <c r="C385" s="584"/>
    </row>
    <row r="386" spans="3:3">
      <c r="C386" s="584"/>
    </row>
    <row r="387" spans="3:3">
      <c r="C387" s="584"/>
    </row>
    <row r="388" spans="3:3">
      <c r="C388" s="584"/>
    </row>
    <row r="389" spans="3:3">
      <c r="C389" s="584"/>
    </row>
    <row r="390" spans="3:3">
      <c r="C390" s="584"/>
    </row>
    <row r="391" spans="3:3">
      <c r="C391" s="584"/>
    </row>
    <row r="392" spans="3:3">
      <c r="C392" s="584"/>
    </row>
    <row r="393" spans="3:3">
      <c r="C393" s="584"/>
    </row>
    <row r="394" spans="3:3">
      <c r="C394" s="584"/>
    </row>
    <row r="395" spans="3:3">
      <c r="C395" s="584"/>
    </row>
    <row r="396" spans="3:3">
      <c r="C396" s="584"/>
    </row>
    <row r="397" spans="3:3">
      <c r="C397" s="584"/>
    </row>
    <row r="398" spans="3:3">
      <c r="C398" s="584"/>
    </row>
    <row r="399" spans="3:3">
      <c r="C399" s="584"/>
    </row>
    <row r="400" spans="3:3">
      <c r="C400" s="584"/>
    </row>
    <row r="401" spans="3:3">
      <c r="C401" s="584"/>
    </row>
    <row r="402" spans="3:3">
      <c r="C402" s="584"/>
    </row>
    <row r="403" spans="3:3">
      <c r="C403" s="584"/>
    </row>
    <row r="404" spans="3:3">
      <c r="C404" s="584"/>
    </row>
    <row r="405" spans="3:3">
      <c r="C405" s="584"/>
    </row>
    <row r="406" spans="3:3">
      <c r="C406" s="584"/>
    </row>
    <row r="407" spans="3:3">
      <c r="C407" s="584"/>
    </row>
    <row r="408" spans="3:3">
      <c r="C408" s="584"/>
    </row>
    <row r="409" spans="3:3">
      <c r="C409" s="584"/>
    </row>
    <row r="410" spans="3:3">
      <c r="C410" s="584"/>
    </row>
    <row r="411" spans="3:3">
      <c r="C411" s="584"/>
    </row>
    <row r="412" spans="3:3">
      <c r="C412" s="584"/>
    </row>
    <row r="413" spans="3:3">
      <c r="C413" s="584"/>
    </row>
    <row r="414" spans="3:3">
      <c r="C414" s="584"/>
    </row>
    <row r="415" spans="3:3">
      <c r="C415" s="584"/>
    </row>
  </sheetData>
  <phoneticPr fontId="74" type="noConversion"/>
  <pageMargins left="0.7" right="0.7" top="0.75" bottom="0.75" header="0.3" footer="0.3"/>
  <pageSetup paperSize="9"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BB8C159A-9952-4567-B622-CD5CF962C982}">
          <x14:colorSeries rgb="FF7B1314"/>
          <x14:colorNegative rgb="FFD00000"/>
          <x14:colorAxis rgb="FF000000"/>
          <x14:colorMarkers rgb="FFD00000"/>
          <x14:colorFirst rgb="FFD00000"/>
          <x14:colorLast rgb="FFD00000"/>
          <x14:colorHigh rgb="FFD00000"/>
          <x14:colorLow rgb="FFD00000"/>
          <x14:sparklines>
            <x14:sparkline>
              <xm:f>Inputs!G3:Q3</xm:f>
              <xm:sqref>F3</xm:sqref>
            </x14:sparkline>
          </x14:sparklines>
        </x14:sparklineGroup>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Inputs!G122:P122</xm:f>
              <xm:sqref>F122</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
              <xm:f>Inputs!G72:Q72</xm:f>
              <xm:sqref>F72</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Inputs!G96:Q96</xm:f>
              <xm:sqref>F96</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5"/>
  <sheetViews>
    <sheetView showGridLines="0" topLeftCell="A6" zoomScale="82" zoomScaleNormal="82" workbookViewId="0">
      <selection activeCell="H23" sqref="H23"/>
    </sheetView>
  </sheetViews>
  <sheetFormatPr defaultRowHeight="14.1"/>
  <cols>
    <col min="1" max="1" width="2.375" customWidth="1"/>
    <col min="2" max="2" width="13.5" bestFit="1" customWidth="1"/>
    <col min="6" max="6" width="8.125" customWidth="1"/>
    <col min="7" max="7" width="12.5" bestFit="1" customWidth="1"/>
    <col min="9" max="9" width="15.375" customWidth="1"/>
    <col min="10" max="10" width="13.75" customWidth="1"/>
    <col min="13" max="13" width="33" customWidth="1"/>
    <col min="14" max="14" width="14" customWidth="1"/>
    <col min="16" max="16" width="26.75" bestFit="1" customWidth="1"/>
    <col min="17" max="17" width="10.375" bestFit="1" customWidth="1"/>
    <col min="18" max="18" width="12.125" bestFit="1" customWidth="1"/>
  </cols>
  <sheetData>
    <row r="2" spans="2:14" s="34" customFormat="1" ht="20.100000000000001">
      <c r="B2" s="36" t="s">
        <v>441</v>
      </c>
    </row>
    <row r="4" spans="2:14">
      <c r="B4" t="s">
        <v>712</v>
      </c>
    </row>
    <row r="5" spans="2:14">
      <c r="B5" t="s">
        <v>713</v>
      </c>
    </row>
    <row r="7" spans="2:14">
      <c r="B7" s="2" t="s">
        <v>441</v>
      </c>
      <c r="C7" s="3"/>
      <c r="D7" s="3"/>
      <c r="E7" s="3"/>
      <c r="F7" s="3"/>
      <c r="G7" s="105"/>
      <c r="I7" s="2" t="s">
        <v>714</v>
      </c>
      <c r="J7" s="106" t="s">
        <v>114</v>
      </c>
      <c r="K7" s="106" t="s">
        <v>715</v>
      </c>
      <c r="M7" s="685" t="s">
        <v>199</v>
      </c>
      <c r="N7" s="686" t="s">
        <v>716</v>
      </c>
    </row>
    <row r="8" spans="2:14" ht="3.95" customHeight="1">
      <c r="B8" s="107"/>
      <c r="C8" s="108"/>
      <c r="D8" s="108"/>
      <c r="E8" s="108"/>
      <c r="F8" s="108"/>
      <c r="G8" s="109"/>
      <c r="I8" s="108"/>
      <c r="J8" s="110"/>
      <c r="K8" s="111"/>
      <c r="M8" s="687" t="s">
        <v>329</v>
      </c>
      <c r="N8" s="687"/>
    </row>
    <row r="9" spans="2:14">
      <c r="B9" s="112" t="s">
        <v>717</v>
      </c>
      <c r="G9" s="113" cm="1">
        <f t="array" aca="1" ref="G9" ca="1">+_FV(DCF!R4,"Market cap",TRUE)/1000000</f>
        <v>268622.2</v>
      </c>
      <c r="I9" t="str">
        <f>Segments!B6</f>
        <v>United States of America</v>
      </c>
      <c r="J9" s="114">
        <f>Segments!D6</f>
        <v>0.41463736989922351</v>
      </c>
      <c r="K9" s="115">
        <v>4.3299999999999998E-2</v>
      </c>
      <c r="M9" s="112" t="str">
        <f ca="1">+Peers!B8</f>
        <v>ACCENTURE PUBLIC LIMITED COMPANY</v>
      </c>
      <c r="N9" s="689">
        <f ca="1">+Peers!E75</f>
        <v>1.1545799322545858</v>
      </c>
    </row>
    <row r="10" spans="2:14">
      <c r="B10" t="s">
        <v>718</v>
      </c>
      <c r="G10" s="17">
        <f ca="1">IFERROR(G9/G23,"")</f>
        <v>0.82142889906433347</v>
      </c>
      <c r="J10" s="114"/>
      <c r="K10" s="115"/>
      <c r="M10" s="112" t="str">
        <f ca="1">+Peers!B9</f>
        <v>Capgemini</v>
      </c>
      <c r="N10" s="689">
        <f ca="1">+Peers!F75</f>
        <v>0.76463421666032194</v>
      </c>
    </row>
    <row r="11" spans="2:14">
      <c r="B11" t="s">
        <v>719</v>
      </c>
      <c r="G11" s="29">
        <f ca="1">IFERROR(G12+G14*G15,"")</f>
        <v>9.9244333163692189E-2</v>
      </c>
      <c r="J11" s="114"/>
      <c r="K11" s="115"/>
      <c r="M11" s="112" t="str">
        <f ca="1">+Peers!B10</f>
        <v>MICROSOFT CORPORATION</v>
      </c>
      <c r="N11" s="689">
        <f ca="1">+Peers!G75</f>
        <v>0.78581050812984832</v>
      </c>
    </row>
    <row r="12" spans="2:14">
      <c r="B12" t="s">
        <v>720</v>
      </c>
      <c r="G12" s="116">
        <v>4.2900000000000001E-2</v>
      </c>
      <c r="J12" s="114"/>
      <c r="K12" s="115"/>
      <c r="M12" s="112" t="str">
        <f ca="1">+Peers!B11</f>
        <v>ORACLE CORPORATION</v>
      </c>
      <c r="N12" s="689">
        <f ca="1">+Peers!H75</f>
        <v>0.15037288021074674</v>
      </c>
    </row>
    <row r="13" spans="2:14">
      <c r="B13" t="s">
        <v>721</v>
      </c>
      <c r="G13" s="117">
        <f ca="1">+N19</f>
        <v>1.096831336691783</v>
      </c>
      <c r="J13" s="114"/>
      <c r="K13" s="115"/>
      <c r="M13" s="112" t="str">
        <f ca="1">+Peers!B12</f>
        <v>HEWLETT PACKARD ENTERPRISE COMPANY</v>
      </c>
      <c r="N13" s="689">
        <f ca="1">+Peers!I75</f>
        <v>0.85226956418543953</v>
      </c>
    </row>
    <row r="14" spans="2:14">
      <c r="B14" t="s">
        <v>44</v>
      </c>
      <c r="G14" s="888">
        <f ca="1">+IFERROR(G13*(1+(1-G21)*(G18/G9)),"")</f>
        <v>1.3012548074755703</v>
      </c>
      <c r="I14" t="s">
        <v>161</v>
      </c>
      <c r="J14" s="29">
        <f>1-SUM(J9:J13)</f>
        <v>0.58536263010077649</v>
      </c>
      <c r="K14" s="29">
        <f>MAX(K9:K13)</f>
        <v>4.3299999999999998E-2</v>
      </c>
      <c r="M14" s="112" t="str">
        <f ca="1">+Peers!B13</f>
        <v>IONQ</v>
      </c>
      <c r="N14" s="689">
        <f ca="1">+Peers!J75</f>
        <v>2.4781693963804949</v>
      </c>
    </row>
    <row r="15" spans="2:14">
      <c r="B15" t="s">
        <v>722</v>
      </c>
      <c r="G15" s="386">
        <f>SUMPRODUCT(J9:J14,K9:K14)</f>
        <v>4.3299999999999998E-2</v>
      </c>
      <c r="J15" s="29"/>
      <c r="K15" s="29"/>
      <c r="M15" s="112" t="str">
        <f ca="1">+Peers!B14</f>
        <v>Rigetti</v>
      </c>
      <c r="N15" s="689">
        <f ca="1">+Peers!K75</f>
        <v>1.4919828590210429</v>
      </c>
    </row>
    <row r="16" spans="2:14">
      <c r="B16" s="1" t="s">
        <v>719</v>
      </c>
      <c r="G16" s="29">
        <f ca="1">IFERROR(+G12+G13*G15,"")</f>
        <v>9.0392796878754206E-2</v>
      </c>
      <c r="J16" s="29"/>
      <c r="K16" s="29"/>
      <c r="M16" s="112" t="str">
        <f>+Peers!B15</f>
        <v/>
      </c>
      <c r="N16" s="689" t="str">
        <f>+Peers!L75</f>
        <v/>
      </c>
    </row>
    <row r="17" spans="2:14">
      <c r="M17" s="112" t="str">
        <f>+Peers!B16</f>
        <v/>
      </c>
      <c r="N17" s="689" t="str">
        <f>+Peers!M75</f>
        <v/>
      </c>
    </row>
    <row r="18" spans="2:14">
      <c r="B18" s="112" t="s">
        <v>723</v>
      </c>
      <c r="G18" s="118">
        <f>Inputs!Q114</f>
        <v>58396</v>
      </c>
      <c r="M18" s="112" t="str">
        <f>+Peers!B17</f>
        <v/>
      </c>
      <c r="N18" s="689" t="str">
        <f>+Peers!N75</f>
        <v/>
      </c>
    </row>
    <row r="19" spans="2:14">
      <c r="B19" t="s">
        <v>468</v>
      </c>
      <c r="G19" s="17">
        <f ca="1">IFERROR(G18/G23,"")</f>
        <v>0.17857110093566658</v>
      </c>
      <c r="M19" s="688" t="s">
        <v>201</v>
      </c>
      <c r="N19" s="690">
        <f ca="1">IFERROR(+AVERAGEIF(N9:N18,"&gt;0"),"")</f>
        <v>1.096831336691783</v>
      </c>
    </row>
    <row r="20" spans="2:14">
      <c r="B20" t="s">
        <v>724</v>
      </c>
      <c r="G20" s="116">
        <f>Inputs!Q18/Inputs!Q114</f>
        <v>2.9317076512089868E-2</v>
      </c>
    </row>
    <row r="21" spans="2:14">
      <c r="B21" t="s">
        <v>725</v>
      </c>
      <c r="G21" s="116">
        <f>+DCF!H80</f>
        <v>0.14266666666666669</v>
      </c>
    </row>
    <row r="23" spans="2:14">
      <c r="B23" t="s">
        <v>117</v>
      </c>
      <c r="G23" s="24">
        <f ca="1">+G9+G18</f>
        <v>327018.2</v>
      </c>
    </row>
    <row r="25" spans="2:14">
      <c r="B25" s="1" t="s">
        <v>441</v>
      </c>
      <c r="G25" s="119">
        <f ca="1">IFERROR(G10*G11+G19*G20*(1-G21),"")</f>
        <v>8.6010459902936973E-2</v>
      </c>
    </row>
  </sheetData>
  <phoneticPr fontId="74"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topLeftCell="A13" zoomScale="70" zoomScaleNormal="100" workbookViewId="0">
      <selection activeCell="Q42" sqref="Q42"/>
    </sheetView>
  </sheetViews>
  <sheetFormatPr defaultRowHeight="14.1"/>
  <cols>
    <col min="1" max="1" width="1.625" customWidth="1"/>
    <col min="2" max="2" width="15.625" style="8" customWidth="1"/>
    <col min="4" max="4" width="16.125" customWidth="1"/>
    <col min="5" max="13" width="13.375" customWidth="1"/>
    <col min="14" max="17" width="12.75" style="23" customWidth="1"/>
    <col min="18" max="18" width="12.75" customWidth="1"/>
  </cols>
  <sheetData>
    <row r="1" spans="2:19">
      <c r="R1" s="23"/>
    </row>
    <row r="2" spans="2:19" s="236" customFormat="1" ht="20.100000000000001" customHeight="1">
      <c r="B2" s="235" t="s">
        <v>726</v>
      </c>
      <c r="C2" s="483"/>
      <c r="D2" s="483"/>
      <c r="E2" s="483"/>
      <c r="F2" s="483"/>
      <c r="G2" s="483"/>
      <c r="H2" s="483"/>
      <c r="I2" s="483"/>
      <c r="J2" s="483"/>
      <c r="K2" s="483"/>
      <c r="L2" s="483"/>
      <c r="M2" s="483"/>
      <c r="N2" s="484"/>
      <c r="O2" s="484"/>
      <c r="P2" s="484"/>
      <c r="Q2" s="237"/>
      <c r="R2" s="237"/>
      <c r="S2" s="483"/>
    </row>
    <row r="3" spans="2:19">
      <c r="R3" s="23"/>
    </row>
    <row r="4" spans="2:19" ht="15.6">
      <c r="B4" s="7" t="s">
        <v>727</v>
      </c>
      <c r="C4" s="49"/>
      <c r="D4" s="51"/>
      <c r="E4" s="51"/>
      <c r="F4" s="363">
        <v>2014</v>
      </c>
      <c r="G4" s="363">
        <f t="shared" ref="G4:J4" si="0">+F4+1</f>
        <v>2015</v>
      </c>
      <c r="H4" s="363">
        <f t="shared" si="0"/>
        <v>2016</v>
      </c>
      <c r="I4" s="363">
        <f t="shared" si="0"/>
        <v>2017</v>
      </c>
      <c r="J4" s="363">
        <f t="shared" si="0"/>
        <v>2018</v>
      </c>
      <c r="K4" s="363">
        <f t="shared" ref="K4" si="1">+J4+1</f>
        <v>2019</v>
      </c>
      <c r="L4" s="363">
        <f t="shared" ref="L4" si="2">+K4+1</f>
        <v>2020</v>
      </c>
      <c r="M4" s="363">
        <f t="shared" ref="M4" si="3">+L4+1</f>
        <v>2021</v>
      </c>
      <c r="N4" s="363">
        <v>2022</v>
      </c>
      <c r="O4" s="363">
        <f t="shared" ref="O4" si="4">+N4+1</f>
        <v>2023</v>
      </c>
      <c r="P4" s="364">
        <f>+O4+1</f>
        <v>2024</v>
      </c>
      <c r="Q4" s="362">
        <f>+P4+1</f>
        <v>2025</v>
      </c>
      <c r="R4" s="362">
        <f>+Q4+1</f>
        <v>2026</v>
      </c>
    </row>
    <row r="5" spans="2:19" ht="3.95" customHeight="1">
      <c r="B5" s="238"/>
      <c r="C5" s="46"/>
      <c r="D5" s="53"/>
      <c r="E5" s="53"/>
      <c r="F5" s="53"/>
      <c r="G5" s="53"/>
      <c r="H5" s="53"/>
      <c r="I5" s="53"/>
      <c r="J5" s="53"/>
      <c r="K5" s="53"/>
      <c r="L5" s="53"/>
      <c r="M5" s="53"/>
      <c r="N5" s="212"/>
      <c r="O5" s="212"/>
      <c r="P5" s="345"/>
      <c r="Q5" s="212"/>
      <c r="R5" s="212"/>
    </row>
    <row r="6" spans="2:19" ht="15.6">
      <c r="B6" s="15" t="s">
        <v>12</v>
      </c>
      <c r="F6" s="16">
        <f ca="1">IFERROR(_xlfn.XLOOKUP("Enterprise Value",Inputs!$B:$B,Inputs!G:G)/_xlfn.XLOOKUP("Revenue (Sales)",Inputs!$B:$B,Inputs!G:G),"")</f>
        <v>2.0854751261082192</v>
      </c>
      <c r="G6" s="16">
        <f ca="1">IFERROR(_xlfn.XLOOKUP("Enterprise Value",Inputs!$B:$B,Inputs!H:H)/_xlfn.XLOOKUP("Revenue (Sales)",Inputs!$B:$B,Inputs!H:H),"")</f>
        <v>2.0375554648861649</v>
      </c>
      <c r="H6" s="16">
        <f ca="1">IFERROR(_xlfn.XLOOKUP("Enterprise Value",Inputs!$B:$B,Inputs!I:I)/_xlfn.XLOOKUP("Revenue (Sales)",Inputs!$B:$B,Inputs!I:I),"")</f>
        <v>2.4144495488932542</v>
      </c>
      <c r="I6" s="16">
        <f ca="1">IFERROR(_xlfn.XLOOKUP("Enterprise Value",Inputs!$B:$B,Inputs!J:J)/_xlfn.XLOOKUP("Revenue (Sales)",Inputs!$B:$B,Inputs!J:J),"")</f>
        <v>2.2427566309771412</v>
      </c>
      <c r="J6" s="16">
        <f ca="1">IFERROR(_xlfn.XLOOKUP("Enterprise Value",Inputs!$B:$B,Inputs!K:K)/_xlfn.XLOOKUP("Revenue (Sales)",Inputs!$B:$B,Inputs!K:K),"")</f>
        <v>1.7291088734183513</v>
      </c>
      <c r="K6" s="16">
        <f ca="1">IFERROR(_xlfn.XLOOKUP("Enterprise Value",Inputs!$B:$B,Inputs!L:L)/_xlfn.XLOOKUP("Revenue (Sales)",Inputs!$B:$B,Inputs!L:L),"")</f>
        <v>2.3224103785526333</v>
      </c>
      <c r="L6" s="16">
        <f ca="1">IFERROR(_xlfn.XLOOKUP("Enterprise Value",Inputs!$B:$B,Inputs!M:M)/_xlfn.XLOOKUP("Revenue (Sales)",Inputs!$B:$B,Inputs!M:M),"")</f>
        <v>2.9856846211877706</v>
      </c>
      <c r="M6" s="16">
        <f ca="1">IFERROR(_xlfn.XLOOKUP("Enterprise Value",Inputs!$B:$B,Inputs!N:N)/_xlfn.XLOOKUP("Revenue (Sales)",Inputs!$B:$B,Inputs!N:N),"")</f>
        <v>2.9300109233105496</v>
      </c>
      <c r="N6" s="16">
        <f ca="1">IFERROR(_xlfn.XLOOKUP("Enterprise Value",Inputs!$B:$B,Inputs!O:O)/_xlfn.XLOOKUP("Revenue (Sales)",Inputs!$B:$B,Inputs!O:O),"")</f>
        <v>2.8652042068627126</v>
      </c>
      <c r="O6" s="16">
        <f ca="1">IFERROR(_xlfn.XLOOKUP("Enterprise Value",Inputs!$B:$B,Inputs!P:P)/_xlfn.XLOOKUP("Revenue (Sales)",Inputs!$B:$B,Inputs!P:P),"")</f>
        <v>3.1620182294285484</v>
      </c>
      <c r="P6" s="343">
        <f ca="1">IFERROR(_xlfn.XLOOKUP("Enterprise Value",Inputs!$B:$B,Inputs!Q:Q)/_xlfn.XLOOKUP("Revenue (Sales)",Inputs!$B:$B,Inputs!Q:Q),"")</f>
        <v>3.9284691241569329</v>
      </c>
      <c r="Q6" s="350">
        <f ca="1">IFERROR(_xlfn.XLOOKUP("Enterprise Value",DCF!$B:$B,DCF!R:R)/_xlfn.XLOOKUP("Revenue (Sales)",DCF!$B:$B,DCF!H:H),"")</f>
        <v>4.47953430975911</v>
      </c>
      <c r="R6" s="350">
        <f ca="1">IFERROR(_xlfn.XLOOKUP("Enterprise Value",DCF!$B:$B,DCF!S:S)/_xlfn.XLOOKUP("Revenue (Sales)",DCF!$B:$B,DCF!I:I),"")</f>
        <v>4.4394652480934145</v>
      </c>
    </row>
    <row r="7" spans="2:19" ht="15.6">
      <c r="B7" s="18" t="s">
        <v>15</v>
      </c>
      <c r="F7" s="16">
        <f ca="1">IFERROR(_xlfn.XLOOKUP("Market Capitalization",Inputs!$B:$B,Inputs!G:G)/_xlfn.XLOOKUP("Revenue (Sales)",Inputs!$B:$B,Inputs!G:G),"")</f>
        <v>1.7363970706514498</v>
      </c>
      <c r="G7" s="16">
        <f ca="1">IFERROR(_xlfn.XLOOKUP("Market Capitalization",Inputs!$B:$B,Inputs!H:H)/_xlfn.XLOOKUP("Revenue (Sales)",Inputs!$B:$B,Inputs!H:H),"")</f>
        <v>1.6478244853287825</v>
      </c>
      <c r="H7" s="16">
        <f ca="1">IFERROR(_xlfn.XLOOKUP("Market Capitalization",Inputs!$B:$B,Inputs!I:I)/_xlfn.XLOOKUP("Revenue (Sales)",Inputs!$B:$B,Inputs!I:I),"")</f>
        <v>1.9916839987737582</v>
      </c>
      <c r="I7" s="16">
        <f ca="1">IFERROR(_xlfn.XLOOKUP("Market Capitalization",Inputs!$B:$B,Inputs!J:J)/_xlfn.XLOOKUP("Revenue (Sales)",Inputs!$B:$B,Inputs!J:J),"")</f>
        <v>1.8083943064595205</v>
      </c>
      <c r="J7" s="16">
        <f ca="1">IFERROR(_xlfn.XLOOKUP("Market Capitalization",Inputs!$B:$B,Inputs!K:K)/_xlfn.XLOOKUP("Revenue (Sales)",Inputs!$B:$B,Inputs!K:K),"")</f>
        <v>1.3025656712975087</v>
      </c>
      <c r="K7" s="16">
        <f ca="1">IFERROR(_xlfn.XLOOKUP("Market Capitalization",Inputs!$B:$B,Inputs!L:L)/_xlfn.XLOOKUP("Revenue (Sales)",Inputs!$B:$B,Inputs!L:L),"")</f>
        <v>1.5415374995035451</v>
      </c>
      <c r="L7" s="16">
        <f ca="1">IFERROR(_xlfn.XLOOKUP("Market Capitalization",Inputs!$B:$B,Inputs!M:M)/_xlfn.XLOOKUP("Revenue (Sales)",Inputs!$B:$B,Inputs!M:M),"")</f>
        <v>2.0311548181830044</v>
      </c>
      <c r="M7" s="16">
        <f ca="1">IFERROR(_xlfn.XLOOKUP("Market Capitalization",Inputs!$B:$B,Inputs!N:N)/_xlfn.XLOOKUP("Revenue (Sales)",Inputs!$B:$B,Inputs!N:N),"")</f>
        <v>2.0881974969809942</v>
      </c>
      <c r="N7" s="16">
        <f ca="1">IFERROR(_xlfn.XLOOKUP("Market Capitalization",Inputs!$B:$B,Inputs!O:O)/_xlfn.XLOOKUP("Revenue (Sales)",Inputs!$B:$B,Inputs!O:O),"")</f>
        <v>2.1035818708309928</v>
      </c>
      <c r="O7" s="16">
        <f ca="1">IFERROR(_xlfn.XLOOKUP("Market Capitalization",Inputs!$B:$B,Inputs!P:P)/_xlfn.XLOOKUP("Revenue (Sales)",Inputs!$B:$B,Inputs!P:P),"")</f>
        <v>2.4091245986493699</v>
      </c>
      <c r="P7" s="343">
        <f ca="1">IFERROR(_xlfn.XLOOKUP("Market Capitalization",Inputs!$B:$B,Inputs!Q:Q)/_xlfn.XLOOKUP("Revenue (Sales)",Inputs!$B:$B,Inputs!Q:Q),"")</f>
        <v>3.2290443954587031</v>
      </c>
      <c r="Q7" s="350">
        <f ca="1">IFERROR(_xlfn.XLOOKUP("Equity Value",DCF!$B:$B,DCF!R:R)/_xlfn.XLOOKUP("Revenue (Sales)",DCF!$B:$B,DCF!H:H),"")</f>
        <v>3.8715383891580886</v>
      </c>
      <c r="R7" s="350">
        <f ca="1">IFERROR(_xlfn.XLOOKUP("Equity Value",DCF!$B:$B,DCF!S:S)/_xlfn.XLOOKUP("Revenue (Sales)",DCF!$B:$B,DCF!I:I),"")</f>
        <v>3.8841567057155761</v>
      </c>
    </row>
    <row r="8" spans="2:19" ht="15.6">
      <c r="B8" s="239" t="s">
        <v>18</v>
      </c>
      <c r="F8" s="16">
        <f ca="1">IFERROR(_xlfn.XLOOKUP("Enterprise Value",Inputs!$B:$B,Inputs!G:G)/_xlfn.XLOOKUP("EBITDA",Inputs!$B:$B,Inputs!G:G),"")</f>
        <v>8.4050335900347459</v>
      </c>
      <c r="G8" s="16">
        <f ca="1">IFERROR(_xlfn.XLOOKUP("Enterprise Value",Inputs!$B:$B,Inputs!H:H)/_xlfn.XLOOKUP("EBITDA",Inputs!$B:$B,Inputs!H:H),"")</f>
        <v>8.5218901583739264</v>
      </c>
      <c r="H8" s="16">
        <f ca="1">IFERROR(_xlfn.XLOOKUP("Enterprise Value",Inputs!$B:$B,Inputs!I:I)/_xlfn.XLOOKUP("EBITDA",Inputs!$B:$B,Inputs!I:I),"")</f>
        <v>11.035136308932859</v>
      </c>
      <c r="I8" s="16">
        <f ca="1">IFERROR(_xlfn.XLOOKUP("Enterprise Value",Inputs!$B:$B,Inputs!J:J)/_xlfn.XLOOKUP("EBITDA",Inputs!$B:$B,Inputs!J:J),"")</f>
        <v>10.038999831385746</v>
      </c>
      <c r="J8" s="16">
        <f ca="1">IFERROR(_xlfn.XLOOKUP("Enterprise Value",Inputs!$B:$B,Inputs!K:K)/_xlfn.XLOOKUP("EBITDA",Inputs!$B:$B,Inputs!K:K),"")</f>
        <v>7.7765442924925132</v>
      </c>
      <c r="K8" s="16">
        <f ca="1">IFERROR(_xlfn.XLOOKUP("Enterprise Value",Inputs!$B:$B,Inputs!L:L)/_xlfn.XLOOKUP("EBITDA",Inputs!$B:$B,Inputs!L:L),"")</f>
        <v>10.797745644199363</v>
      </c>
      <c r="L8" s="16">
        <f ca="1">IFERROR(_xlfn.XLOOKUP("Enterprise Value",Inputs!$B:$B,Inputs!M:M)/_xlfn.XLOOKUP("EBITDA",Inputs!$B:$B,Inputs!M:M),"")</f>
        <v>14.506215700670952</v>
      </c>
      <c r="M8" s="16">
        <f ca="1">IFERROR(_xlfn.XLOOKUP("Enterprise Value",Inputs!$B:$B,Inputs!N:N)/_xlfn.XLOOKUP("EBITDA",Inputs!$B:$B,Inputs!N:N),"")</f>
        <v>12.652370036281907</v>
      </c>
      <c r="N8" s="16">
        <f ca="1">IFERROR(_xlfn.XLOOKUP("Enterprise Value",Inputs!$B:$B,Inputs!O:O)/_xlfn.XLOOKUP("EBITDA",Inputs!$B:$B,Inputs!O:O),"")</f>
        <v>13.364476430715881</v>
      </c>
      <c r="O8" s="16">
        <f ca="1">IFERROR(_xlfn.XLOOKUP("Enterprise Value",Inputs!$B:$B,Inputs!P:P)/_xlfn.XLOOKUP("EBITDA",Inputs!$B:$B,Inputs!P:P),"")</f>
        <v>14.196722867792859</v>
      </c>
      <c r="P8" s="343">
        <f ca="1">IFERROR(_xlfn.XLOOKUP("Enterprise Value",Inputs!$B:$B,Inputs!Q:Q)/_xlfn.XLOOKUP("EBITDA",Inputs!$B:$B,Inputs!Q:Q),"")</f>
        <v>17.54863489096099</v>
      </c>
      <c r="Q8" s="350">
        <f ca="1">IFERROR(_xlfn.XLOOKUP("Enterprise Value",DCF!$B:$B,DCF!R:R)/_xlfn.XLOOKUP("EBITDA",DCF!$B:$B,DCF!H:H),"")</f>
        <v>21.831534886164562</v>
      </c>
      <c r="R8" s="350">
        <f ca="1">IFERROR(_xlfn.XLOOKUP("Enterprise Value",DCF!$B:$B,DCF!S:S)/_xlfn.XLOOKUP("EBITDA",DCF!$B:$B,DCF!I:I),"")</f>
        <v>21.677854097894912</v>
      </c>
    </row>
    <row r="9" spans="2:19" ht="15.6">
      <c r="B9" s="239" t="s">
        <v>21</v>
      </c>
      <c r="F9" s="16">
        <f ca="1">IFERROR(_xlfn.XLOOKUP("Enterprise Value",Inputs!$B:$B,Inputs!G:G)/_xlfn.XLOOKUP("Operating Income (EBIT)",Inputs!$B:$B,Inputs!G:G),"")</f>
        <v>10.442342616930715</v>
      </c>
      <c r="G9" s="16">
        <f ca="1">IFERROR(_xlfn.XLOOKUP("Enterprise Value",Inputs!$B:$B,Inputs!H:H)/_xlfn.XLOOKUP("Operating Income (EBIT)",Inputs!$B:$B,Inputs!H:H),"")</f>
        <v>10.615834103847282</v>
      </c>
      <c r="H9" s="16">
        <f ca="1">IFERROR(_xlfn.XLOOKUP("Enterprise Value",Inputs!$B:$B,Inputs!I:I)/_xlfn.XLOOKUP("Operating Income (EBIT)",Inputs!$B:$B,Inputs!I:I),"")</f>
        <v>14.724181113925981</v>
      </c>
      <c r="I9" s="16">
        <f ca="1">IFERROR(_xlfn.XLOOKUP("Enterprise Value",Inputs!$B:$B,Inputs!J:J)/_xlfn.XLOOKUP("Operating Income (EBIT)",Inputs!$B:$B,Inputs!J:J),"")</f>
        <v>13.508601645399192</v>
      </c>
      <c r="J9" s="16">
        <f ca="1">IFERROR(_xlfn.XLOOKUP("Enterprise Value",Inputs!$B:$B,Inputs!K:K)/_xlfn.XLOOKUP("Operating Income (EBIT)",Inputs!$B:$B,Inputs!K:K),"")</f>
        <v>10.412461552866763</v>
      </c>
      <c r="K9" s="16">
        <f ca="1">IFERROR(_xlfn.XLOOKUP("Enterprise Value",Inputs!$B:$B,Inputs!L:L)/_xlfn.XLOOKUP("Operating Income (EBIT)",Inputs!$B:$B,Inputs!L:L),"")</f>
        <v>17.008448212853619</v>
      </c>
      <c r="L9" s="16">
        <f ca="1">IFERROR(_xlfn.XLOOKUP("Enterprise Value",Inputs!$B:$B,Inputs!M:M)/_xlfn.XLOOKUP("Operating Income (EBIT)",Inputs!$B:$B,Inputs!M:M),"")</f>
        <v>35.338286510622048</v>
      </c>
      <c r="M9" s="16">
        <f ca="1">IFERROR(_xlfn.XLOOKUP("Enterprise Value",Inputs!$B:$B,Inputs!N:N)/_xlfn.XLOOKUP("Operating Income (EBIT)",Inputs!$B:$B,Inputs!N:N),"")</f>
        <v>24.480787653243009</v>
      </c>
      <c r="N9" s="16">
        <f ca="1">IFERROR(_xlfn.XLOOKUP("Enterprise Value",Inputs!$B:$B,Inputs!O:O)/_xlfn.XLOOKUP("Operating Income (EBIT)",Inputs!$B:$B,Inputs!O:O),"")</f>
        <v>21.214778060110092</v>
      </c>
      <c r="O9" s="16">
        <f ca="1">IFERROR(_xlfn.XLOOKUP("Enterprise Value",Inputs!$B:$B,Inputs!P:P)/_xlfn.XLOOKUP("Operating Income (EBIT)",Inputs!$B:$B,Inputs!P:P),"")</f>
        <v>20.84869406016308</v>
      </c>
      <c r="P9" s="343">
        <f ca="1">IFERROR(_xlfn.XLOOKUP("Enterprise Value",Inputs!$B:$B,Inputs!Q:Q)/_xlfn.XLOOKUP("Operating Income (EBIT)",Inputs!$B:$B,Inputs!Q:Q),"")</f>
        <v>26.278991892998615</v>
      </c>
      <c r="Q9" s="350">
        <f ca="1">IFERROR(_xlfn.XLOOKUP("Enterprise Value",DCF!$B:$B,DCF!R:R)/_xlfn.XLOOKUP("Operating Income (EBIT)",DCF!$B:$B,DCF!H:H),"")</f>
        <v>33.548656204693451</v>
      </c>
      <c r="R9" s="350">
        <f ca="1">IFERROR(_xlfn.XLOOKUP("Enterprise Value",DCF!$B:$B,DCF!S:S)/_xlfn.XLOOKUP("Operating Income (EBIT)",DCF!$B:$B,DCF!I:I),"")</f>
        <v>33.406954897917196</v>
      </c>
    </row>
    <row r="10" spans="2:19" ht="15.6">
      <c r="B10" s="18" t="s">
        <v>23</v>
      </c>
      <c r="F10" s="16">
        <f ca="1">IFERROR(_xlfn.XLOOKUP("Market Capitalization",Inputs!$B:$B,Inputs!G:G)/_xlfn.XLOOKUP("Net Income",Inputs!$B:$B,Inputs!G:G),"")</f>
        <v>10.228891148867445</v>
      </c>
      <c r="G10" s="16">
        <f ca="1">IFERROR(_xlfn.XLOOKUP("Market Capitalization",Inputs!$B:$B,Inputs!H:H)/_xlfn.XLOOKUP("Net Income",Inputs!$B:$B,Inputs!H:H),"")</f>
        <v>10.07893005501796</v>
      </c>
      <c r="H10" s="16">
        <f ca="1">IFERROR(_xlfn.XLOOKUP("Market Capitalization",Inputs!$B:$B,Inputs!I:I)/_xlfn.XLOOKUP("Net Income",Inputs!$B:$B,Inputs!I:I),"")</f>
        <v>13.922277048718621</v>
      </c>
      <c r="I10" s="16">
        <f ca="1">IFERROR(_xlfn.XLOOKUP("Market Capitalization",Inputs!$B:$B,Inputs!J:J)/_xlfn.XLOOKUP("Net Income",Inputs!$B:$B,Inputs!J:J),"")</f>
        <v>24.859217825065137</v>
      </c>
      <c r="J10" s="16">
        <f ca="1">IFERROR(_xlfn.XLOOKUP("Market Capitalization",Inputs!$B:$B,Inputs!K:K)/_xlfn.XLOOKUP("Net Income",Inputs!$B:$B,Inputs!K:K),"")</f>
        <v>11.884959801013414</v>
      </c>
      <c r="K10" s="16">
        <f ca="1">IFERROR(_xlfn.XLOOKUP("Market Capitalization",Inputs!$B:$B,Inputs!L:L)/_xlfn.XLOOKUP("Net Income",Inputs!$B:$B,Inputs!L:L),"")</f>
        <v>11.777083924955438</v>
      </c>
      <c r="L10" s="16">
        <f ca="1">IFERROR(_xlfn.XLOOKUP("Market Capitalization",Inputs!$B:$B,Inputs!M:M)/_xlfn.XLOOKUP("Net Income",Inputs!$B:$B,Inputs!M:M),"")</f>
        <v>28.938056212889229</v>
      </c>
      <c r="M10" s="16">
        <f ca="1">IFERROR(_xlfn.XLOOKUP("Market Capitalization",Inputs!$B:$B,Inputs!N:N)/_xlfn.XLOOKUP("Net Income",Inputs!$B:$B,Inputs!N:N),"")</f>
        <v>25.415561640887098</v>
      </c>
      <c r="N10" s="16">
        <f ca="1">IFERROR(_xlfn.XLOOKUP("Market Capitalization",Inputs!$B:$B,Inputs!O:O)/_xlfn.XLOOKUP("Net Income",Inputs!$B:$B,Inputs!O:O),"")</f>
        <v>71.453316858249167</v>
      </c>
      <c r="O10" s="16">
        <f ca="1">IFERROR(_xlfn.XLOOKUP("Market Capitalization",Inputs!$B:$B,Inputs!P:P)/_xlfn.XLOOKUP("Net Income",Inputs!$B:$B,Inputs!P:P),"")</f>
        <v>19.836077155923068</v>
      </c>
      <c r="P10" s="343">
        <f ca="1">IFERROR(_xlfn.XLOOKUP("Market Capitalization",Inputs!$B:$B,Inputs!Q:Q)/_xlfn.XLOOKUP("Net Income",Inputs!$B:$B,Inputs!Q:Q),"")</f>
        <v>33.682217910275931</v>
      </c>
      <c r="Q10" s="350">
        <f ca="1">IFERROR(_xlfn.XLOOKUP("Equity Value",DCF!$B:$B,DCF!R:R)/_xlfn.XLOOKUP("Net Income",DCF!$B:$B,DCF!H:H),"")</f>
        <v>37.601264030297834</v>
      </c>
      <c r="R10" s="350">
        <f ca="1">IFERROR(_xlfn.XLOOKUP("Equity Value",DCF!$B:$B,DCF!S:S)/_xlfn.XLOOKUP("Net Income",DCF!$B:$B,DCF!I:I),"")</f>
        <v>32.21556882280322</v>
      </c>
    </row>
    <row r="11" spans="2:19" ht="15.6">
      <c r="B11" s="239" t="s">
        <v>25</v>
      </c>
      <c r="F11" s="16">
        <f ca="1">IFERROR(_xlfn.XLOOKUP("Market Capitalization",Inputs!$B:$B,Inputs!G:G)/_xlfn.XLOOKUP("Shareholder's Equity",Inputs!$B:$B,Inputs!G:G),"")</f>
        <v>13.410361496209736</v>
      </c>
      <c r="G11" s="16">
        <f ca="1">IFERROR(_xlfn.XLOOKUP("Market Capitalization",Inputs!$B:$B,Inputs!H:H)/_xlfn.XLOOKUP("Shareholder's Equity",Inputs!$B:$B,Inputs!H:H),"")</f>
        <v>9.3382432927939547</v>
      </c>
      <c r="H11" s="16">
        <f ca="1">IFERROR(_xlfn.XLOOKUP("Market Capitalization",Inputs!$B:$B,Inputs!I:I)/_xlfn.XLOOKUP("Shareholder's Equity",Inputs!$B:$B,Inputs!I:I),"")</f>
        <v>8.6544907295563291</v>
      </c>
      <c r="I11" s="16">
        <f ca="1">IFERROR(_xlfn.XLOOKUP("Market Capitalization",Inputs!$B:$B,Inputs!J:J)/_xlfn.XLOOKUP("Shareholder's Equity",Inputs!$B:$B,Inputs!J:J),"")</f>
        <v>8.0746172996445491</v>
      </c>
      <c r="J11" s="16">
        <f ca="1">IFERROR(_xlfn.XLOOKUP("Market Capitalization",Inputs!$B:$B,Inputs!K:K)/_xlfn.XLOOKUP("Shareholder's Equity",Inputs!$B:$B,Inputs!K:K),"")</f>
        <v>4.0885161629624962</v>
      </c>
      <c r="K11" s="16">
        <f ca="1">IFERROR(_xlfn.XLOOKUP("Market Capitalization",Inputs!$B:$B,Inputs!L:L)/_xlfn.XLOOKUP("Shareholder's Equity",Inputs!$B:$B,Inputs!L:L),"")</f>
        <v>5.7357477319475256</v>
      </c>
      <c r="L11" s="16">
        <f ca="1">IFERROR(_xlfn.XLOOKUP("Market Capitalization",Inputs!$B:$B,Inputs!M:M)/_xlfn.XLOOKUP("Shareholder's Equity",Inputs!$B:$B,Inputs!M:M),"")</f>
        <v>5.3418374582965535</v>
      </c>
      <c r="M11" s="16">
        <f ca="1">IFERROR(_xlfn.XLOOKUP("Market Capitalization",Inputs!$B:$B,Inputs!N:N)/_xlfn.XLOOKUP("Shareholder's Equity",Inputs!$B:$B,Inputs!N:N),"")</f>
        <v>6.3043865262086758</v>
      </c>
      <c r="N11" s="16">
        <f ca="1">IFERROR(_xlfn.XLOOKUP("Market Capitalization",Inputs!$B:$B,Inputs!O:O)/_xlfn.XLOOKUP("Shareholder's Equity",Inputs!$B:$B,Inputs!O:O),"")</f>
        <v>5.7819367287893924</v>
      </c>
      <c r="O11" s="16">
        <f ca="1">IFERROR(_xlfn.XLOOKUP("Market Capitalization",Inputs!$B:$B,Inputs!P:P)/_xlfn.XLOOKUP("Shareholder's Equity",Inputs!$B:$B,Inputs!P:P),"")</f>
        <v>6.5906796246439949</v>
      </c>
      <c r="P11" s="343">
        <f ca="1">IFERROR(_xlfn.XLOOKUP("Market Capitalization",Inputs!$B:$B,Inputs!Q:Q)/_xlfn.XLOOKUP("Shareholder's Equity",Inputs!$B:$B,Inputs!Q:Q),"")</f>
        <v>7.397496456929761</v>
      </c>
      <c r="Q11" s="350">
        <f ca="1">IFERROR(+_xlfn.XLOOKUP("Equity Value",DCF!$B:$B,DCF!R:R)/(_xlfn.XLOOKUP("Shareholder's Equity",Inputs!$B:$B,Inputs!$Q:$Q)+_xlfn.XLOOKUP("Net Income",DCF!$B:$B,DCF!H:H)+_xlfn.XLOOKUP("Total Payout",DCF!$B:$B,DCF!H:H)),"")</f>
        <v>9.4071155834685136</v>
      </c>
      <c r="R11" s="350">
        <f ca="1">IFERROR(+_xlfn.XLOOKUP("Equity Value",DCF!$B:$B,DCF!S:S)/(_xlfn.XLOOKUP("Shareholder's Equity",Inputs!$B:$B,Inputs!$Q:$Q)+_xlfn.XLOOKUP("Net Income",DCF!$B:$B,DCF!I:I)+_xlfn.XLOOKUP("Total Payout",DCF!$B:$B,DCF!I:I)),"")</f>
        <v>9.4674730879687825</v>
      </c>
    </row>
    <row r="12" spans="2:19" ht="8.1" customHeight="1">
      <c r="B12" s="240"/>
      <c r="N12" s="241"/>
      <c r="O12" s="241"/>
      <c r="P12" s="346"/>
      <c r="Q12" s="351"/>
      <c r="R12" s="351"/>
    </row>
    <row r="13" spans="2:19" ht="15.6">
      <c r="B13" s="7" t="s">
        <v>220</v>
      </c>
      <c r="C13" s="49"/>
      <c r="D13" s="51"/>
      <c r="E13" s="51"/>
      <c r="F13" s="363">
        <v>2014</v>
      </c>
      <c r="G13" s="363">
        <f t="shared" ref="G13" si="5">+F13+1</f>
        <v>2015</v>
      </c>
      <c r="H13" s="363">
        <f t="shared" ref="H13" si="6">+G13+1</f>
        <v>2016</v>
      </c>
      <c r="I13" s="363">
        <f t="shared" ref="I13" si="7">+H13+1</f>
        <v>2017</v>
      </c>
      <c r="J13" s="363">
        <f t="shared" ref="J13" si="8">+I13+1</f>
        <v>2018</v>
      </c>
      <c r="K13" s="363">
        <f t="shared" ref="K13" si="9">+J13+1</f>
        <v>2019</v>
      </c>
      <c r="L13" s="363">
        <f t="shared" ref="L13" si="10">+K13+1</f>
        <v>2020</v>
      </c>
      <c r="M13" s="363">
        <f t="shared" ref="M13" si="11">+L13+1</f>
        <v>2021</v>
      </c>
      <c r="N13" s="363">
        <v>2022</v>
      </c>
      <c r="O13" s="363">
        <f t="shared" ref="O13" si="12">+N13+1</f>
        <v>2023</v>
      </c>
      <c r="P13" s="364">
        <f>+O13+1</f>
        <v>2024</v>
      </c>
      <c r="Q13" s="362">
        <f>+P13+1</f>
        <v>2025</v>
      </c>
      <c r="R13" s="362">
        <f>+Q13+1</f>
        <v>2026</v>
      </c>
    </row>
    <row r="14" spans="2:19" ht="3.95" customHeight="1">
      <c r="B14" s="238"/>
      <c r="C14" s="46"/>
      <c r="D14" s="53"/>
      <c r="E14" s="53"/>
      <c r="F14" s="53"/>
      <c r="G14" s="53"/>
      <c r="H14" s="53"/>
      <c r="I14" s="53"/>
      <c r="J14" s="53"/>
      <c r="K14" s="53"/>
      <c r="L14" s="53"/>
      <c r="M14" s="53"/>
      <c r="N14" s="212"/>
      <c r="O14" s="212"/>
      <c r="P14" s="345"/>
      <c r="Q14" s="212"/>
      <c r="R14" s="212"/>
    </row>
    <row r="15" spans="2:19" ht="15.6">
      <c r="B15" s="239" t="s">
        <v>35</v>
      </c>
      <c r="F15" s="243">
        <f>+IFERROR(_xlfn.XLOOKUP("Net Income",Inputs!$B:$B,Inputs!G:G)/_xlfn.XLOOKUP("Total Assets",Inputs!$B:$B,Inputs!G:G),"")</f>
        <v>0.13432021283852924</v>
      </c>
      <c r="G15" s="243">
        <f>+IFERROR(_xlfn.XLOOKUP("Net Income",Inputs!$B:$B,Inputs!H:H)/_xlfn.XLOOKUP("Total Assets",Inputs!$B:$B,Inputs!H:H),"")</f>
        <v>0.12094664916964569</v>
      </c>
      <c r="H15" s="243">
        <f>+IFERROR(_xlfn.XLOOKUP("Net Income",Inputs!$B:$B,Inputs!I:I)/_xlfn.XLOOKUP("Total Assets",Inputs!$B:$B,Inputs!I:I),"")</f>
        <v>9.73278056338268E-2</v>
      </c>
      <c r="I15" s="243">
        <f>+IFERROR(_xlfn.XLOOKUP("Net Income",Inputs!$B:$B,Inputs!J:J)/_xlfn.XLOOKUP("Total Assets",Inputs!$B:$B,Inputs!J:J),"")</f>
        <v>4.5925571377288497E-2</v>
      </c>
      <c r="J15" s="243">
        <f>+IFERROR(_xlfn.XLOOKUP("Net Income",Inputs!$B:$B,Inputs!K:K)/_xlfn.XLOOKUP("Total Assets",Inputs!$B:$B,Inputs!K:K),"")</f>
        <v>7.0699129532670893E-2</v>
      </c>
      <c r="K15" s="243">
        <f>+IFERROR(_xlfn.XLOOKUP("Net Income",Inputs!$B:$B,Inputs!L:L)/_xlfn.XLOOKUP("Total Assets",Inputs!$B:$B,Inputs!L:L),"")</f>
        <v>6.6352143401582256E-2</v>
      </c>
      <c r="L15" s="243">
        <f>+IFERROR(_xlfn.XLOOKUP("Net Income",Inputs!$B:$B,Inputs!M:M)/_xlfn.XLOOKUP("Total Assets",Inputs!$B:$B,Inputs!M:M),"")</f>
        <v>2.4831379991280485E-2</v>
      </c>
      <c r="M15" s="243">
        <f>+IFERROR(_xlfn.XLOOKUP("Net Income",Inputs!$B:$B,Inputs!N:N)/_xlfn.XLOOKUP("Total Assets",Inputs!$B:$B,Inputs!N:N),"")</f>
        <v>3.5696428841987246E-2</v>
      </c>
      <c r="N15" s="243">
        <f>+IFERROR(_xlfn.XLOOKUP("Net Income",Inputs!$B:$B,Inputs!O:O)/_xlfn.XLOOKUP("Total Assets",Inputs!$B:$B,Inputs!O:O),"")</f>
        <v>1.400458960736852E-2</v>
      </c>
      <c r="O15" s="243">
        <f>+IFERROR(_xlfn.XLOOKUP("Net Income",Inputs!$B:$B,Inputs!P:P)/_xlfn.XLOOKUP("Total Assets",Inputs!$B:$B,Inputs!P:P),"")</f>
        <v>5.5553501578686625E-2</v>
      </c>
      <c r="P15" s="347">
        <f>+IFERROR(_xlfn.XLOOKUP("Net Income",Inputs!$B:$B,Inputs!Q:Q)/_xlfn.XLOOKUP("Total Assets",Inputs!$B:$B,Inputs!Q:Q),"")</f>
        <v>4.3856387825770005E-2</v>
      </c>
      <c r="Q15" s="352">
        <f ca="1">IFERROR(_xlfn.XLOOKUP("Net Income",DCF!$B:$B,DCF!H:H)/_xlfn.XLOOKUP("Total assets",DCF!$6:$6,DCF!10:10),"")</f>
        <v>4.7421905974474682E-2</v>
      </c>
      <c r="R15" s="352">
        <f ca="1">IFERROR(_xlfn.XLOOKUP("Net Income",DCF!$B:$B,DCF!I:I)/_xlfn.XLOOKUP("Total assets",DCF!$6:$6,DCF!10:10),"")</f>
        <v>5.799909357996489E-2</v>
      </c>
      <c r="S15" s="19"/>
    </row>
    <row r="16" spans="2:19" ht="15.6">
      <c r="B16" s="239" t="s">
        <v>37</v>
      </c>
      <c r="F16" s="243">
        <f>IFERROR(_xlfn.XLOOKUP("Net Income",Inputs!$B:$B,Inputs!G:G)/_xlfn.XLOOKUP("Shareholder's Equity",Inputs!$B:$B,Inputs!G:G),"")</f>
        <v>1.3110278818143988</v>
      </c>
      <c r="G16" s="243">
        <f>IFERROR(_xlfn.XLOOKUP("Net Income",Inputs!$B:$B,Inputs!H:H)/_xlfn.XLOOKUP("Shareholder's Equity",Inputs!$B:$B,Inputs!H:H),"")</f>
        <v>0.92651136993899053</v>
      </c>
      <c r="H16" s="243">
        <f>IFERROR(_xlfn.XLOOKUP("Net Income",Inputs!$B:$B,Inputs!I:I)/_xlfn.XLOOKUP("Shareholder's Equity",Inputs!$B:$B,Inputs!I:I),"")</f>
        <v>0.62162896911700738</v>
      </c>
      <c r="I16" s="243">
        <f>IFERROR(_xlfn.XLOOKUP("Net Income",Inputs!$B:$B,Inputs!J:J)/_xlfn.XLOOKUP("Shareholder's Equity",Inputs!$B:$B,Inputs!J:J),"")</f>
        <v>0.32481381178063645</v>
      </c>
      <c r="J16" s="243">
        <f>IFERROR(_xlfn.XLOOKUP("Net Income",Inputs!$B:$B,Inputs!K:K)/_xlfn.XLOOKUP("Shareholder's Equity",Inputs!$B:$B,Inputs!K:K),"")</f>
        <v>0.34400757187364434</v>
      </c>
      <c r="K16" s="243">
        <f>IFERROR(_xlfn.XLOOKUP("Net Income",Inputs!$B:$B,Inputs!L:L)/_xlfn.XLOOKUP("Shareholder's Equity",Inputs!$B:$B,Inputs!L:L),"")</f>
        <v>0.4870261406385647</v>
      </c>
      <c r="L16" s="243">
        <f>IFERROR(_xlfn.XLOOKUP("Net Income",Inputs!$B:$B,Inputs!M:M)/_xlfn.XLOOKUP("Shareholder's Equity",Inputs!$B:$B,Inputs!M:M),"")</f>
        <v>0.18459558648300844</v>
      </c>
      <c r="M16" s="243">
        <f>IFERROR(_xlfn.XLOOKUP("Net Income",Inputs!$B:$B,Inputs!N:N)/_xlfn.XLOOKUP("Shareholder's Equity",Inputs!$B:$B,Inputs!N:N),"")</f>
        <v>0.24805222152032005</v>
      </c>
      <c r="N16" s="243">
        <f>IFERROR(_xlfn.XLOOKUP("Net Income",Inputs!$B:$B,Inputs!O:O)/_xlfn.XLOOKUP("Shareholder's Equity",Inputs!$B:$B,Inputs!O:O),"")</f>
        <v>8.0919080919080913E-2</v>
      </c>
      <c r="O16" s="243">
        <f>IFERROR(_xlfn.XLOOKUP("Net Income",Inputs!$B:$B,Inputs!P:P)/_xlfn.XLOOKUP("Shareholder's Equity",Inputs!$B:$B,Inputs!P:P),"")</f>
        <v>0.33225720856182556</v>
      </c>
      <c r="P16" s="347">
        <f>IFERROR(_xlfn.XLOOKUP("Net Income",Inputs!$B:$B,Inputs!Q:Q)/_xlfn.XLOOKUP("Shareholder's Equity",Inputs!$B:$B,Inputs!Q:Q),"")</f>
        <v>0.21962616822429906</v>
      </c>
      <c r="Q16" s="352">
        <f ca="1">IFERROR(_xlfn.XLOOKUP("Net Income",DCF!$B:$B,DCF!H:H)/_xlfn.XLOOKUP("Shareholder's Equity",DCF!$6:$6,DCF!10:10),"")</f>
        <v>0.22567839715729265</v>
      </c>
      <c r="R16" s="352">
        <f ca="1">IFERROR(_xlfn.XLOOKUP("Net Income",DCF!$B:$B,DCF!I:I)/_xlfn.XLOOKUP("Shareholder's Equity",DCF!$6:$6,DCF!10:10),"")</f>
        <v>0.27601468576036703</v>
      </c>
      <c r="S16" s="19"/>
    </row>
    <row r="17" spans="2:19" ht="15.6">
      <c r="B17" s="239" t="s">
        <v>39</v>
      </c>
      <c r="F17" s="243">
        <f>IFERROR(_xlfn.XLOOKUP("NOPAT",Inputs!$B:$B,Inputs!G:G)/(_xlfn.XLOOKUP("Shareholder's Equity",Inputs!$B:$B,Inputs!G:G)+_xlfn.XLOOKUP("Total Debt",Inputs!$B:$B,Inputs!G:G,,,-1)),"")</f>
        <v>1.2156493898621252</v>
      </c>
      <c r="G17" s="243">
        <f>IFERROR(_xlfn.XLOOKUP("NOPAT",Inputs!$B:$B,Inputs!H:H)/(_xlfn.XLOOKUP("Shareholder's Equity",Inputs!$B:$B,Inputs!H:H)+_xlfn.XLOOKUP("Total Debt",Inputs!$B:$B,Inputs!H:H,,,-1)),"")</f>
        <v>0.1725091221106215</v>
      </c>
      <c r="H17" s="243">
        <f>IFERROR(_xlfn.XLOOKUP("NOPAT",Inputs!$B:$B,Inputs!I:I)/(_xlfn.XLOOKUP("Shareholder's Equity",Inputs!$B:$B,Inputs!I:I)+_xlfn.XLOOKUP("Total Debt",Inputs!$B:$B,Inputs!I:I,,,-1)),"")</f>
        <v>0.15244067794375765</v>
      </c>
      <c r="I17" s="243">
        <f>IFERROR(_xlfn.XLOOKUP("NOPAT",Inputs!$B:$B,Inputs!J:J)/(_xlfn.XLOOKUP("Shareholder's Equity",Inputs!$B:$B,Inputs!J:J)+_xlfn.XLOOKUP("Total Debt",Inputs!$B:$B,Inputs!J:J,,,-1)),"")</f>
        <v>7.9036657105011718E-2</v>
      </c>
      <c r="J17" s="243">
        <f>IFERROR(_xlfn.XLOOKUP("NOPAT",Inputs!$B:$B,Inputs!K:K)/(_xlfn.XLOOKUP("Shareholder's Equity",Inputs!$B:$B,Inputs!K:K)+_xlfn.XLOOKUP("Total Debt",Inputs!$B:$B,Inputs!K:K,,,-1)),"")</f>
        <v>0.10718026712407816</v>
      </c>
      <c r="K17" s="243">
        <f>IFERROR(_xlfn.XLOOKUP("NOPAT",Inputs!$B:$B,Inputs!L:L)/(_xlfn.XLOOKUP("Shareholder's Equity",Inputs!$B:$B,Inputs!L:L)+_xlfn.XLOOKUP("Total Debt",Inputs!$B:$B,Inputs!L:L,,,-1)),"")</f>
        <v>0.11226886043481855</v>
      </c>
      <c r="L17" s="243">
        <f>IFERROR(_xlfn.XLOOKUP("NOPAT",Inputs!$B:$B,Inputs!M:M)/(_xlfn.XLOOKUP("Shareholder's Equity",Inputs!$B:$B,Inputs!M:M)+_xlfn.XLOOKUP("Total Debt",Inputs!$B:$B,Inputs!M:M,,,-1)),"")</f>
        <v>7.462908777183698E-2</v>
      </c>
      <c r="M17" s="243">
        <f>IFERROR(_xlfn.XLOOKUP("NOPAT",Inputs!$B:$B,Inputs!N:N)/(_xlfn.XLOOKUP("Shareholder's Equity",Inputs!$B:$B,Inputs!N:N)+_xlfn.XLOOKUP("Total Debt",Inputs!$B:$B,Inputs!N:N,,,-1)),"")</f>
        <v>6.8774852632785072E-2</v>
      </c>
      <c r="N17" s="243">
        <f>IFERROR(_xlfn.XLOOKUP("NOPAT",Inputs!$B:$B,Inputs!O:O)/(_xlfn.XLOOKUP("Shareholder's Equity",Inputs!$B:$B,Inputs!O:O)+_xlfn.XLOOKUP("Total Debt",Inputs!$B:$B,Inputs!O:O,,,-1)),"")</f>
        <v>0.12180040407440615</v>
      </c>
      <c r="O17" s="243">
        <f>IFERROR(_xlfn.XLOOKUP("NOPAT",Inputs!$B:$B,Inputs!P:P)/(_xlfn.XLOOKUP("Shareholder's Equity",Inputs!$B:$B,Inputs!P:P)+_xlfn.XLOOKUP("Total Debt",Inputs!$B:$B,Inputs!P:P,,,-1)),"")</f>
        <v>7.5624695827556182E-2</v>
      </c>
      <c r="P17" s="347">
        <f>IFERROR(_xlfn.XLOOKUP("NOPAT",Inputs!$B:$B,Inputs!Q:Q)/(_xlfn.XLOOKUP("Shareholder's Equity",Inputs!$B:$B,Inputs!Q:Q)+_xlfn.XLOOKUP("Total Debt",Inputs!$B:$B,Inputs!Q:Q,,,-1)),"")</f>
        <v>8.4372835269166432E-2</v>
      </c>
      <c r="Q17" s="352">
        <f ca="1">+IFERROR(_xlfn.XLOOKUP("NOPAT",DCF!$B:$B,DCF!H:H)/(_xlfn.XLOOKUP("Shareholder's Equity",DCF!$6:$6,DCF!10:10)+_xlfn.XLOOKUP("Total Borrowings",DCF!$B:$B,DCF!H:H)+_xlfn.XLOOKUP("Total Leases",DCF!$B:$B,DCF!H:H)),"")</f>
        <v>8.2144519821767154E-2</v>
      </c>
      <c r="R17" s="352">
        <f ca="1">+IFERROR(_xlfn.XLOOKUP("NOPAT",DCF!$B:$B,DCF!I:I)/(_xlfn.XLOOKUP("Shareholder's Equity",DCF!$6:$6,DCF!10:10)+_xlfn.XLOOKUP("Total Borrowings",DCF!$B:$B,DCF!I:I)+_xlfn.XLOOKUP("Total Leases",DCF!$B:$B,DCF!I:I)),"")</f>
        <v>8.3406235227733119E-2</v>
      </c>
      <c r="S17" s="120"/>
    </row>
    <row r="18" spans="2:19" ht="15.6">
      <c r="B18" s="242" t="s">
        <v>41</v>
      </c>
      <c r="F18" s="243">
        <f>+IFERROR(_xlfn.XLOOKUP("EBITDA",Inputs!$B:$B,Inputs!G:G)/_xlfn.XLOOKUP("Revenue (Sales)",Inputs!$B:$B,Inputs!G:G),"")</f>
        <v>0.24812216438739992</v>
      </c>
      <c r="G18" s="243">
        <f>+IFERROR(_xlfn.XLOOKUP("EBITDA",Inputs!$B:$B,Inputs!H:H)/_xlfn.XLOOKUP("Revenue (Sales)",Inputs!$B:$B,Inputs!H:H),"")</f>
        <v>0.23909665895939614</v>
      </c>
      <c r="H18" s="243">
        <f>+IFERROR(_xlfn.XLOOKUP("EBITDA",Inputs!$B:$B,Inputs!I:I)/_xlfn.XLOOKUP("Revenue (Sales)",Inputs!$B:$B,Inputs!I:I),"")</f>
        <v>0.21879653148813175</v>
      </c>
      <c r="I18" s="243">
        <f>+IFERROR(_xlfn.XLOOKUP("EBITDA",Inputs!$B:$B,Inputs!J:J)/_xlfn.XLOOKUP("Revenue (Sales)",Inputs!$B:$B,Inputs!J:J),"")</f>
        <v>0.22340438974462654</v>
      </c>
      <c r="J18" s="243">
        <f>+IFERROR(_xlfn.XLOOKUP("EBITDA",Inputs!$B:$B,Inputs!K:K)/_xlfn.XLOOKUP("Revenue (Sales)",Inputs!$B:$B,Inputs!K:K),"")</f>
        <v>0.22234926059479088</v>
      </c>
      <c r="K18" s="243">
        <f>+IFERROR(_xlfn.XLOOKUP("EBITDA",Inputs!$B:$B,Inputs!L:L)/_xlfn.XLOOKUP("Revenue (Sales)",Inputs!$B:$B,Inputs!L:L),"")</f>
        <v>0.21508289369644965</v>
      </c>
      <c r="L18" s="243">
        <f>+IFERROR(_xlfn.XLOOKUP("EBITDA",Inputs!$B:$B,Inputs!M:M)/_xlfn.XLOOKUP("Revenue (Sales)",Inputs!$B:$B,Inputs!M:M),"")</f>
        <v>0.20582105511154605</v>
      </c>
      <c r="M18" s="243">
        <f>+IFERROR(_xlfn.XLOOKUP("EBITDA",Inputs!$B:$B,Inputs!N:N)/_xlfn.XLOOKUP("Revenue (Sales)",Inputs!$B:$B,Inputs!N:N),"")</f>
        <v>0.23157802964254579</v>
      </c>
      <c r="N18" s="243">
        <f>+IFERROR(_xlfn.XLOOKUP("EBITDA",Inputs!$B:$B,Inputs!O:O)/_xlfn.XLOOKUP("Revenue (Sales)",Inputs!$B:$B,Inputs!O:O),"")</f>
        <v>0.21438955889641501</v>
      </c>
      <c r="O18" s="243">
        <f>+IFERROR(_xlfn.XLOOKUP("EBITDA",Inputs!$B:$B,Inputs!P:P)/_xlfn.XLOOKUP("Revenue (Sales)",Inputs!$B:$B,Inputs!P:P),"")</f>
        <v>0.22272874232137083</v>
      </c>
      <c r="P18" s="347">
        <f>+IFERROR(_xlfn.XLOOKUP("EBITDA",Inputs!$B:$B,Inputs!Q:Q)/_xlfn.XLOOKUP("Revenue (Sales)",Inputs!$B:$B,Inputs!Q:Q),"")</f>
        <v>0.2238618074036301</v>
      </c>
      <c r="Q18" s="352">
        <f ca="1">+_xlfn.XLOOKUP("EBITDA Margin",DCF!$B:$B,DCF!H:H)</f>
        <v>0.20518641190903875</v>
      </c>
      <c r="R18" s="352">
        <f ca="1">+_xlfn.XLOOKUP("EBITDA Margin",DCF!$B:$B,DCF!I:I)</f>
        <v>0.20479265281726022</v>
      </c>
      <c r="S18" s="28"/>
    </row>
    <row r="19" spans="2:19" ht="15.6">
      <c r="B19" s="18" t="s">
        <v>30</v>
      </c>
      <c r="F19" s="243">
        <f>IFERROR(_xlfn.XLOOKUP("Operating Income (EBIT)",Inputs!$B:$B,Inputs!G:G)/_xlfn.XLOOKUP("Revenue (Sales)",Inputs!$B:$B,Inputs!G:G),"")</f>
        <v>0.1997133404459388</v>
      </c>
      <c r="G19" s="243">
        <f>IFERROR(_xlfn.XLOOKUP("Operating Income (EBIT)",Inputs!$B:$B,Inputs!H:H)/_xlfn.XLOOKUP("Revenue (Sales)",Inputs!$B:$B,Inputs!H:H),"")</f>
        <v>0.19193550360284312</v>
      </c>
      <c r="H19" s="243">
        <f>IFERROR(_xlfn.XLOOKUP("Operating Income (EBIT)",Inputs!$B:$B,Inputs!I:I)/_xlfn.XLOOKUP("Revenue (Sales)",Inputs!$B:$B,Inputs!I:I),"")</f>
        <v>0.16397852825986312</v>
      </c>
      <c r="I19" s="243">
        <f>IFERROR(_xlfn.XLOOKUP("Operating Income (EBIT)",Inputs!$B:$B,Inputs!J:J)/_xlfn.XLOOKUP("Revenue (Sales)",Inputs!$B:$B,Inputs!J:J),"")</f>
        <v>0.16602433692616789</v>
      </c>
      <c r="J19" s="243">
        <f>IFERROR(_xlfn.XLOOKUP("Operating Income (EBIT)",Inputs!$B:$B,Inputs!K:K)/_xlfn.XLOOKUP("Revenue (Sales)",Inputs!$B:$B,Inputs!K:K),"")</f>
        <v>0.16606148936437537</v>
      </c>
      <c r="K19" s="243">
        <f>IFERROR(_xlfn.XLOOKUP("Operating Income (EBIT)",Inputs!$B:$B,Inputs!L:L)/_xlfn.XLOOKUP("Revenue (Sales)",Inputs!$B:$B,Inputs!L:L),"")</f>
        <v>0.13654451890546618</v>
      </c>
      <c r="L19" s="243">
        <f>IFERROR(_xlfn.XLOOKUP("Operating Income (EBIT)",Inputs!$B:$B,Inputs!M:M)/_xlfn.XLOOKUP("Revenue (Sales)",Inputs!$B:$B,Inputs!M:M),"")</f>
        <v>8.4488664165715224E-2</v>
      </c>
      <c r="M19" s="243">
        <f>IFERROR(_xlfn.XLOOKUP("Operating Income (EBIT)",Inputs!$B:$B,Inputs!N:N)/_xlfn.XLOOKUP("Revenue (Sales)",Inputs!$B:$B,Inputs!N:N),"")</f>
        <v>0.11968613775065388</v>
      </c>
      <c r="N19" s="243">
        <f>IFERROR(_xlfn.XLOOKUP("Operating Income (EBIT)",Inputs!$B:$B,Inputs!O:O)/_xlfn.XLOOKUP("Revenue (Sales)",Inputs!$B:$B,Inputs!O:O),"")</f>
        <v>0.13505699653064596</v>
      </c>
      <c r="O19" s="243">
        <f>IFERROR(_xlfn.XLOOKUP("Operating Income (EBIT)",Inputs!$B:$B,Inputs!P:P)/_xlfn.XLOOKUP("Revenue (Sales)",Inputs!$B:$B,Inputs!P:P),"")</f>
        <v>0.15166505011315876</v>
      </c>
      <c r="P19" s="347">
        <f>IFERROR(_xlfn.XLOOKUP("Operating Income (EBIT)",Inputs!$B:$B,Inputs!Q:Q)/_xlfn.XLOOKUP("Revenue (Sales)",Inputs!$B:$B,Inputs!Q:Q),"")</f>
        <v>0.14949086099469347</v>
      </c>
      <c r="Q19" s="352">
        <f ca="1">+_xlfn.XLOOKUP("Operating Margin",DCF!$B:$B,DCF!H:H)</f>
        <v>0.13352350933008234</v>
      </c>
      <c r="R19" s="352">
        <f ca="1">+_xlfn.XLOOKUP("Operating Margin",DCF!$B:$B,DCF!I:I)</f>
        <v>0.13289044935880104</v>
      </c>
      <c r="S19" s="18"/>
    </row>
    <row r="20" spans="2:19" ht="15.6">
      <c r="B20" s="18" t="s">
        <v>728</v>
      </c>
      <c r="F20" s="243">
        <f>IFERROR(_xlfn.XLOOKUP("Pre-Tax Income (EBT)",Inputs!$B:$B,Inputs!G:G)/_xlfn.XLOOKUP("Revenue (Sales)",Inputs!$B:$B,Inputs!G:G),"")</f>
        <v>0.21538262584462189</v>
      </c>
      <c r="G20" s="243">
        <f>IFERROR(_xlfn.XLOOKUP("Pre-Tax Income (EBT)",Inputs!$B:$B,Inputs!H:H)/_xlfn.XLOOKUP("Revenue (Sales)",Inputs!$B:$B,Inputs!H:H),"")</f>
        <v>0.19506734686387492</v>
      </c>
      <c r="H20" s="243">
        <f>IFERROR(_xlfn.XLOOKUP("Pre-Tax Income (EBT)",Inputs!$B:$B,Inputs!I:I)/_xlfn.XLOOKUP("Revenue (Sales)",Inputs!$B:$B,Inputs!I:I),"")</f>
        <v>0.14867553397815289</v>
      </c>
      <c r="I20" s="243">
        <f>IFERROR(_xlfn.XLOOKUP("Pre-Tax Income (EBT)",Inputs!$B:$B,Inputs!J:J)/_xlfn.XLOOKUP("Revenue (Sales)",Inputs!$B:$B,Inputs!J:J),"")</f>
        <v>0.14403770580876685</v>
      </c>
      <c r="J20" s="243">
        <f>IFERROR(_xlfn.XLOOKUP("Pre-Tax Income (EBT)",Inputs!$B:$B,Inputs!K:K)/_xlfn.XLOOKUP("Revenue (Sales)",Inputs!$B:$B,Inputs!K:K),"")</f>
        <v>0.14250354939628854</v>
      </c>
      <c r="K20" s="243">
        <f>IFERROR(_xlfn.XLOOKUP("Pre-Tax Income (EBT)",Inputs!$B:$B,Inputs!L:L)/_xlfn.XLOOKUP("Revenue (Sales)",Inputs!$B:$B,Inputs!L:L),"")</f>
        <v>0.13167070657316551</v>
      </c>
      <c r="L20" s="243">
        <f>IFERROR(_xlfn.XLOOKUP("Pre-Tax Income (EBT)",Inputs!$B:$B,Inputs!M:M)/_xlfn.XLOOKUP("Revenue (Sales)",Inputs!$B:$B,Inputs!M:M),"")</f>
        <v>4.5542688341579221E-2</v>
      </c>
      <c r="M20" s="243">
        <f>IFERROR(_xlfn.XLOOKUP("Pre-Tax Income (EBT)",Inputs!$B:$B,Inputs!N:N)/_xlfn.XLOOKUP("Revenue (Sales)",Inputs!$B:$B,Inputs!N:N),"")</f>
        <v>8.4324324324324323E-2</v>
      </c>
      <c r="N20" s="243">
        <f>IFERROR(_xlfn.XLOOKUP("Pre-Tax Income (EBT)",Inputs!$B:$B,Inputs!O:O)/_xlfn.XLOOKUP("Revenue (Sales)",Inputs!$B:$B,Inputs!O:O),"")</f>
        <v>1.9097967949776969E-2</v>
      </c>
      <c r="O20" s="243">
        <f>IFERROR(_xlfn.XLOOKUP("Pre-Tax Income (EBT)",Inputs!$B:$B,Inputs!P:P)/_xlfn.XLOOKUP("Revenue (Sales)",Inputs!$B:$B,Inputs!P:P),"")</f>
        <v>0.14046233430326543</v>
      </c>
      <c r="P20" s="347">
        <f>IFERROR(_xlfn.XLOOKUP("Pre-Tax Income (EBT)",Inputs!$B:$B,Inputs!Q:Q)/_xlfn.XLOOKUP("Revenue (Sales)",Inputs!$B:$B,Inputs!Q:Q),"")</f>
        <v>9.239398913199369E-2</v>
      </c>
      <c r="Q20" s="352">
        <f ca="1">IFERROR(_xlfn.XLOOKUP("Pre-Tax Income (EBT)",DCF!$B:$B,DCF!H:H)/_xlfn.XLOOKUP("Revenue (Sales)",DCF!$B:$B,DCF!H:H),"")</f>
        <v>0.12009679447317255</v>
      </c>
      <c r="R20" s="352">
        <f ca="1">IFERROR(_xlfn.XLOOKUP("Pre-Tax Income (EBT)",DCF!$B:$B,DCF!I:I)/_xlfn.XLOOKUP("Revenue (Sales)",DCF!$B:$B,DCF!I:I),"")</f>
        <v>0.14012257327038177</v>
      </c>
      <c r="S20" s="18"/>
    </row>
    <row r="21" spans="2:19" ht="15.6">
      <c r="B21" s="18" t="s">
        <v>43</v>
      </c>
      <c r="F21" s="243">
        <f>IFERROR(_xlfn.XLOOKUP("Gross Profit",Inputs!$B:$B,Inputs!G:G)/_xlfn.XLOOKUP("Revenue (Sales)",Inputs!$B:$B,Inputs!G:G),"")</f>
        <v>0.50011315508712939</v>
      </c>
      <c r="G21" s="243">
        <f>IFERROR(_xlfn.XLOOKUP("Gross Profit",Inputs!$B:$B,Inputs!H:H)/_xlfn.XLOOKUP("Revenue (Sales)",Inputs!$B:$B,Inputs!H:H),"")</f>
        <v>0.4977184032492874</v>
      </c>
      <c r="H21" s="243">
        <f>IFERROR(_xlfn.XLOOKUP("Gross Profit",Inputs!$B:$B,Inputs!I:I)/_xlfn.XLOOKUP("Revenue (Sales)",Inputs!$B:$B,Inputs!I:I),"")</f>
        <v>0.47916014965152215</v>
      </c>
      <c r="I21" s="243">
        <f>IFERROR(_xlfn.XLOOKUP("Gross Profit",Inputs!$B:$B,Inputs!J:J)/_xlfn.XLOOKUP("Revenue (Sales)",Inputs!$B:$B,Inputs!J:J),"")</f>
        <v>0.46681155940813002</v>
      </c>
      <c r="J21" s="243">
        <f>IFERROR(_xlfn.XLOOKUP("Gross Profit",Inputs!$B:$B,Inputs!K:K)/_xlfn.XLOOKUP("Revenue (Sales)",Inputs!$B:$B,Inputs!K:K),"")</f>
        <v>0.46407257101933636</v>
      </c>
      <c r="K21" s="243">
        <f>IFERROR(_xlfn.XLOOKUP("Gross Profit",Inputs!$B:$B,Inputs!L:L)/_xlfn.XLOOKUP("Revenue (Sales)",Inputs!$B:$B,Inputs!L:L),"")</f>
        <v>0.47296719250262487</v>
      </c>
      <c r="L21" s="243">
        <f>IFERROR(_xlfn.XLOOKUP("Gross Profit",Inputs!$B:$B,Inputs!M:M)/_xlfn.XLOOKUP("Revenue (Sales)",Inputs!$B:$B,Inputs!M:M),"")</f>
        <v>0.5593613512386959</v>
      </c>
      <c r="M21" s="243">
        <f>IFERROR(_xlfn.XLOOKUP("Gross Profit",Inputs!$B:$B,Inputs!N:N)/_xlfn.XLOOKUP("Revenue (Sales)",Inputs!$B:$B,Inputs!N:N),"")</f>
        <v>0.54899738448125546</v>
      </c>
      <c r="N21" s="243">
        <f>IFERROR(_xlfn.XLOOKUP("Gross Profit",Inputs!$B:$B,Inputs!O:O)/_xlfn.XLOOKUP("Revenue (Sales)",Inputs!$B:$B,Inputs!O:O),"")</f>
        <v>0.54002973732033699</v>
      </c>
      <c r="O21" s="243">
        <f>IFERROR(_xlfn.XLOOKUP("Gross Profit",Inputs!$B:$B,Inputs!P:P)/_xlfn.XLOOKUP("Revenue (Sales)",Inputs!$B:$B,Inputs!P:P),"")</f>
        <v>0.55447785321694143</v>
      </c>
      <c r="P21" s="347">
        <f>IFERROR(_xlfn.XLOOKUP("Gross Profit",Inputs!$B:$B,Inputs!Q:Q)/_xlfn.XLOOKUP("Revenue (Sales)",Inputs!$B:$B,Inputs!Q:Q),"")</f>
        <v>0.56653865153857186</v>
      </c>
      <c r="Q21" s="352">
        <f ca="1">+_xlfn.XLOOKUP("Gross Profit Margin",DCF!$B:$B,DCF!H:H)</f>
        <v>0.55388099555916037</v>
      </c>
      <c r="R21" s="352">
        <f ca="1">+_xlfn.XLOOKUP("Gross Profit Margin",DCF!$B:$B,DCF!I:I)</f>
        <v>0.55278492442325333</v>
      </c>
      <c r="S21" s="18"/>
    </row>
    <row r="22" spans="2:19" ht="15.6">
      <c r="B22" s="18" t="s">
        <v>45</v>
      </c>
      <c r="F22" s="243">
        <f>IFERROR(+_xlfn.XLOOKUP("SG&amp;A (Selling, General &amp; Administrative)",Inputs!$B:$B,Inputs!G:G)/_xlfn.XLOOKUP("Revenue (Sales)",Inputs!$B:$B,Inputs!G:G),"")</f>
        <v>0.24980332568189412</v>
      </c>
      <c r="G22" s="243">
        <f>IFERROR(+_xlfn.XLOOKUP("SG&amp;A (Selling, General &amp; Administrative)",Inputs!$B:$B,Inputs!H:H)/_xlfn.XLOOKUP("Revenue (Sales)",Inputs!$B:$B,Inputs!H:H),"")</f>
        <v>0.24993577274562337</v>
      </c>
      <c r="H22" s="243">
        <f>IFERROR(+_xlfn.XLOOKUP("SG&amp;A (Selling, General &amp; Administrative)",Inputs!$B:$B,Inputs!I:I)/_xlfn.XLOOKUP("Revenue (Sales)",Inputs!$B:$B,Inputs!I:I),"")</f>
        <v>0.26362942479260248</v>
      </c>
      <c r="I22" s="243">
        <f>IFERROR(+_xlfn.XLOOKUP("SG&amp;A (Selling, General &amp; Administrative)",Inputs!$B:$B,Inputs!J:J)/_xlfn.XLOOKUP("Revenue (Sales)",Inputs!$B:$B,Inputs!J:J),"")</f>
        <v>0.24867637953474267</v>
      </c>
      <c r="J22" s="243">
        <f>IFERROR(+_xlfn.XLOOKUP("SG&amp;A (Selling, General &amp; Administrative)",Inputs!$B:$B,Inputs!K:K)/_xlfn.XLOOKUP("Revenue (Sales)",Inputs!$B:$B,Inputs!K:K),"")</f>
        <v>0.24331896822505056</v>
      </c>
      <c r="K22" s="243">
        <f>IFERROR(+_xlfn.XLOOKUP("SG&amp;A (Selling, General &amp; Administrative)",Inputs!$B:$B,Inputs!L:L)/_xlfn.XLOOKUP("Revenue (Sales)",Inputs!$B:$B,Inputs!L:L),"")</f>
        <v>0.26707454599660391</v>
      </c>
      <c r="L22" s="243">
        <f>IFERROR(+_xlfn.XLOOKUP("SG&amp;A (Selling, General &amp; Administrative)",Inputs!$B:$B,Inputs!M:M)/_xlfn.XLOOKUP("Revenue (Sales)",Inputs!$B:$B,Inputs!M:M),"")</f>
        <v>0.37262364305261059</v>
      </c>
      <c r="M22" s="243">
        <f>IFERROR(+_xlfn.XLOOKUP("SG&amp;A (Selling, General &amp; Administrative)",Inputs!$B:$B,Inputs!N:N)/_xlfn.XLOOKUP("Revenue (Sales)",Inputs!$B:$B,Inputs!N:N),"")</f>
        <v>0.32685265911072364</v>
      </c>
      <c r="N22" s="243">
        <f>IFERROR(+_xlfn.XLOOKUP("SG&amp;A (Selling, General &amp; Administrative)",Inputs!$B:$B,Inputs!O:O)/_xlfn.XLOOKUP("Revenue (Sales)",Inputs!$B:$B,Inputs!O:O),"")</f>
        <v>0.30743433008425575</v>
      </c>
      <c r="O22" s="243">
        <f>IFERROR(+_xlfn.XLOOKUP("SG&amp;A (Selling, General &amp; Administrative)",Inputs!$B:$B,Inputs!P:P)/_xlfn.XLOOKUP("Revenue (Sales)",Inputs!$B:$B,Inputs!P:P),"")</f>
        <v>0.30719366311024893</v>
      </c>
      <c r="P22" s="347">
        <f>IFERROR(+_xlfn.XLOOKUP("SG&amp;A (Selling, General &amp; Administrative)",Inputs!$B:$B,Inputs!Q:Q)/_xlfn.XLOOKUP("Revenue (Sales)",Inputs!$B:$B,Inputs!Q:Q),"")</f>
        <v>0.31373798862205793</v>
      </c>
      <c r="Q22" s="352">
        <f ca="1">+_xlfn.XLOOKUP("SG&amp;A Margin",DCF!$B:$B,DCF!H:H)</f>
        <v>0.30945532727218755</v>
      </c>
      <c r="R22" s="352">
        <f ca="1">+_xlfn.XLOOKUP("SG&amp;A Margin",DCF!$B:$B,DCF!I:I)</f>
        <v>0.31012899300149815</v>
      </c>
    </row>
    <row r="23" spans="2:19" ht="15.6">
      <c r="B23" s="18" t="s">
        <v>223</v>
      </c>
      <c r="F23" s="243">
        <f>IFERROR(_xlfn.XLOOKUP("Net Income",Inputs!$B:$B,Inputs!G:G)/_xlfn.XLOOKUP("Revenue (Sales)",Inputs!$B:$B,Inputs!G:G),"")</f>
        <v>0.16975418404405504</v>
      </c>
      <c r="G23" s="243">
        <f>IFERROR(_xlfn.XLOOKUP("Net Income",Inputs!$B:$B,Inputs!H:H)/_xlfn.XLOOKUP("Revenue (Sales)",Inputs!$B:$B,Inputs!H:H),"")</f>
        <v>0.16349200523605045</v>
      </c>
      <c r="H23" s="243">
        <f>IFERROR(_xlfn.XLOOKUP("Net Income",Inputs!$B:$B,Inputs!I:I)/_xlfn.XLOOKUP("Revenue (Sales)",Inputs!$B:$B,Inputs!I:I),"")</f>
        <v>0.14305734556238192</v>
      </c>
      <c r="I23" s="243">
        <f>IFERROR(_xlfn.XLOOKUP("Net Income",Inputs!$B:$B,Inputs!J:J)/_xlfn.XLOOKUP("Revenue (Sales)",Inputs!$B:$B,Inputs!J:J),"")</f>
        <v>7.2745422610849264E-2</v>
      </c>
      <c r="J23" s="243">
        <f>IFERROR(_xlfn.XLOOKUP("Net Income",Inputs!$B:$B,Inputs!K:K)/_xlfn.XLOOKUP("Revenue (Sales)",Inputs!$B:$B,Inputs!K:K),"")</f>
        <v>0.10959781884886483</v>
      </c>
      <c r="K23" s="243">
        <f>IFERROR(_xlfn.XLOOKUP("Net Income",Inputs!$B:$B,Inputs!L:L)/_xlfn.XLOOKUP("Revenue (Sales)",Inputs!$B:$B,Inputs!L:L),"")</f>
        <v>0.130892970562692</v>
      </c>
      <c r="L23" s="243">
        <f>IFERROR(_xlfn.XLOOKUP("Net Income",Inputs!$B:$B,Inputs!M:M)/_xlfn.XLOOKUP("Revenue (Sales)",Inputs!$B:$B,Inputs!M:M),"")</f>
        <v>7.0189746099059425E-2</v>
      </c>
      <c r="M23" s="243">
        <f>IFERROR(_xlfn.XLOOKUP("Net Income",Inputs!$B:$B,Inputs!N:N)/_xlfn.XLOOKUP("Revenue (Sales)",Inputs!$B:$B,Inputs!N:N),"")</f>
        <v>8.2162162162162156E-2</v>
      </c>
      <c r="N23" s="243">
        <f>IFERROR(_xlfn.XLOOKUP("Net Income",Inputs!$B:$B,Inputs!O:O)/_xlfn.XLOOKUP("Revenue (Sales)",Inputs!$B:$B,Inputs!O:O),"")</f>
        <v>2.9439947133652736E-2</v>
      </c>
      <c r="O23" s="243">
        <f>IFERROR(_xlfn.XLOOKUP("Net Income",Inputs!$B:$B,Inputs!P:P)/_xlfn.XLOOKUP("Revenue (Sales)",Inputs!$B:$B,Inputs!P:P),"")</f>
        <v>0.12145166505011316</v>
      </c>
      <c r="P23" s="347">
        <f>IFERROR(_xlfn.XLOOKUP("Net Income",Inputs!$B:$B,Inputs!Q:Q)/_xlfn.XLOOKUP("Revenue (Sales)",Inputs!$B:$B,Inputs!Q:Q),"")</f>
        <v>9.5867926632989653E-2</v>
      </c>
      <c r="Q23" s="352">
        <f ca="1">+_xlfn.XLOOKUP("Net Income Margin",DCF!$B:$B,DCF!H:H)</f>
        <v>0.10296298512833327</v>
      </c>
      <c r="R23" s="352">
        <f ca="1">+_xlfn.XLOOKUP("Net Income Margin",DCF!$B:$B,DCF!I:I)</f>
        <v>0.12056768971175962</v>
      </c>
    </row>
    <row r="24" spans="2:19" ht="8.1" customHeight="1">
      <c r="N24" s="244"/>
      <c r="O24" s="244"/>
      <c r="P24" s="348"/>
      <c r="Q24" s="353"/>
      <c r="R24" s="353"/>
    </row>
    <row r="25" spans="2:19" ht="15.6">
      <c r="B25" s="7" t="s">
        <v>232</v>
      </c>
      <c r="C25" s="49"/>
      <c r="D25" s="51"/>
      <c r="E25" s="51"/>
      <c r="F25" s="363">
        <v>2014</v>
      </c>
      <c r="G25" s="363">
        <f t="shared" ref="G25" si="13">+F25+1</f>
        <v>2015</v>
      </c>
      <c r="H25" s="363">
        <f t="shared" ref="H25" si="14">+G25+1</f>
        <v>2016</v>
      </c>
      <c r="I25" s="363">
        <f t="shared" ref="I25" si="15">+H25+1</f>
        <v>2017</v>
      </c>
      <c r="J25" s="363">
        <f t="shared" ref="J25" si="16">+I25+1</f>
        <v>2018</v>
      </c>
      <c r="K25" s="363">
        <f t="shared" ref="K25" si="17">+J25+1</f>
        <v>2019</v>
      </c>
      <c r="L25" s="363">
        <f t="shared" ref="L25" si="18">+K25+1</f>
        <v>2020</v>
      </c>
      <c r="M25" s="363">
        <f t="shared" ref="M25" si="19">+L25+1</f>
        <v>2021</v>
      </c>
      <c r="N25" s="363">
        <v>2022</v>
      </c>
      <c r="O25" s="363">
        <f t="shared" ref="O25" si="20">+N25+1</f>
        <v>2023</v>
      </c>
      <c r="P25" s="364">
        <f>+O25+1</f>
        <v>2024</v>
      </c>
      <c r="Q25" s="362">
        <f>+P25+1</f>
        <v>2025</v>
      </c>
      <c r="R25" s="362">
        <f>+Q25+1</f>
        <v>2026</v>
      </c>
    </row>
    <row r="26" spans="2:19" ht="3.95" customHeight="1">
      <c r="B26" s="238"/>
      <c r="C26" s="46"/>
      <c r="D26" s="53"/>
      <c r="E26" s="53"/>
      <c r="F26" s="53"/>
      <c r="G26" s="53"/>
      <c r="H26" s="53"/>
      <c r="I26" s="53"/>
      <c r="J26" s="53"/>
      <c r="K26" s="53"/>
      <c r="L26" s="53"/>
      <c r="M26" s="53"/>
      <c r="N26" s="212"/>
      <c r="O26" s="212"/>
      <c r="P26" s="345"/>
      <c r="Q26" s="212"/>
      <c r="R26" s="212"/>
    </row>
    <row r="27" spans="2:19" ht="15" customHeight="1">
      <c r="B27" s="30" t="s">
        <v>55</v>
      </c>
      <c r="C27" s="120"/>
      <c r="D27" s="233"/>
      <c r="F27" s="16">
        <f>+IFERROR(_xlfn.XLOOKUP("Cash &amp; Cash Equivalents",Inputs!$B:$B,Inputs!G:G)/_xlfn.XLOOKUP("Current Liabilities",Inputs!$B:$B,Inputs!G:G),"")</f>
        <v>0.21414314949091737</v>
      </c>
      <c r="G27" s="16">
        <f>+IFERROR(_xlfn.XLOOKUP("Cash &amp; Cash Equivalents",Inputs!$B:$B,Inputs!H:H)/_xlfn.XLOOKUP("Current Liabilities",Inputs!$B:$B,Inputs!H:H),"")</f>
        <v>0.22428433861507485</v>
      </c>
      <c r="H27" s="16">
        <f>+IFERROR(_xlfn.XLOOKUP("Cash &amp; Cash Equivalents",Inputs!$B:$B,Inputs!I:I)/_xlfn.XLOOKUP("Current Liabilities",Inputs!$B:$B,Inputs!I:I),"")</f>
        <v>0.21574086836664369</v>
      </c>
      <c r="I27" s="16">
        <f>+IFERROR(_xlfn.XLOOKUP("Cash &amp; Cash Equivalents",Inputs!$B:$B,Inputs!J:J)/_xlfn.XLOOKUP("Current Liabilities",Inputs!$B:$B,Inputs!J:J),"")</f>
        <v>0.32042394882637903</v>
      </c>
      <c r="J27" s="16">
        <f>+IFERROR(_xlfn.XLOOKUP("Cash &amp; Cash Equivalents",Inputs!$B:$B,Inputs!K:K)/_xlfn.XLOOKUP("Current Liabilities",Inputs!$B:$B,Inputs!K:K),"")</f>
        <v>0.29766918670049963</v>
      </c>
      <c r="K27" s="16">
        <f>+IFERROR(_xlfn.XLOOKUP("Cash &amp; Cash Equivalents",Inputs!$B:$B,Inputs!L:L)/_xlfn.XLOOKUP("Current Liabilities",Inputs!$B:$B,Inputs!L:L),"")</f>
        <v>0.21675817617569826</v>
      </c>
      <c r="L27" s="16">
        <f>+IFERROR(_xlfn.XLOOKUP("Cash &amp; Cash Equivalents",Inputs!$B:$B,Inputs!M:M)/_xlfn.XLOOKUP("Current Liabilities",Inputs!$B:$B,Inputs!M:M),"")</f>
        <v>0.33138528681431689</v>
      </c>
      <c r="M27" s="16">
        <f>+IFERROR(_xlfn.XLOOKUP("Cash &amp; Cash Equivalents",Inputs!$B:$B,Inputs!N:N)/_xlfn.XLOOKUP("Current Liabilities",Inputs!$B:$B,Inputs!N:N),"")</f>
        <v>0.19780481275469228</v>
      </c>
      <c r="N27" s="16">
        <f>+IFERROR(_xlfn.XLOOKUP("Cash &amp; Cash Equivalents",Inputs!$B:$B,Inputs!O:O)/_xlfn.XLOOKUP("Current Liabilities",Inputs!$B:$B,Inputs!O:O),"")</f>
        <v>0.25030947468655768</v>
      </c>
      <c r="O27" s="16">
        <f>+IFERROR(_xlfn.XLOOKUP("Cash &amp; Cash Equivalents",Inputs!$B:$B,Inputs!P:P)/_xlfn.XLOOKUP("Current Liabilities",Inputs!$B:$B,Inputs!P:P),"")</f>
        <v>0.38297872340425532</v>
      </c>
      <c r="P27" s="343">
        <f>+IFERROR(_xlfn.XLOOKUP("Cash &amp; Cash Equivalents",Inputs!$B:$B,Inputs!Q:Q)/_xlfn.XLOOKUP("Current Liabilities",Inputs!$B:$B,Inputs!Q:Q),"")</f>
        <v>0.42082553859151528</v>
      </c>
      <c r="Q27" s="350">
        <f ca="1">+IFERROR((_xlfn.XLOOKUP("Cash &amp; Cash Equivalents &amp; ST Investments",DCF!$B:$B,DCF!H:H)-_xlfn.XLOOKUP("Short-Term Investments",Inputs!$B:$B,Inputs!$Q:$Q))/_xlfn.XLOOKUP("Current Liabilities",DCF!$6:$6,DCF!10:10),"")</f>
        <v>0.51943531641576879</v>
      </c>
      <c r="R27" s="350">
        <f ca="1">+IFERROR((_xlfn.XLOOKUP("Cash &amp; Cash Equivalents &amp; ST Investments",DCF!$B:$B,DCF!I:I)-_xlfn.XLOOKUP("Short-Term Investments",Inputs!$B:$B,Inputs!$Q:$Q))/_xlfn.XLOOKUP("Current Liabilities",DCF!$6:$6,DCF!10:10),"")</f>
        <v>0.64176558585359511</v>
      </c>
    </row>
    <row r="28" spans="2:19" ht="15.6">
      <c r="B28" s="18" t="s">
        <v>58</v>
      </c>
      <c r="F28" s="16">
        <f>IFERROR((_xlfn.XLOOKUP("Cash &amp; Cash Equivalents &amp; ST Investments",Inputs!$B:$B,Inputs!G:G)+_xlfn.XLOOKUP("Accounts Receivable",Inputs!$B:$B,Inputs!G:G))/_xlfn.XLOOKUP("Current Liabilities",Inputs!$B:$B,Inputs!G:G),"")</f>
        <v>0.51721785705262624</v>
      </c>
      <c r="G28" s="16">
        <f>IFERROR((_xlfn.XLOOKUP("Cash &amp; Cash Equivalents &amp; ST Investments",Inputs!$B:$B,Inputs!H:H)+_xlfn.XLOOKUP("Accounts Receivable",Inputs!$B:$B,Inputs!H:H))/_xlfn.XLOOKUP("Current Liabilities",Inputs!$B:$B,Inputs!H:H),"")</f>
        <v>0.51731885961072688</v>
      </c>
      <c r="H28" s="16">
        <f>IFERROR((_xlfn.XLOOKUP("Cash &amp; Cash Equivalents &amp; ST Investments",Inputs!$B:$B,Inputs!I:I)+_xlfn.XLOOKUP("Accounts Receivable",Inputs!$B:$B,Inputs!I:I))/_xlfn.XLOOKUP("Current Liabilities",Inputs!$B:$B,Inputs!I:I),"")</f>
        <v>0.51732598208132319</v>
      </c>
      <c r="I28" s="16">
        <f>IFERROR((_xlfn.XLOOKUP("Cash &amp; Cash Equivalents &amp; ST Investments",Inputs!$B:$B,Inputs!J:J)+_xlfn.XLOOKUP("Accounts Receivable",Inputs!$B:$B,Inputs!J:J))/_xlfn.XLOOKUP("Current Liabilities",Inputs!$B:$B,Inputs!J:J),"")</f>
        <v>0.60190562856301688</v>
      </c>
      <c r="J28" s="16">
        <f>IFERROR((_xlfn.XLOOKUP("Cash &amp; Cash Equivalents &amp; ST Investments",Inputs!$B:$B,Inputs!K:K)+_xlfn.XLOOKUP("Accounts Receivable",Inputs!$B:$B,Inputs!K:K))/_xlfn.XLOOKUP("Current Liabilities",Inputs!$B:$B,Inputs!K:K),"")</f>
        <v>0.52768985272189817</v>
      </c>
      <c r="K28" s="16">
        <f>IFERROR((_xlfn.XLOOKUP("Cash &amp; Cash Equivalents &amp; ST Investments",Inputs!$B:$B,Inputs!L:L)+_xlfn.XLOOKUP("Accounts Receivable",Inputs!$B:$B,Inputs!L:L))/_xlfn.XLOOKUP("Current Liabilities",Inputs!$B:$B,Inputs!L:L),"")</f>
        <v>0.4752128590753561</v>
      </c>
      <c r="L28" s="16">
        <f>IFERROR((_xlfn.XLOOKUP("Cash &amp; Cash Equivalents &amp; ST Investments",Inputs!$B:$B,Inputs!M:M)+_xlfn.XLOOKUP("Accounts Receivable",Inputs!$B:$B,Inputs!M:M))/_xlfn.XLOOKUP("Current Liabilities",Inputs!$B:$B,Inputs!M:M),"")</f>
        <v>0.53979282149038099</v>
      </c>
      <c r="M28" s="16">
        <f>IFERROR((_xlfn.XLOOKUP("Cash &amp; Cash Equivalents &amp; ST Investments",Inputs!$B:$B,Inputs!N:N)+_xlfn.XLOOKUP("Accounts Receivable",Inputs!$B:$B,Inputs!N:N))/_xlfn.XLOOKUP("Current Liabilities",Inputs!$B:$B,Inputs!N:N),"")</f>
        <v>0.4376394300841786</v>
      </c>
      <c r="N28" s="16">
        <f>IFERROR((_xlfn.XLOOKUP("Cash &amp; Cash Equivalents &amp; ST Investments",Inputs!$B:$B,Inputs!O:O)+_xlfn.XLOOKUP("Accounts Receivable",Inputs!$B:$B,Inputs!O:O))/_xlfn.XLOOKUP("Current Liabilities",Inputs!$B:$B,Inputs!O:O),"")</f>
        <v>0.48712902713854944</v>
      </c>
      <c r="O28" s="16">
        <f>IFERROR((_xlfn.XLOOKUP("Cash &amp; Cash Equivalents &amp; ST Investments",Inputs!$B:$B,Inputs!P:P)+_xlfn.XLOOKUP("Accounts Receivable",Inputs!$B:$B,Inputs!P:P))/_xlfn.XLOOKUP("Current Liabilities",Inputs!$B:$B,Inputs!P:P),"")</f>
        <v>0.62408416857159599</v>
      </c>
      <c r="P28" s="343">
        <f>IFERROR((_xlfn.XLOOKUP("Cash &amp; Cash Equivalents &amp; ST Investments",Inputs!$B:$B,Inputs!Q:Q)+_xlfn.XLOOKUP("Accounts Receivable",Inputs!$B:$B,Inputs!Q:Q))/_xlfn.XLOOKUP("Current Liabilities",Inputs!$B:$B,Inputs!Q:Q),"")</f>
        <v>0.6741295033492245</v>
      </c>
      <c r="Q28" s="350">
        <f ca="1">+IFERROR((_xlfn.XLOOKUP("Cash &amp; Cash Equivalents &amp; ST Investments",DCF!$B:$B,DCF!H:H)+_xlfn.XLOOKUP("Accounts Receivable",DCF!$B:$B,DCF!H:H))/_xlfn.XLOOKUP("Current Liabilities",DCF!$6:$6,DCF!10:10),"")</f>
        <v>0.77937201090081099</v>
      </c>
      <c r="R28" s="350">
        <f ca="1">+IFERROR((_xlfn.XLOOKUP("Cash &amp; Cash Equivalents &amp; ST Investments",DCF!$B:$B,DCF!I:I)+_xlfn.XLOOKUP("Accounts Receivable",DCF!$B:$B,DCF!I:I))/_xlfn.XLOOKUP("Current Liabilities",DCF!$6:$6,DCF!10:10),"")</f>
        <v>0.91415098994778721</v>
      </c>
    </row>
    <row r="29" spans="2:19" ht="15.6">
      <c r="B29" s="18" t="s">
        <v>60</v>
      </c>
      <c r="F29" s="16">
        <f>IFERROR(_xlfn.XLOOKUP("Current Assets",Inputs!$B:$B,Inputs!G:G)/+_xlfn.XLOOKUP("Current Liabilities",Inputs!$B:$B,Inputs!G:G),"")</f>
        <v>1.19696318940906</v>
      </c>
      <c r="G29" s="16">
        <f>IFERROR(_xlfn.XLOOKUP("Current Assets",Inputs!$B:$B,Inputs!H:H)/+_xlfn.XLOOKUP("Current Liabilities",Inputs!$B:$B,Inputs!H:H),"")</f>
        <v>1.2403046485161515</v>
      </c>
      <c r="H29" s="16">
        <f>IFERROR(_xlfn.XLOOKUP("Current Assets",Inputs!$B:$B,Inputs!I:I)/+_xlfn.XLOOKUP("Current Liabilities",Inputs!$B:$B,Inputs!I:I),"")</f>
        <v>1.2098690558235699</v>
      </c>
      <c r="I29" s="16">
        <f>IFERROR(_xlfn.XLOOKUP("Current Assets",Inputs!$B:$B,Inputs!J:J)/+_xlfn.XLOOKUP("Current Liabilities",Inputs!$B:$B,Inputs!J:J),"")</f>
        <v>1.3311297272702942</v>
      </c>
      <c r="J29" s="16">
        <f>IFERROR(_xlfn.XLOOKUP("Current Assets",Inputs!$B:$B,Inputs!K:K)/+_xlfn.XLOOKUP("Current Liabilities",Inputs!$B:$B,Inputs!K:K),"")</f>
        <v>1.2856358071520129</v>
      </c>
      <c r="K29" s="16">
        <f>IFERROR(_xlfn.XLOOKUP("Current Assets",Inputs!$B:$B,Inputs!L:L)/+_xlfn.XLOOKUP("Current Liabilities",Inputs!$B:$B,Inputs!L:L),"")</f>
        <v>1.019071112172091</v>
      </c>
      <c r="L29" s="16">
        <f>IFERROR(_xlfn.XLOOKUP("Current Assets",Inputs!$B:$B,Inputs!M:M)/+_xlfn.XLOOKUP("Current Liabilities",Inputs!$B:$B,Inputs!M:M),"")</f>
        <v>0.98234217060874363</v>
      </c>
      <c r="M29" s="16">
        <f>IFERROR(_xlfn.XLOOKUP("Current Assets",Inputs!$B:$B,Inputs!N:N)/+_xlfn.XLOOKUP("Current Liabilities",Inputs!$B:$B,Inputs!N:N),"")</f>
        <v>0.87864005473095574</v>
      </c>
      <c r="N29" s="16">
        <f>IFERROR(_xlfn.XLOOKUP("Current Assets",Inputs!$B:$B,Inputs!O:O)/+_xlfn.XLOOKUP("Current Liabilities",Inputs!$B:$B,Inputs!O:O),"")</f>
        <v>0.924234248531979</v>
      </c>
      <c r="O29" s="16">
        <f>IFERROR(_xlfn.XLOOKUP("Current Assets",Inputs!$B:$B,Inputs!P:P)/+_xlfn.XLOOKUP("Current Liabilities",Inputs!$B:$B,Inputs!P:P),"")</f>
        <v>0.9644217806693629</v>
      </c>
      <c r="P29" s="343">
        <f>IFERROR(_xlfn.XLOOKUP("Current Assets",Inputs!$B:$B,Inputs!Q:Q)/+_xlfn.XLOOKUP("Current Liabilities",Inputs!$B:$B,Inputs!Q:Q),"")</f>
        <v>1.0404320801400035</v>
      </c>
      <c r="Q29" s="350">
        <f ca="1">+IFERROR(_xlfn.XLOOKUP("Current Assets",DCF!$6:$6,DCF!10:10)/_xlfn.XLOOKUP("Current Liabilities",DCF!$6:$6,DCF!10:10),"")</f>
        <v>1.1669930021168473</v>
      </c>
      <c r="R29" s="350">
        <f ca="1">+IFERROR(_xlfn.XLOOKUP("Current Assets",DCF!$6:$6,DCF!10:10)/_xlfn.XLOOKUP("Current Liabilities",DCF!$6:$6,DCF!10:10),"")</f>
        <v>1.1669930021168473</v>
      </c>
    </row>
    <row r="30" spans="2:19" ht="8.1" customHeight="1">
      <c r="N30" s="16"/>
      <c r="O30" s="16"/>
      <c r="P30" s="343"/>
      <c r="Q30" s="350"/>
      <c r="R30" s="350"/>
    </row>
    <row r="31" spans="2:19" ht="15.6">
      <c r="B31" s="7" t="s">
        <v>729</v>
      </c>
      <c r="C31" s="49"/>
      <c r="D31" s="51"/>
      <c r="E31" s="51"/>
      <c r="F31" s="363">
        <v>2014</v>
      </c>
      <c r="G31" s="363">
        <f t="shared" ref="G31" si="21">+F31+1</f>
        <v>2015</v>
      </c>
      <c r="H31" s="363">
        <f t="shared" ref="H31" si="22">+G31+1</f>
        <v>2016</v>
      </c>
      <c r="I31" s="363">
        <f t="shared" ref="I31" si="23">+H31+1</f>
        <v>2017</v>
      </c>
      <c r="J31" s="363">
        <f t="shared" ref="J31" si="24">+I31+1</f>
        <v>2018</v>
      </c>
      <c r="K31" s="363">
        <f t="shared" ref="K31" si="25">+J31+1</f>
        <v>2019</v>
      </c>
      <c r="L31" s="363">
        <f t="shared" ref="L31" si="26">+K31+1</f>
        <v>2020</v>
      </c>
      <c r="M31" s="363">
        <f t="shared" ref="M31" si="27">+L31+1</f>
        <v>2021</v>
      </c>
      <c r="N31" s="363">
        <v>2022</v>
      </c>
      <c r="O31" s="363">
        <f t="shared" ref="O31" si="28">+N31+1</f>
        <v>2023</v>
      </c>
      <c r="P31" s="364">
        <f>+O31+1</f>
        <v>2024</v>
      </c>
      <c r="Q31" s="362">
        <f>+P31+1</f>
        <v>2025</v>
      </c>
      <c r="R31" s="362">
        <f>+Q31+1</f>
        <v>2026</v>
      </c>
    </row>
    <row r="32" spans="2:19" ht="3.95" customHeight="1">
      <c r="B32" s="238"/>
      <c r="C32" s="46"/>
      <c r="D32" s="53"/>
      <c r="E32" s="53"/>
      <c r="F32" s="53"/>
      <c r="G32" s="53"/>
      <c r="H32" s="53"/>
      <c r="I32" s="53"/>
      <c r="J32" s="53"/>
      <c r="K32" s="53"/>
      <c r="L32" s="53"/>
      <c r="M32" s="53"/>
      <c r="N32" s="212"/>
      <c r="O32" s="212"/>
      <c r="P32" s="345"/>
      <c r="Q32" s="212"/>
      <c r="R32" s="212"/>
    </row>
    <row r="33" spans="2:18" ht="15.6">
      <c r="B33" s="18" t="s">
        <v>730</v>
      </c>
      <c r="F33" s="245">
        <f>+_xlfn.XLOOKUP("DSO",Inputs!$B:$B,Inputs!G:G)</f>
        <v>47.186102399965513</v>
      </c>
      <c r="G33" s="245">
        <f>+_xlfn.XLOOKUP("DSO",Inputs!$B:$B,Inputs!H:H)</f>
        <v>42.572393291004516</v>
      </c>
      <c r="H33" s="245">
        <f>+_xlfn.XLOOKUP("DSO",Inputs!$B:$B,Inputs!I:I)</f>
        <v>46.762784819629871</v>
      </c>
      <c r="I33" s="245">
        <f>+_xlfn.XLOOKUP("DSO",Inputs!$B:$B,Inputs!J:J)</f>
        <v>45.701676796522577</v>
      </c>
      <c r="J33" s="245">
        <f>+_xlfn.XLOOKUP("DSO",Inputs!$B:$B,Inputs!K:K)</f>
        <v>37.490105665213406</v>
      </c>
      <c r="K33" s="245">
        <f>+_xlfn.XLOOKUP("DSO",Inputs!$B:$B,Inputs!L:L)</f>
        <v>45.433976693844222</v>
      </c>
      <c r="L33" s="245">
        <f>+_xlfn.XLOOKUP("DSO",Inputs!$B:$B,Inputs!M:M)</f>
        <v>51.899998187716342</v>
      </c>
      <c r="M33" s="245">
        <f>+_xlfn.XLOOKUP("DSO",Inputs!$B:$B,Inputs!N:N)</f>
        <v>49.362510897994774</v>
      </c>
      <c r="N33" s="245">
        <f>+_xlfn.XLOOKUP("DSO",Inputs!$B:$B,Inputs!O:O)</f>
        <v>44.369238394184698</v>
      </c>
      <c r="O33" s="245">
        <f>+_xlfn.XLOOKUP("DSO",Inputs!$B:$B,Inputs!P:P)</f>
        <v>46.34190106692531</v>
      </c>
      <c r="P33" s="349">
        <f>+_xlfn.XLOOKUP("DSO",Inputs!$B:$B,Inputs!Q:Q)</f>
        <v>45.083342629037652</v>
      </c>
      <c r="Q33" s="354">
        <f ca="1">+_xlfn.XLOOKUP("DSO",DCF!$B:$B,DCF!H:H)</f>
        <v>45.305999365783499</v>
      </c>
      <c r="R33" s="354">
        <f ca="1">+_xlfn.XLOOKUP("DSO",DCF!$B:$B,DCF!I:I)</f>
        <v>45.618253022983104</v>
      </c>
    </row>
    <row r="34" spans="2:18" ht="15.6">
      <c r="B34" s="239" t="s">
        <v>731</v>
      </c>
      <c r="F34" s="245">
        <f>+_xlfn.XLOOKUP("DPO",Inputs!$B:$B,Inputs!G:G)</f>
        <v>54.011124046048373</v>
      </c>
      <c r="G34" s="245">
        <f>+_xlfn.XLOOKUP("DPO",Inputs!$B:$B,Inputs!H:H)</f>
        <v>53.589400102296814</v>
      </c>
      <c r="H34" s="245">
        <f>+_xlfn.XLOOKUP("DPO",Inputs!$B:$B,Inputs!I:I)</f>
        <v>54.445285285285287</v>
      </c>
      <c r="I34" s="245">
        <f>+_xlfn.XLOOKUP("DPO",Inputs!$B:$B,Inputs!J:J)</f>
        <v>55.801853256232825</v>
      </c>
      <c r="J34" s="245">
        <f>+_xlfn.XLOOKUP("DPO",Inputs!$B:$B,Inputs!K:K)</f>
        <v>56.116985113116868</v>
      </c>
      <c r="K34" s="245">
        <f>+_xlfn.XLOOKUP("DPO",Inputs!$B:$B,Inputs!L:L)</f>
        <v>43.951892569910719</v>
      </c>
      <c r="L34" s="245">
        <f>+_xlfn.XLOOKUP("DPO",Inputs!$B:$B,Inputs!M:M)</f>
        <v>73.678539113268087</v>
      </c>
      <c r="M34" s="245">
        <f>+_xlfn.XLOOKUP("DPO",Inputs!$B:$B,Inputs!N:N)</f>
        <v>55.811907983761841</v>
      </c>
      <c r="N34" s="245">
        <f>+_xlfn.XLOOKUP("DPO",Inputs!$B:$B,Inputs!O:O)</f>
        <v>53.107355793405645</v>
      </c>
      <c r="O34" s="245">
        <f>+_xlfn.XLOOKUP("DPO",Inputs!$B:$B,Inputs!P:P)</f>
        <v>54.723512336719885</v>
      </c>
      <c r="P34" s="349">
        <f>+_xlfn.XLOOKUP("DPO",Inputs!$B:$B,Inputs!Q:Q)</f>
        <v>54.103893239219147</v>
      </c>
      <c r="Q34" s="354">
        <f ca="1">+_xlfn.XLOOKUP("DPO",DCF!$B:$B,DCF!H:H)</f>
        <v>54.027663737945232</v>
      </c>
      <c r="R34" s="354">
        <f ca="1">+_xlfn.XLOOKUP("DPO",DCF!$B:$B,DCF!I:I)</f>
        <v>54.334433052791759</v>
      </c>
    </row>
    <row r="35" spans="2:18" ht="15.6">
      <c r="B35" s="239" t="s">
        <v>732</v>
      </c>
      <c r="F35" s="245">
        <f>+_xlfn.XLOOKUP("DIH",Inputs!$B:$B,Inputs!G:G)</f>
        <v>16.547988617255204</v>
      </c>
      <c r="G35" s="245">
        <f>+_xlfn.XLOOKUP("DIH",Inputs!$B:$B,Inputs!H:H)</f>
        <v>13.788513529970528</v>
      </c>
      <c r="H35" s="245">
        <f>+_xlfn.XLOOKUP("DIH",Inputs!$B:$B,Inputs!I:I)</f>
        <v>13.617897897897898</v>
      </c>
      <c r="I35" s="245">
        <f>+_xlfn.XLOOKUP("DIH",Inputs!$B:$B,Inputs!J:J)</f>
        <v>13.693122570859797</v>
      </c>
      <c r="J35" s="245">
        <f>+_xlfn.XLOOKUP("DIH",Inputs!$B:$B,Inputs!K:K)</f>
        <v>14.392919939045834</v>
      </c>
      <c r="K35" s="245">
        <f>+_xlfn.XLOOKUP("DIH",Inputs!$B:$B,Inputs!L:L)</f>
        <v>14.533928527509284</v>
      </c>
      <c r="L35" s="245">
        <f>+_xlfn.XLOOKUP("DIH",Inputs!$B:$B,Inputs!M:M)</f>
        <v>27.60693427654849</v>
      </c>
      <c r="M35" s="245">
        <f>+_xlfn.XLOOKUP("DIH",Inputs!$B:$B,Inputs!N:N)</f>
        <v>23.270249371737869</v>
      </c>
      <c r="N35" s="245">
        <f>+_xlfn.XLOOKUP("DIH",Inputs!$B:$B,Inputs!O:O)</f>
        <v>20.346239494289204</v>
      </c>
      <c r="O35" s="245">
        <f>+_xlfn.XLOOKUP("DIH",Inputs!$B:$B,Inputs!P:P)</f>
        <v>15.376088534107401</v>
      </c>
      <c r="P35" s="349">
        <f>+_xlfn.XLOOKUP("DIH",Inputs!$B:$B,Inputs!Q:Q)</f>
        <v>17.296606742399177</v>
      </c>
      <c r="Q35" s="354">
        <f ca="1">+_xlfn.XLOOKUP("DIH",DCF!$B:$B,DCF!H:H)</f>
        <v>17.672978256931927</v>
      </c>
      <c r="R35" s="354">
        <f ca="1">+_xlfn.XLOOKUP("DIH",DCF!$B:$B,DCF!I:I)</f>
        <v>16.781891177812835</v>
      </c>
    </row>
    <row r="36" spans="2:18" ht="15.6">
      <c r="B36" s="239" t="s">
        <v>69</v>
      </c>
      <c r="F36" s="245">
        <f>IFERROR(F35+F33-F34,"")</f>
        <v>9.7229669711723474</v>
      </c>
      <c r="G36" s="245">
        <f t="shared" ref="G36:P36" si="29">IFERROR(G35+G33-G34,"")</f>
        <v>2.7715067186782321</v>
      </c>
      <c r="H36" s="245">
        <f t="shared" si="29"/>
        <v>5.9353974322424818</v>
      </c>
      <c r="I36" s="245">
        <f t="shared" si="29"/>
        <v>3.5929461111495513</v>
      </c>
      <c r="J36" s="245">
        <f t="shared" si="29"/>
        <v>-4.2339595088576303</v>
      </c>
      <c r="K36" s="245">
        <f t="shared" si="29"/>
        <v>16.016012651442786</v>
      </c>
      <c r="L36" s="245">
        <f t="shared" si="29"/>
        <v>5.8283933509967483</v>
      </c>
      <c r="M36" s="245">
        <f t="shared" si="29"/>
        <v>16.820852285970801</v>
      </c>
      <c r="N36" s="245">
        <f t="shared" si="29"/>
        <v>11.608122095068254</v>
      </c>
      <c r="O36" s="245">
        <f t="shared" si="29"/>
        <v>6.9944772643128275</v>
      </c>
      <c r="P36" s="349">
        <f t="shared" si="29"/>
        <v>8.2760561322176827</v>
      </c>
      <c r="Q36" s="354">
        <f ca="1">IFERROR(Q35+Q33-Q34,"")</f>
        <v>8.9513138847701939</v>
      </c>
      <c r="R36" s="354">
        <f t="shared" ref="R36" ca="1" si="30">IFERROR(R35+R33-R34,"")</f>
        <v>8.0657111480041763</v>
      </c>
    </row>
    <row r="37" spans="2:18" ht="8.1" customHeight="1">
      <c r="N37" s="241"/>
      <c r="O37" s="241"/>
      <c r="P37" s="346"/>
      <c r="Q37" s="351"/>
      <c r="R37" s="351"/>
    </row>
    <row r="38" spans="2:18" ht="15.6">
      <c r="B38" s="7" t="s">
        <v>733</v>
      </c>
      <c r="C38" s="49"/>
      <c r="D38" s="51"/>
      <c r="E38" s="51"/>
      <c r="F38" s="363">
        <v>2014</v>
      </c>
      <c r="G38" s="363">
        <f t="shared" ref="G38" si="31">+F38+1</f>
        <v>2015</v>
      </c>
      <c r="H38" s="363">
        <f t="shared" ref="H38" si="32">+G38+1</f>
        <v>2016</v>
      </c>
      <c r="I38" s="363">
        <f t="shared" ref="I38" si="33">+H38+1</f>
        <v>2017</v>
      </c>
      <c r="J38" s="363">
        <f t="shared" ref="J38" si="34">+I38+1</f>
        <v>2018</v>
      </c>
      <c r="K38" s="363">
        <f t="shared" ref="K38" si="35">+J38+1</f>
        <v>2019</v>
      </c>
      <c r="L38" s="363">
        <f t="shared" ref="L38" si="36">+K38+1</f>
        <v>2020</v>
      </c>
      <c r="M38" s="363">
        <f t="shared" ref="M38" si="37">+L38+1</f>
        <v>2021</v>
      </c>
      <c r="N38" s="363">
        <v>2022</v>
      </c>
      <c r="O38" s="363">
        <f t="shared" ref="O38" si="38">+N38+1</f>
        <v>2023</v>
      </c>
      <c r="P38" s="364">
        <f>+O38+1</f>
        <v>2024</v>
      </c>
      <c r="Q38" s="362">
        <f>+P38+1</f>
        <v>2025</v>
      </c>
      <c r="R38" s="362">
        <f>+Q38+1</f>
        <v>2026</v>
      </c>
    </row>
    <row r="39" spans="2:18" ht="3.95" customHeight="1">
      <c r="B39" s="238"/>
      <c r="C39" s="46"/>
      <c r="D39" s="53"/>
      <c r="E39" s="53"/>
      <c r="F39" s="53"/>
      <c r="G39" s="53"/>
      <c r="H39" s="53"/>
      <c r="I39" s="53"/>
      <c r="J39" s="53"/>
      <c r="K39" s="53"/>
      <c r="L39" s="53"/>
      <c r="M39" s="53"/>
      <c r="N39" s="212"/>
      <c r="O39" s="212"/>
      <c r="P39" s="345"/>
      <c r="Q39" s="212"/>
      <c r="R39" s="212"/>
    </row>
    <row r="40" spans="2:18" ht="15.6">
      <c r="B40" s="18" t="s">
        <v>80</v>
      </c>
      <c r="F40" s="16">
        <f>+IFERROR(_xlfn.XLOOKUP("Total Debt",Inputs!$B:$B,Inputs!G:G)/+_xlfn.XLOOKUP("Shareholder's Equity",Inputs!$B:$B,Inputs!G:G),"")</f>
        <v>3.3892634207240948</v>
      </c>
      <c r="G40" s="16">
        <f>+IFERROR(_xlfn.XLOOKUP("Total Debt",Inputs!$B:$B,Inputs!H:H)/+_xlfn.XLOOKUP("Shareholder's Equity",Inputs!$B:$B,Inputs!H:H),"")</f>
        <v>2.7654603438713257</v>
      </c>
      <c r="H40" s="16">
        <f>+IFERROR(_xlfn.XLOOKUP("Total Debt",Inputs!$B:$B,Inputs!I:I)/+_xlfn.XLOOKUP("Shareholder's Equity",Inputs!$B:$B,Inputs!I:I),"")</f>
        <v>2.2927359721618097</v>
      </c>
      <c r="I40" s="16">
        <f>+IFERROR(_xlfn.XLOOKUP("Total Debt",Inputs!$B:$B,Inputs!J:J)/+_xlfn.XLOOKUP("Shareholder's Equity",Inputs!$B:$B,Inputs!J:J),"")</f>
        <v>2.6418415707515233</v>
      </c>
      <c r="J40" s="16">
        <f>+IFERROR(_xlfn.XLOOKUP("Total Debt",Inputs!$B:$B,Inputs!K:K)/+_xlfn.XLOOKUP("Shareholder's Equity",Inputs!$B:$B,Inputs!K:K),"")</f>
        <v>1.8066806010174705</v>
      </c>
      <c r="K40" s="16">
        <f>+IFERROR(_xlfn.XLOOKUP("Total Debt",Inputs!$B:$B,Inputs!L:L)/+_xlfn.XLOOKUP("Shareholder's Equity",Inputs!$B:$B,Inputs!L:L),"")</f>
        <v>3.2994598244429438</v>
      </c>
      <c r="L40" s="16">
        <f>+IFERROR(_xlfn.XLOOKUP("Total Debt",Inputs!$B:$B,Inputs!M:M)/+_xlfn.XLOOKUP("Shareholder's Equity",Inputs!$B:$B,Inputs!M:M),"")</f>
        <v>3.1559982841618606</v>
      </c>
      <c r="M40" s="16">
        <f>+IFERROR(_xlfn.XLOOKUP("Total Debt",Inputs!$B:$B,Inputs!N:N)/+_xlfn.XLOOKUP("Shareholder's Equity",Inputs!$B:$B,Inputs!N:N),"")</f>
        <v>2.9027163613392295</v>
      </c>
      <c r="N40" s="16">
        <f>+IFERROR(_xlfn.XLOOKUP("Total Debt",Inputs!$B:$B,Inputs!O:O)/+_xlfn.XLOOKUP("Shareholder's Equity",Inputs!$B:$B,Inputs!O:O),"")</f>
        <v>2.4526836799564071</v>
      </c>
      <c r="O40" s="16">
        <f>+IFERROR(_xlfn.XLOOKUP("Total Debt",Inputs!$B:$B,Inputs!P:P)/+_xlfn.XLOOKUP("Shareholder's Equity",Inputs!$B:$B,Inputs!P:P),"")</f>
        <v>2.6505837608349547</v>
      </c>
      <c r="P40" s="16">
        <f>+IFERROR(_xlfn.XLOOKUP("Total Debt",Inputs!$B:$B,Inputs!Q:Q)/+_xlfn.XLOOKUP("Shareholder's Equity",Inputs!$B:$B,Inputs!Q:Q),"")</f>
        <v>2.1318633177570092</v>
      </c>
      <c r="Q40" s="350">
        <f ca="1">IFERROR((_xlfn.XLOOKUP("Total Borrowings",DCF!$B:$B,DCF!G:G)+_xlfn.XLOOKUP("Total Leases",DCF!$B:$B,DCF!G:G))/_xlfn.XLOOKUP("Shareholder's Equity",DCF!$6:$6,DCF!10:10),"")</f>
        <v>1.9413014600748038</v>
      </c>
      <c r="R40" s="350">
        <f ca="1">IFERROR((_xlfn.XLOOKUP("Total Borrowings",DCF!$B:$B,DCF!H:H)+_xlfn.XLOOKUP("Total Leases",DCF!$B:$B,DCF!H:H))/_xlfn.XLOOKUP("Shareholder's Equity",DCF!$6:$6,DCF!10:10),"")</f>
        <v>2.0544830242772978</v>
      </c>
    </row>
    <row r="41" spans="2:18" ht="15.6">
      <c r="B41" s="239" t="s">
        <v>83</v>
      </c>
      <c r="F41" s="16">
        <f>+IFERROR(_xlfn.XLOOKUP("Total Debt",Inputs!$B:$B,Inputs!G:G)*1000/(+_xlfn.XLOOKUP("Shareholder's Equity",Inputs!$B:$B,Inputs!G:G)+_xlfn.XLOOKUP("Total Debt",Inputs!$B:$B,Inputs!G:G)*1000),"")</f>
        <v>0.99970503766937779</v>
      </c>
      <c r="G41" s="16">
        <f>+IFERROR(_xlfn.XLOOKUP("Total Debt",Inputs!$B:$B,Inputs!H:H)*1000/(+_xlfn.XLOOKUP("Shareholder's Equity",Inputs!$B:$B,Inputs!H:H)+_xlfn.XLOOKUP("Total Debt",Inputs!$B:$B,Inputs!H:H)*1000),"")</f>
        <v>0.99963852726021707</v>
      </c>
      <c r="H41" s="16">
        <f>+IFERROR(_xlfn.XLOOKUP("Total Debt",Inputs!$B:$B,Inputs!I:I)*1000/(+_xlfn.XLOOKUP("Shareholder's Equity",Inputs!$B:$B,Inputs!I:I)+_xlfn.XLOOKUP("Total Debt",Inputs!$B:$B,Inputs!I:I)*1000),"")</f>
        <v>0.99956403003129535</v>
      </c>
      <c r="I41" s="16">
        <f>+IFERROR(_xlfn.XLOOKUP("Total Debt",Inputs!$B:$B,Inputs!J:J)*1000/(+_xlfn.XLOOKUP("Shareholder's Equity",Inputs!$B:$B,Inputs!J:J)+_xlfn.XLOOKUP("Total Debt",Inputs!$B:$B,Inputs!J:J)*1000),"")</f>
        <v>0.999621619392147</v>
      </c>
      <c r="J41" s="16">
        <f>+IFERROR(_xlfn.XLOOKUP("Total Debt",Inputs!$B:$B,Inputs!K:K)*1000/(+_xlfn.XLOOKUP("Shareholder's Equity",Inputs!$B:$B,Inputs!K:K)+_xlfn.XLOOKUP("Total Debt",Inputs!$B:$B,Inputs!K:K)*1000),"")</f>
        <v>0.99944680492812887</v>
      </c>
      <c r="K41" s="16">
        <f>+IFERROR(_xlfn.XLOOKUP("Total Debt",Inputs!$B:$B,Inputs!L:L)*1000/(+_xlfn.XLOOKUP("Shareholder's Equity",Inputs!$B:$B,Inputs!L:L)+_xlfn.XLOOKUP("Total Debt",Inputs!$B:$B,Inputs!L:L)*1000),"")</f>
        <v>0.99969701191555371</v>
      </c>
      <c r="L41" s="16">
        <f>+IFERROR(_xlfn.XLOOKUP("Total Debt",Inputs!$B:$B,Inputs!M:M)*1000/(+_xlfn.XLOOKUP("Shareholder's Equity",Inputs!$B:$B,Inputs!M:M)+_xlfn.XLOOKUP("Total Debt",Inputs!$B:$B,Inputs!M:M)*1000),"")</f>
        <v>0.99968324341352455</v>
      </c>
      <c r="M41" s="16">
        <f>+IFERROR(_xlfn.XLOOKUP("Total Debt",Inputs!$B:$B,Inputs!N:N)*1000/(+_xlfn.XLOOKUP("Shareholder's Equity",Inputs!$B:$B,Inputs!N:N)+_xlfn.XLOOKUP("Total Debt",Inputs!$B:$B,Inputs!N:N)*1000),"")</f>
        <v>0.99965561374612399</v>
      </c>
      <c r="N41" s="16">
        <f>+IFERROR(_xlfn.XLOOKUP("Total Debt",Inputs!$B:$B,Inputs!O:O)*1000/(+_xlfn.XLOOKUP("Shareholder's Equity",Inputs!$B:$B,Inputs!O:O)+_xlfn.XLOOKUP("Total Debt",Inputs!$B:$B,Inputs!O:O)*1000),"")</f>
        <v>0.99959244950432335</v>
      </c>
      <c r="O41" s="16">
        <f>+IFERROR(_xlfn.XLOOKUP("Total Debt",Inputs!$B:$B,Inputs!P:P)*1000/(+_xlfn.XLOOKUP("Shareholder's Equity",Inputs!$B:$B,Inputs!P:P)+_xlfn.XLOOKUP("Total Debt",Inputs!$B:$B,Inputs!P:P)*1000),"")</f>
        <v>0.99962286690137026</v>
      </c>
      <c r="P41" s="343">
        <f>+IFERROR(_xlfn.XLOOKUP("Total Debt",Inputs!$B:$B,Inputs!Q:Q)*1000/(+_xlfn.XLOOKUP("Shareholder's Equity",Inputs!$B:$B,Inputs!Q:Q)+_xlfn.XLOOKUP("Total Debt",Inputs!$B:$B,Inputs!Q:Q)*1000),"")</f>
        <v>0.99953114670233456</v>
      </c>
      <c r="Q41" s="350">
        <f ca="1">IFERROR((_xlfn.XLOOKUP("Total Borrowings",DCF!$B:$B,DCF!G:G)+_xlfn.XLOOKUP("Total Leases",DCF!$B:$B,DCF!G:G))/(_xlfn.XLOOKUP("Shareholder's Equity",DCF!$6:$6,DCF!10:10)+_xlfn.XLOOKUP("Total Borrowings",DCF!$B:$B,DCF!G:G)+_xlfn.XLOOKUP("Total Leases",DCF!$B:$B,DCF!G:G)),"")</f>
        <v>0.66001444817065169</v>
      </c>
      <c r="R41" s="350">
        <f ca="1">IFERROR((_xlfn.XLOOKUP("Total Borrowings",DCF!$B:$B,DCF!H:H)+_xlfn.XLOOKUP("Total Leases",DCF!$B:$B,DCF!H:H))/(_xlfn.XLOOKUP("Shareholder's Equity",DCF!$6:$6,DCF!10:10)+_xlfn.XLOOKUP("Total Borrowings",DCF!$B:$B,DCF!H:H)+_xlfn.XLOOKUP("Total Leases",DCF!$B:$B,DCF!H:H)),"")</f>
        <v>0.67261235631302818</v>
      </c>
    </row>
    <row r="42" spans="2:18" ht="15.6">
      <c r="B42" s="239" t="s">
        <v>85</v>
      </c>
      <c r="F42" s="16">
        <f>IFERROR(_xlfn.XLOOKUP("Total Liabilities",Inputs!$B:$B,Inputs!G:G)/_xlfn.XLOOKUP("Total Assets",Inputs!$B:$B,Inputs!G:G),"")</f>
        <v>0.89754587625349613</v>
      </c>
      <c r="G42" s="16">
        <f>IFERROR(_xlfn.XLOOKUP("Total Liabilities",Inputs!$B:$B,Inputs!H:H)/_xlfn.XLOOKUP("Total Assets",Inputs!$B:$B,Inputs!H:H),"")</f>
        <v>0.86946015656817055</v>
      </c>
      <c r="H42" s="16">
        <f>IFERROR(_xlfn.XLOOKUP("Total Liabilities",Inputs!$B:$B,Inputs!I:I)/_xlfn.XLOOKUP("Total Assets",Inputs!$B:$B,Inputs!I:I),"")</f>
        <v>0.84343103286824606</v>
      </c>
      <c r="I42" s="16">
        <f>IFERROR(_xlfn.XLOOKUP("Total Liabilities",Inputs!$B:$B,Inputs!J:J)/_xlfn.XLOOKUP("Total Assets",Inputs!$B:$B,Inputs!J:J),"")</f>
        <v>0.85860954888117746</v>
      </c>
      <c r="J42" s="16">
        <f>IFERROR(_xlfn.XLOOKUP("Total Liabilities",Inputs!$B:$B,Inputs!K:K)/_xlfn.XLOOKUP("Total Assets",Inputs!$B:$B,Inputs!K:K),"")</f>
        <v>0.79448379828500104</v>
      </c>
      <c r="K42" s="16">
        <f>IFERROR(_xlfn.XLOOKUP("Total Liabilities",Inputs!$B:$B,Inputs!L:L)/_xlfn.XLOOKUP("Total Assets",Inputs!$B:$B,Inputs!L:L),"")</f>
        <v>0.86376061187478648</v>
      </c>
      <c r="L42" s="16">
        <f>IFERROR(_xlfn.XLOOKUP("Total Liabilities",Inputs!$B:$B,Inputs!M:M)/_xlfn.XLOOKUP("Total Assets",Inputs!$B:$B,Inputs!M:M),"")</f>
        <v>0.86548226604775214</v>
      </c>
      <c r="M42" s="16">
        <f>IFERROR(_xlfn.XLOOKUP("Total Liabilities",Inputs!$B:$B,Inputs!N:N)/_xlfn.XLOOKUP("Total Assets",Inputs!$B:$B,Inputs!N:N),"")</f>
        <v>0.85609308949864393</v>
      </c>
      <c r="N42" s="16">
        <f>IFERROR(_xlfn.XLOOKUP("Total Liabilities",Inputs!$B:$B,Inputs!O:O)/_xlfn.XLOOKUP("Total Assets",Inputs!$B:$B,Inputs!O:O),"")</f>
        <v>0.82693093583980382</v>
      </c>
      <c r="O42" s="16">
        <f>IFERROR(_xlfn.XLOOKUP("Total Liabilities",Inputs!$B:$B,Inputs!P:P)/_xlfn.XLOOKUP("Total Assets",Inputs!$B:$B,Inputs!P:P),"")</f>
        <v>0.83279971014278431</v>
      </c>
      <c r="P42" s="343">
        <f>IFERROR(_xlfn.XLOOKUP("Total Liabilities",Inputs!$B:$B,Inputs!Q:Q)/_xlfn.XLOOKUP("Total Assets",Inputs!$B:$B,Inputs!Q:Q),"")</f>
        <v>0.80031346819755789</v>
      </c>
      <c r="Q42" s="350">
        <f ca="1">IFERROR(+_xlfn.XLOOKUP("Total Liabilities",DCF!$6:$6,DCF!10:10)/_xlfn.XLOOKUP("Total Assets",DCF!$6:$6,DCF!10:10),"")</f>
        <v>0.78986953748425159</v>
      </c>
      <c r="R42" s="350">
        <f ca="1">IFERROR(+_xlfn.XLOOKUP("Total Liabilities",DCF!$6:$6,DCF!10:10)/_xlfn.XLOOKUP("Total Assets",DCF!$6:$6,DCF!10:10),"")</f>
        <v>0.78986953748425159</v>
      </c>
    </row>
    <row r="43" spans="2:18" ht="15.6">
      <c r="B43" s="18" t="s">
        <v>86</v>
      </c>
      <c r="F43" s="16">
        <f>+IFERROR(_xlfn.XLOOKUP("Total Debt",Inputs!$B:$B,Inputs!G:G,,,-1)/_xlfn.XLOOKUP("EBITDA",Inputs!$B:$B,Inputs!G:G),"")</f>
        <v>0</v>
      </c>
      <c r="G43" s="16">
        <f>+IFERROR(_xlfn.XLOOKUP("Total Debt",Inputs!$B:$B,Inputs!H:H,,,-1)/_xlfn.XLOOKUP("EBITDA",Inputs!$B:$B,Inputs!H:H),"")</f>
        <v>3.1621263697641155</v>
      </c>
      <c r="H43" s="16">
        <f>+IFERROR(_xlfn.XLOOKUP("Total Debt",Inputs!$B:$B,Inputs!I:I,,,-1)/_xlfn.XLOOKUP("EBITDA",Inputs!$B:$B,Inputs!I:I),"")</f>
        <v>3.6787882942830388</v>
      </c>
      <c r="I43" s="16">
        <f>+IFERROR(_xlfn.XLOOKUP("Total Debt",Inputs!$B:$B,Inputs!J:J,,,-1)/_xlfn.XLOOKUP("EBITDA",Inputs!$B:$B,Inputs!J:J),"")</f>
        <v>3.746279440692041</v>
      </c>
      <c r="J43" s="16">
        <f>+IFERROR(_xlfn.XLOOKUP("Total Debt",Inputs!$B:$B,Inputs!K:K,,,-1)/_xlfn.XLOOKUP("EBITDA",Inputs!$B:$B,Inputs!K:K),"")</f>
        <v>3.9262924881993331</v>
      </c>
      <c r="K43" s="16">
        <f>+IFERROR(_xlfn.XLOOKUP("Total Debt",Inputs!$B:$B,Inputs!L:L,,,-1)/_xlfn.XLOOKUP("EBITDA",Inputs!$B:$B,Inputs!L:L),"")</f>
        <v>4.3717302100710773</v>
      </c>
      <c r="L43" s="16">
        <f>+IFERROR(_xlfn.XLOOKUP("Total Debt",Inputs!$B:$B,Inputs!M:M,,,-1)/_xlfn.XLOOKUP("EBITDA",Inputs!$B:$B,Inputs!M:M),"")</f>
        <v>6.6298534157354112</v>
      </c>
      <c r="M43" s="16">
        <f>+IFERROR(_xlfn.XLOOKUP("Total Debt",Inputs!$B:$B,Inputs!N:N,,,-1)/_xlfn.XLOOKUP("EBITDA",Inputs!$B:$B,Inputs!N:N),"")</f>
        <v>5.891788772242089</v>
      </c>
      <c r="N43" s="16">
        <f>+IFERROR(_xlfn.XLOOKUP("Total Debt",Inputs!$B:$B,Inputs!O:O,,,-1)/_xlfn.XLOOKUP("EBITDA",Inputs!$B:$B,Inputs!O:O),"")</f>
        <v>6.2758659660099338</v>
      </c>
      <c r="O43" s="16">
        <f>+IFERROR(_xlfn.XLOOKUP("Total Debt",Inputs!$B:$B,Inputs!P:P,,,-1)/_xlfn.XLOOKUP("EBITDA",Inputs!$B:$B,Inputs!P:P),"")</f>
        <v>6.144381143406461</v>
      </c>
      <c r="P43" s="343">
        <f>+IFERROR(_xlfn.XLOOKUP("Total Debt",Inputs!$B:$B,Inputs!Q:Q,,,-1)/_xlfn.XLOOKUP("EBITDA",Inputs!$B:$B,Inputs!Q:Q),"")</f>
        <v>6.2623534709193587</v>
      </c>
      <c r="Q43" s="350">
        <f ca="1">IFERROR((_xlfn.XLOOKUP("Total Borrowings",DCF!$B:$B,DCF!G:G)+_xlfn.XLOOKUP("Total Leases",DCF!$B:$B,DCF!G:G))/_xlfn.XLOOKUP("EBITDA",DCF!$B:$B,DCF!H:H),"")</f>
        <v>4.3165375251378402</v>
      </c>
      <c r="R43" s="350">
        <f ca="1">IFERROR((_xlfn.XLOOKUP("Total Borrowings",DCF!$B:$B,DCF!H:H)+_xlfn.XLOOKUP("Total Leases",DCF!$B:$B,DCF!H:H))/_xlfn.XLOOKUP("EBITDA",DCF!$B:$B,DCF!I:I),"")</f>
        <v>4.3821469256172767</v>
      </c>
    </row>
    <row r="44" spans="2:18" ht="15.6">
      <c r="B44" s="18" t="s">
        <v>88</v>
      </c>
      <c r="F44" s="16">
        <f>IFERROR(_xlfn.XLOOKUP("Total Debt",Inputs!$B:$B,Inputs!G:G,,,-1)/(_xlfn.XLOOKUP("EBITDA",Inputs!$B:$B,Inputs!G:G)+_xlfn.XLOOKUP("Net Capex",Inputs!$B:$B,Inputs!G:G)),"")</f>
        <v>0</v>
      </c>
      <c r="G44" s="16">
        <f>IFERROR(_xlfn.XLOOKUP("Total Debt",Inputs!$B:$B,Inputs!H:H,,,-1)/(_xlfn.XLOOKUP("EBITDA",Inputs!$B:$B,Inputs!H:H)+_xlfn.XLOOKUP("Net Capex",Inputs!$B:$B,Inputs!H:H)),"")</f>
        <v>3.7833240141212046</v>
      </c>
      <c r="H44" s="16">
        <f>IFERROR(_xlfn.XLOOKUP("Total Debt",Inputs!$B:$B,Inputs!I:I,,,-1)/(_xlfn.XLOOKUP("EBITDA",Inputs!$B:$B,Inputs!I:I)+_xlfn.XLOOKUP("Net Capex",Inputs!$B:$B,Inputs!I:I)),"")</f>
        <v>4.4849258951288586</v>
      </c>
      <c r="I44" s="16">
        <f>IFERROR(_xlfn.XLOOKUP("Total Debt",Inputs!$B:$B,Inputs!J:J,,,-1)/(_xlfn.XLOOKUP("EBITDA",Inputs!$B:$B,Inputs!J:J)+_xlfn.XLOOKUP("Net Capex",Inputs!$B:$B,Inputs!J:J)),"")</f>
        <v>4.4419703917534221</v>
      </c>
      <c r="J44" s="16">
        <f>IFERROR(_xlfn.XLOOKUP("Total Debt",Inputs!$B:$B,Inputs!K:K,,,-1)/(_xlfn.XLOOKUP("EBITDA",Inputs!$B:$B,Inputs!K:K)+_xlfn.XLOOKUP("Net Capex",Inputs!$B:$B,Inputs!K:K)),"")</f>
        <v>4.7755050284304881</v>
      </c>
      <c r="K44" s="16">
        <f>IFERROR(_xlfn.XLOOKUP("Total Debt",Inputs!$B:$B,Inputs!L:L,,,-1)/(_xlfn.XLOOKUP("EBITDA",Inputs!$B:$B,Inputs!L:L)+_xlfn.XLOOKUP("Net Capex",Inputs!$B:$B,Inputs!L:L)),"")</f>
        <v>4.8868310007888294</v>
      </c>
      <c r="L44" s="16">
        <f>IFERROR(_xlfn.XLOOKUP("Total Debt",Inputs!$B:$B,Inputs!M:M,,,-1)/(_xlfn.XLOOKUP("EBITDA",Inputs!$B:$B,Inputs!M:M)+_xlfn.XLOOKUP("Net Capex",Inputs!$B:$B,Inputs!M:M)),"")</f>
        <v>8.4345519483036924</v>
      </c>
      <c r="M44" s="16">
        <f>IFERROR(_xlfn.XLOOKUP("Total Debt",Inputs!$B:$B,Inputs!N:N,,,-1)/(_xlfn.XLOOKUP("EBITDA",Inputs!$B:$B,Inputs!N:N)+_xlfn.XLOOKUP("Net Capex",Inputs!$B:$B,Inputs!N:N)),"")</f>
        <v>6.7421029367695313</v>
      </c>
      <c r="N44" s="16">
        <f>IFERROR(_xlfn.XLOOKUP("Total Debt",Inputs!$B:$B,Inputs!O:O,,,-1)/(_xlfn.XLOOKUP("EBITDA",Inputs!$B:$B,Inputs!O:O)+_xlfn.XLOOKUP("Net Capex",Inputs!$B:$B,Inputs!O:O)),"")</f>
        <v>6.9359489559624352</v>
      </c>
      <c r="O44" s="16">
        <f>IFERROR(_xlfn.XLOOKUP("Total Debt",Inputs!$B:$B,Inputs!P:P,,,-1)/(_xlfn.XLOOKUP("EBITDA",Inputs!$B:$B,Inputs!P:P)+_xlfn.XLOOKUP("Net Capex",Inputs!$B:$B,Inputs!P:P)),"")</f>
        <v>6.5860653021514093</v>
      </c>
      <c r="P44" s="343">
        <f>IFERROR(_xlfn.XLOOKUP("Total Debt",Inputs!$B:$B,Inputs!Q:Q,,,-1)/(_xlfn.XLOOKUP("EBITDA",Inputs!$B:$B,Inputs!Q:Q)+_xlfn.XLOOKUP("Net Capex",Inputs!$B:$B,Inputs!Q:Q)),"")</f>
        <v>6.4891599586542119</v>
      </c>
      <c r="Q44" s="350">
        <f ca="1">IFERROR((_xlfn.XLOOKUP("Total Borrowings",DCF!$B:$B,DCF!G:G)+_xlfn.XLOOKUP("Total Leases",DCF!$B:$B,DCF!G:G))/(_xlfn.XLOOKUP("EBITDA",DCF!$B:$B,DCF!H:H)+_xlfn.XLOOKUP("Net Capex",DCF!$B:$B,DCF!H:H)),"")</f>
        <v>4.6383897018463509</v>
      </c>
      <c r="R44" s="350">
        <f ca="1">IFERROR((_xlfn.XLOOKUP("Total Borrowings",DCF!$B:$B,DCF!H:H)+_xlfn.XLOOKUP("Total Leases",DCF!$B:$B,DCF!H:H))/(_xlfn.XLOOKUP("EBITDA",DCF!$B:$B,DCF!I:I)+_xlfn.XLOOKUP("Net Capex",DCF!$B:$B,DCF!I:I)),"")</f>
        <v>4.6352666298510155</v>
      </c>
    </row>
    <row r="45" spans="2:18" ht="15.6">
      <c r="B45" s="18" t="s">
        <v>90</v>
      </c>
      <c r="F45" s="16">
        <f>+IFERROR(_xlfn.XLOOKUP("Net Debt",Inputs!$B:$B,Inputs!G:G,,,-1)/_xlfn.XLOOKUP("EBITDA",Inputs!$B:$B,Inputs!G:G),"")</f>
        <v>1.4005385684503127</v>
      </c>
      <c r="G45" s="16">
        <f>+IFERROR(_xlfn.XLOOKUP("Net Debt",Inputs!$B:$B,Inputs!H:H,,,-1)/_xlfn.XLOOKUP("EBITDA",Inputs!$B:$B,Inputs!H:H),"")</f>
        <v>1.6217253376995497</v>
      </c>
      <c r="H45" s="16">
        <f>+IFERROR(_xlfn.XLOOKUP("Net Debt",Inputs!$B:$B,Inputs!I:I,,,-1)/_xlfn.XLOOKUP("EBITDA",Inputs!$B:$B,Inputs!I:I),"")</f>
        <v>1.9238819627130275</v>
      </c>
      <c r="I45" s="16">
        <f>+IFERROR(_xlfn.XLOOKUP("Net Debt",Inputs!$B:$B,Inputs!J:J,,,-1)/_xlfn.XLOOKUP("EBITDA",Inputs!$B:$B,Inputs!J:J),"")</f>
        <v>1.9368778280542986</v>
      </c>
      <c r="J45" s="16">
        <f>+IFERROR(_xlfn.XLOOKUP("Net Debt",Inputs!$B:$B,Inputs!K:K,,,-1)/_xlfn.XLOOKUP("EBITDA",Inputs!$B:$B,Inputs!K:K),"")</f>
        <v>1.9107758377126067</v>
      </c>
      <c r="K45" s="16">
        <f>+IFERROR(_xlfn.XLOOKUP("Net Debt",Inputs!$B:$B,Inputs!L:L,,,-1)/_xlfn.XLOOKUP("EBITDA",Inputs!$B:$B,Inputs!L:L),"")</f>
        <v>3.6218887482673416</v>
      </c>
      <c r="L45" s="16">
        <f>+IFERROR(_xlfn.XLOOKUP("Net Debt",Inputs!$B:$B,Inputs!M:M,,,-1)/_xlfn.XLOOKUP("EBITDA",Inputs!$B:$B,Inputs!M:M),"")</f>
        <v>4.626309764902703</v>
      </c>
      <c r="M45" s="16">
        <f>+IFERROR(_xlfn.XLOOKUP("Net Debt",Inputs!$B:$B,Inputs!N:N,,,-1)/_xlfn.XLOOKUP("EBITDA",Inputs!$B:$B,Inputs!N:N),"")</f>
        <v>3.6279647616896318</v>
      </c>
      <c r="N45" s="16">
        <f>+IFERROR(_xlfn.XLOOKUP("Net Debt",Inputs!$B:$B,Inputs!O:O,,,-1)/_xlfn.XLOOKUP("EBITDA",Inputs!$B:$B,Inputs!O:O),"")</f>
        <v>3.5465824150419976</v>
      </c>
      <c r="O45" s="16">
        <f>+IFERROR(_xlfn.XLOOKUP("Net Debt",Inputs!$B:$B,Inputs!P:P,,,-1)/_xlfn.XLOOKUP("EBITDA",Inputs!$B:$B,Inputs!P:P),"")</f>
        <v>3.374510088546959</v>
      </c>
      <c r="P45" s="343">
        <f>+IFERROR(_xlfn.XLOOKUP("Net Debt",Inputs!$B:$B,Inputs!Q:Q,,,-1)/_xlfn.XLOOKUP("EBITDA",Inputs!$B:$B,Inputs!Q:Q),"")</f>
        <v>3.118237471526196</v>
      </c>
      <c r="Q45" s="350">
        <f ca="1">IFERROR((_xlfn.XLOOKUP("Total Borrowings",DCF!$B:$B,DCF!G:G)+_xlfn.XLOOKUP("Total Leases",DCF!$B:$B,DCF!G:G)-_xlfn.XLOOKUP("Cash &amp; Cash Equivalents &amp; ST Investments",DCF!$B:$B,DCF!G:G))/_xlfn.XLOOKUP("EBITDA",DCF!$B:$B,DCF!H:H),"")</f>
        <v>3.2379944908668929</v>
      </c>
      <c r="R45" s="350">
        <f ca="1">IFERROR((_xlfn.XLOOKUP("Total Borrowings",DCF!$B:$B,DCF!H:H)+_xlfn.XLOOKUP("Total Leases",DCF!$B:$B,DCF!H:H)-_xlfn.XLOOKUP("Cash &amp; Cash Equivalents &amp; ST Investments",DCF!$B:$B,DCF!H:H))/_xlfn.XLOOKUP("EBITDA",DCF!$B:$B,DCF!I:I),"")</f>
        <v>3.0855985191250195</v>
      </c>
    </row>
    <row r="46" spans="2:18" ht="8.1" customHeight="1">
      <c r="B46" s="239"/>
      <c r="N46" s="241"/>
      <c r="O46" s="241"/>
      <c r="P46" s="346"/>
      <c r="Q46" s="351"/>
      <c r="R46" s="351"/>
    </row>
    <row r="47" spans="2:18" ht="15.6">
      <c r="B47" s="7" t="s">
        <v>734</v>
      </c>
      <c r="C47" s="49"/>
      <c r="D47" s="51"/>
      <c r="E47" s="51"/>
      <c r="F47" s="363">
        <v>2014</v>
      </c>
      <c r="G47" s="363">
        <f t="shared" ref="G47" si="39">+F47+1</f>
        <v>2015</v>
      </c>
      <c r="H47" s="363">
        <f t="shared" ref="H47" si="40">+G47+1</f>
        <v>2016</v>
      </c>
      <c r="I47" s="363">
        <f t="shared" ref="I47" si="41">+H47+1</f>
        <v>2017</v>
      </c>
      <c r="J47" s="363">
        <f t="shared" ref="J47" si="42">+I47+1</f>
        <v>2018</v>
      </c>
      <c r="K47" s="363">
        <f t="shared" ref="K47" si="43">+J47+1</f>
        <v>2019</v>
      </c>
      <c r="L47" s="363">
        <f t="shared" ref="L47" si="44">+K47+1</f>
        <v>2020</v>
      </c>
      <c r="M47" s="363">
        <f t="shared" ref="M47" si="45">+L47+1</f>
        <v>2021</v>
      </c>
      <c r="N47" s="363">
        <v>2022</v>
      </c>
      <c r="O47" s="363">
        <f t="shared" ref="O47" si="46">+N47+1</f>
        <v>2023</v>
      </c>
      <c r="P47" s="364">
        <f>+O47+1</f>
        <v>2024</v>
      </c>
      <c r="Q47" s="362">
        <f>+P47+1</f>
        <v>2025</v>
      </c>
      <c r="R47" s="362">
        <f>+Q47+1</f>
        <v>2026</v>
      </c>
    </row>
    <row r="48" spans="2:18" ht="3.95" customHeight="1">
      <c r="B48" s="238"/>
      <c r="C48" s="46"/>
      <c r="D48" s="53"/>
      <c r="E48" s="53"/>
      <c r="F48" s="53"/>
      <c r="G48" s="53"/>
      <c r="H48" s="53"/>
      <c r="I48" s="53"/>
      <c r="J48" s="53"/>
      <c r="K48" s="53"/>
      <c r="L48" s="53"/>
      <c r="M48" s="53"/>
      <c r="N48" s="212"/>
      <c r="O48" s="212"/>
      <c r="P48" s="345"/>
      <c r="Q48" s="212"/>
      <c r="R48" s="212"/>
    </row>
    <row r="49" spans="2:18" ht="15.6">
      <c r="B49" s="239" t="s">
        <v>92</v>
      </c>
      <c r="F49" s="16">
        <f>IFERROR(_xlfn.XLOOKUP("Operating Income (EBIT)",Inputs!$B:$B,Inputs!G:G)/_xlfn.XLOOKUP("Interest Expense",Inputs!$B:$B,Inputs!G:G),"N/A")</f>
        <v>38.289256198347104</v>
      </c>
      <c r="G49" s="16">
        <f>IFERROR(_xlfn.XLOOKUP("Operating Income (EBIT)",Inputs!$B:$B,Inputs!H:H)/_xlfn.XLOOKUP("Interest Expense",Inputs!$B:$B,Inputs!H:H),"N/A")</f>
        <v>33.523504273504273</v>
      </c>
      <c r="H49" s="16">
        <f>IFERROR(_xlfn.XLOOKUP("Operating Income (EBIT)",Inputs!$B:$B,Inputs!I:I)/_xlfn.XLOOKUP("Interest Expense",Inputs!$B:$B,Inputs!I:I),"N/A")</f>
        <v>20.801587301587301</v>
      </c>
      <c r="I49" s="16">
        <f>IFERROR(_xlfn.XLOOKUP("Operating Income (EBIT)",Inputs!$B:$B,Inputs!J:J)/_xlfn.XLOOKUP("Interest Expense",Inputs!$B:$B,Inputs!J:J),"N/A")</f>
        <v>21.364227642276422</v>
      </c>
      <c r="J49" s="16">
        <f>IFERROR(_xlfn.XLOOKUP("Operating Income (EBIT)",Inputs!$B:$B,Inputs!K:K)/_xlfn.XLOOKUP("Interest Expense",Inputs!$B:$B,Inputs!K:K),"N/A")</f>
        <v>18.280774550484093</v>
      </c>
      <c r="K49" s="16">
        <f>IFERROR(_xlfn.XLOOKUP("Operating Income (EBIT)",Inputs!$B:$B,Inputs!L:L)/_xlfn.XLOOKUP("Interest Expense",Inputs!$B:$B,Inputs!L:L),"N/A")</f>
        <v>7.8377976190476186</v>
      </c>
      <c r="L49" s="16">
        <f>IFERROR(_xlfn.XLOOKUP("Operating Income (EBIT)",Inputs!$B:$B,Inputs!M:M)/_xlfn.XLOOKUP("Interest Expense",Inputs!$B:$B,Inputs!M:M),"N/A")</f>
        <v>3.6195652173913042</v>
      </c>
      <c r="M49" s="16">
        <f>IFERROR(_xlfn.XLOOKUP("Operating Income (EBIT)",Inputs!$B:$B,Inputs!N:N)/_xlfn.XLOOKUP("Interest Expense",Inputs!$B:$B,Inputs!N:N),"N/A")</f>
        <v>5.9428571428571431</v>
      </c>
      <c r="N49" s="16">
        <f>IFERROR(_xlfn.XLOOKUP("Operating Income (EBIT)",Inputs!$B:$B,Inputs!O:O)/_xlfn.XLOOKUP("Interest Expense",Inputs!$B:$B,Inputs!O:O),"N/A")</f>
        <v>6.7228618421052628</v>
      </c>
      <c r="O49" s="16">
        <f>IFERROR(_xlfn.XLOOKUP("Operating Income (EBIT)",Inputs!$B:$B,Inputs!P:P)/_xlfn.XLOOKUP("Interest Expense",Inputs!$B:$B,Inputs!P:P),"N/A")</f>
        <v>5.8382078406969509</v>
      </c>
      <c r="P49" s="343">
        <f>IFERROR(_xlfn.XLOOKUP("Operating Income (EBIT)",Inputs!$B:$B,Inputs!Q:Q)/_xlfn.XLOOKUP("Interest Expense",Inputs!$B:$B,Inputs!Q:Q),"N/A")</f>
        <v>5.4795560747663554</v>
      </c>
      <c r="Q49" s="350" t="str">
        <f ca="1">IFERROR(_xlfn.XLOOKUP("EBIT",DCF!$B:$B,DCF!H:H)/_xlfn.XLOOKUP("Interest Expense",DCF!$B:$B,DCF!H:H),"N/A")</f>
        <v>N/A</v>
      </c>
      <c r="R49" s="350">
        <f ca="1">IFERROR(_xlfn.XLOOKUP("EBIT",DCF!$B:$B,DCF!I:I)/_xlfn.XLOOKUP("Interest Expense",DCF!$B:$B,DCF!I:I),"N/A")</f>
        <v>0</v>
      </c>
    </row>
    <row r="50" spans="2:18" ht="15.6">
      <c r="B50" s="18" t="s">
        <v>93</v>
      </c>
      <c r="F50" s="16">
        <f>IFERROR(_xlfn.XLOOKUP("EBITDA",Inputs!$B:$B,Inputs!G:G)/_xlfn.XLOOKUP("Interest Expense",Inputs!$B:$B,Inputs!G:G),"N/A")</f>
        <v>47.570247933884296</v>
      </c>
      <c r="G50" s="16">
        <f>IFERROR(_xlfn.XLOOKUP("EBITDA",Inputs!$B:$B,Inputs!H:H)/_xlfn.XLOOKUP("Interest Expense",Inputs!$B:$B,Inputs!H:H),"N/A")</f>
        <v>41.760683760683762</v>
      </c>
      <c r="H50" s="16">
        <f>IFERROR(_xlfn.XLOOKUP("EBITDA",Inputs!$B:$B,Inputs!I:I)/_xlfn.XLOOKUP("Interest Expense",Inputs!$B:$B,Inputs!I:I),"N/A")</f>
        <v>27.755555555555556</v>
      </c>
      <c r="I50" s="16">
        <f>IFERROR(_xlfn.XLOOKUP("EBITDA",Inputs!$B:$B,Inputs!J:J)/_xlfn.XLOOKUP("Interest Expense",Inputs!$B:$B,Inputs!J:J),"N/A")</f>
        <v>28.747967479674795</v>
      </c>
      <c r="J50" s="16">
        <f>IFERROR(_xlfn.XLOOKUP("EBITDA",Inputs!$B:$B,Inputs!K:K)/_xlfn.XLOOKUP("Interest Expense",Inputs!$B:$B,Inputs!K:K),"N/A")</f>
        <v>24.477178423236513</v>
      </c>
      <c r="K50" s="16">
        <f>IFERROR(_xlfn.XLOOKUP("EBITDA",Inputs!$B:$B,Inputs!L:L)/_xlfn.XLOOKUP("Interest Expense",Inputs!$B:$B,Inputs!L:L),"N/A")</f>
        <v>12.345982142857142</v>
      </c>
      <c r="L50" s="16">
        <f>IFERROR(_xlfn.XLOOKUP("EBITDA",Inputs!$B:$B,Inputs!M:M)/_xlfn.XLOOKUP("Interest Expense",Inputs!$B:$B,Inputs!M:M),"N/A")</f>
        <v>8.8175465838509322</v>
      </c>
      <c r="M50" s="16">
        <f>IFERROR(_xlfn.XLOOKUP("EBITDA",Inputs!$B:$B,Inputs!N:N)/_xlfn.XLOOKUP("Interest Expense",Inputs!$B:$B,Inputs!N:N),"N/A")</f>
        <v>11.498701298701299</v>
      </c>
      <c r="N50" s="16">
        <f>IFERROR(_xlfn.XLOOKUP("EBITDA",Inputs!$B:$B,Inputs!O:O)/_xlfn.XLOOKUP("Interest Expense",Inputs!$B:$B,Inputs!O:O),"N/A")</f>
        <v>10.671875</v>
      </c>
      <c r="O50" s="16">
        <f>IFERROR(_xlfn.XLOOKUP("EBITDA",Inputs!$B:$B,Inputs!P:P)/_xlfn.XLOOKUP("Interest Expense",Inputs!$B:$B,Inputs!P:P),"N/A")</f>
        <v>8.5737398879900439</v>
      </c>
      <c r="P50" s="343">
        <f>IFERROR(_xlfn.XLOOKUP("EBITDA",Inputs!$B:$B,Inputs!Q:Q)/_xlfn.XLOOKUP("Interest Expense",Inputs!$B:$B,Inputs!Q:Q),"N/A")</f>
        <v>8.2056074766355138</v>
      </c>
      <c r="Q50" s="350">
        <f ca="1">IFERROR(_xlfn.XLOOKUP("EBITDA",DCF!$B:$B,DCF!H:H)/_xlfn.XLOOKUP("Interest Expense",DCF!$B:$B,DCF!H:H),"N/A")</f>
        <v>7.8788488690072045</v>
      </c>
      <c r="R50" s="350">
        <f ca="1">IFERROR(_xlfn.XLOOKUP("EBITDA",DCF!$B:$B,DCF!I:I)/_xlfn.XLOOKUP("Interest Expense",DCF!$B:$B,DCF!I:I),"N/A")</f>
        <v>7.7774447521611547</v>
      </c>
    </row>
    <row r="51" spans="2:18" ht="15.6">
      <c r="B51" s="18" t="s">
        <v>94</v>
      </c>
      <c r="F51" s="16">
        <f>IFERROR((_xlfn.XLOOKUP("EBITDA",Inputs!$B:$B,Inputs!G:G)-_xlfn.XLOOKUP("Net Capex",Inputs!$B:$B,Inputs!G:G))/_xlfn.XLOOKUP("Interest Expense",Inputs!$B:$B,Inputs!G:G),"N/A")</f>
        <v>54.462809917355372</v>
      </c>
      <c r="G51" s="16">
        <f>IFERROR((_xlfn.XLOOKUP("EBITDA",Inputs!$B:$B,Inputs!H:H)-_xlfn.XLOOKUP("Net Capex",Inputs!$B:$B,Inputs!H:H))/_xlfn.XLOOKUP("Interest Expense",Inputs!$B:$B,Inputs!H:H),"N/A")</f>
        <v>48.61752136752137</v>
      </c>
      <c r="H51" s="16">
        <f>IFERROR((_xlfn.XLOOKUP("EBITDA",Inputs!$B:$B,Inputs!I:I)-_xlfn.XLOOKUP("Net Capex",Inputs!$B:$B,Inputs!I:I))/_xlfn.XLOOKUP("Interest Expense",Inputs!$B:$B,Inputs!I:I),"N/A")</f>
        <v>32.744444444444447</v>
      </c>
      <c r="I51" s="16">
        <f>IFERROR((_xlfn.XLOOKUP("EBITDA",Inputs!$B:$B,Inputs!J:J)-_xlfn.XLOOKUP("Net Capex",Inputs!$B:$B,Inputs!J:J))/_xlfn.XLOOKUP("Interest Expense",Inputs!$B:$B,Inputs!J:J),"N/A")</f>
        <v>33.25040650406504</v>
      </c>
      <c r="J51" s="16">
        <f>IFERROR((_xlfn.XLOOKUP("EBITDA",Inputs!$B:$B,Inputs!K:K)-_xlfn.XLOOKUP("Net Capex",Inputs!$B:$B,Inputs!K:K))/_xlfn.XLOOKUP("Interest Expense",Inputs!$B:$B,Inputs!K:K),"N/A")</f>
        <v>28.8298755186722</v>
      </c>
      <c r="K51" s="16">
        <f>IFERROR((_xlfn.XLOOKUP("EBITDA",Inputs!$B:$B,Inputs!L:L)-_xlfn.XLOOKUP("Net Capex",Inputs!$B:$B,Inputs!L:L))/_xlfn.XLOOKUP("Interest Expense",Inputs!$B:$B,Inputs!L:L),"N/A")</f>
        <v>13.647321428571429</v>
      </c>
      <c r="L51" s="16">
        <f>IFERROR((_xlfn.XLOOKUP("EBITDA",Inputs!$B:$B,Inputs!M:M)-_xlfn.XLOOKUP("Net Capex",Inputs!$B:$B,Inputs!M:M))/_xlfn.XLOOKUP("Interest Expense",Inputs!$B:$B,Inputs!M:M),"N/A")</f>
        <v>10.704192546583851</v>
      </c>
      <c r="M51" s="16">
        <f>IFERROR((_xlfn.XLOOKUP("EBITDA",Inputs!$B:$B,Inputs!N:N)-_xlfn.XLOOKUP("Net Capex",Inputs!$B:$B,Inputs!N:N))/_xlfn.XLOOKUP("Interest Expense",Inputs!$B:$B,Inputs!N:N),"N/A")</f>
        <v>12.948917748917749</v>
      </c>
      <c r="N51" s="16">
        <f>IFERROR((_xlfn.XLOOKUP("EBITDA",Inputs!$B:$B,Inputs!O:O)-_xlfn.XLOOKUP("Net Capex",Inputs!$B:$B,Inputs!O:O))/_xlfn.XLOOKUP("Interest Expense",Inputs!$B:$B,Inputs!O:O),"N/A")</f>
        <v>11.6875</v>
      </c>
      <c r="O51" s="16">
        <f>IFERROR((_xlfn.XLOOKUP("EBITDA",Inputs!$B:$B,Inputs!P:P)-_xlfn.XLOOKUP("Net Capex",Inputs!$B:$B,Inputs!P:P))/_xlfn.XLOOKUP("Interest Expense",Inputs!$B:$B,Inputs!P:P),"N/A")</f>
        <v>9.1487243310516497</v>
      </c>
      <c r="P51" s="343">
        <f>IFERROR((_xlfn.XLOOKUP("EBITDA",Inputs!$B:$B,Inputs!Q:Q)-_xlfn.XLOOKUP("Net Capex",Inputs!$B:$B,Inputs!Q:Q))/_xlfn.XLOOKUP("Interest Expense",Inputs!$B:$B,Inputs!Q:Q),"N/A")</f>
        <v>8.4924065420560755</v>
      </c>
      <c r="Q51" s="350">
        <f ca="1">IFERROR((_xlfn.XLOOKUP("EBITDA",DCF!$B:$B,DCF!H:H)-_xlfn.XLOOKUP("Net Capex",DCF!$B:$B,DCF!H:H))/_xlfn.XLOOKUP("Interest Expense",DCF!$B:$B,DCF!H:H),"N/A")</f>
        <v>8.4255525358935692</v>
      </c>
      <c r="R51" s="350">
        <f ca="1">IFERROR((_xlfn.XLOOKUP("EBITDA",DCF!$B:$B,DCF!I:I)-_xlfn.XLOOKUP("Net Capex",DCF!$B:$B,DCF!I:I))/_xlfn.XLOOKUP("Interest Expense",DCF!$B:$B,DCF!I:I),"N/A")</f>
        <v>8.2021505291025232</v>
      </c>
    </row>
    <row r="52" spans="2:18">
      <c r="P52" s="344"/>
      <c r="Q52" s="355"/>
      <c r="R52" s="355"/>
    </row>
    <row r="53" spans="2:18" ht="15.6">
      <c r="B53" s="7" t="s">
        <v>65</v>
      </c>
      <c r="C53" s="49"/>
      <c r="D53" s="51"/>
      <c r="E53" s="51"/>
      <c r="F53" s="363">
        <v>2014</v>
      </c>
      <c r="G53" s="363">
        <f t="shared" ref="G53" si="47">+F53+1</f>
        <v>2015</v>
      </c>
      <c r="H53" s="363">
        <f t="shared" ref="H53" si="48">+G53+1</f>
        <v>2016</v>
      </c>
      <c r="I53" s="363">
        <f t="shared" ref="I53" si="49">+H53+1</f>
        <v>2017</v>
      </c>
      <c r="J53" s="363">
        <f t="shared" ref="J53" si="50">+I53+1</f>
        <v>2018</v>
      </c>
      <c r="K53" s="363">
        <f t="shared" ref="K53" si="51">+J53+1</f>
        <v>2019</v>
      </c>
      <c r="L53" s="363">
        <f t="shared" ref="L53" si="52">+K53+1</f>
        <v>2020</v>
      </c>
      <c r="M53" s="363">
        <f t="shared" ref="M53" si="53">+L53+1</f>
        <v>2021</v>
      </c>
      <c r="N53" s="363">
        <v>2022</v>
      </c>
      <c r="O53" s="363">
        <f t="shared" ref="O53" si="54">+N53+1</f>
        <v>2023</v>
      </c>
      <c r="P53" s="364">
        <f>+O53+1</f>
        <v>2024</v>
      </c>
      <c r="Q53" s="362">
        <f>+P53+1</f>
        <v>2025</v>
      </c>
      <c r="R53" s="362">
        <f>+Q53+1</f>
        <v>2026</v>
      </c>
    </row>
    <row r="54" spans="2:18" ht="3.75" customHeight="1">
      <c r="B54" s="238"/>
      <c r="C54" s="46"/>
      <c r="D54" s="53"/>
      <c r="E54" s="53"/>
      <c r="F54" s="53"/>
      <c r="G54" s="53"/>
      <c r="H54" s="53"/>
      <c r="I54" s="53"/>
      <c r="J54" s="53"/>
      <c r="K54" s="53"/>
      <c r="L54" s="53"/>
      <c r="M54" s="53"/>
      <c r="N54" s="212"/>
      <c r="O54" s="212"/>
      <c r="P54" s="345"/>
      <c r="Q54" s="212"/>
      <c r="R54" s="212"/>
    </row>
    <row r="55" spans="2:18" ht="15.6">
      <c r="B55" s="18" t="s">
        <v>241</v>
      </c>
      <c r="F55" s="359">
        <f>+IFERROR(_xlfn.XLOOKUP("Operating Cash Flow",Inputs!$B:$B,Inputs!G:G,,,-1)/_xlfn.XLOOKUP("Revenue (Sales)",Inputs!$B:$B,Inputs!G:G),"")</f>
        <v>0.18178095330466737</v>
      </c>
      <c r="G55" s="359">
        <f>+IFERROR(_xlfn.XLOOKUP("Operating Cash Flow",Inputs!$B:$B,Inputs!H:H,,,-1)/_xlfn.XLOOKUP("Revenue (Sales)",Inputs!$B:$B,Inputs!H:H),"")</f>
        <v>0.20807183665479992</v>
      </c>
      <c r="H55" s="359">
        <f>+IFERROR(_xlfn.XLOOKUP("Operating Cash Flow",Inputs!$B:$B,Inputs!I:I,,,-1)/_xlfn.XLOOKUP("Revenue (Sales)",Inputs!$B:$B,Inputs!I:I),"")</f>
        <v>0.21376643851900048</v>
      </c>
      <c r="I55" s="359">
        <f>+IFERROR(_xlfn.XLOOKUP("Operating Cash Flow",Inputs!$B:$B,Inputs!J:J,,,-1)/_xlfn.XLOOKUP("Revenue (Sales)",Inputs!$B:$B,Inputs!J:J),"")</f>
        <v>0.21132437862495104</v>
      </c>
      <c r="J55" s="359">
        <f>+IFERROR(_xlfn.XLOOKUP("Operating Cash Flow",Inputs!$B:$B,Inputs!K:K,,,-1)/_xlfn.XLOOKUP("Revenue (Sales)",Inputs!$B:$B,Inputs!K:K),"")</f>
        <v>0.19156688570315739</v>
      </c>
      <c r="K55" s="359">
        <f>+IFERROR(_xlfn.XLOOKUP("Operating Cash Flow",Inputs!$B:$B,Inputs!L:L,,,-1)/_xlfn.XLOOKUP("Revenue (Sales)",Inputs!$B:$B,Inputs!L:L),"")</f>
        <v>0.19145268124489612</v>
      </c>
      <c r="L55" s="359">
        <f>+IFERROR(_xlfn.XLOOKUP("Operating Cash Flow",Inputs!$B:$B,Inputs!M:M,,,-1)/_xlfn.XLOOKUP("Revenue (Sales)",Inputs!$B:$B,Inputs!M:M),"")</f>
        <v>0.32978125736240238</v>
      </c>
      <c r="M55" s="359">
        <f>+IFERROR(_xlfn.XLOOKUP("Operating Cash Flow",Inputs!$B:$B,Inputs!N:N,,,-1)/_xlfn.XLOOKUP("Revenue (Sales)",Inputs!$B:$B,Inputs!N:N),"")</f>
        <v>0.22312118570183087</v>
      </c>
      <c r="N55" s="359">
        <f>+IFERROR(_xlfn.XLOOKUP("Operating Cash Flow",Inputs!$B:$B,Inputs!O:O,,,-1)/_xlfn.XLOOKUP("Revenue (Sales)",Inputs!$B:$B,Inputs!O:O),"")</f>
        <v>0.17239385428713036</v>
      </c>
      <c r="O55" s="359">
        <f>+IFERROR(_xlfn.XLOOKUP("Operating Cash Flow",Inputs!$B:$B,Inputs!P:P,,,-1)/_xlfn.XLOOKUP("Revenue (Sales)",Inputs!$B:$B,Inputs!P:P),"")</f>
        <v>0.22520206918849014</v>
      </c>
      <c r="P55" s="360">
        <f>+IFERROR(_xlfn.XLOOKUP("Operating Cash Flow",Inputs!$B:$B,Inputs!Q:Q,,,-1)/_xlfn.XLOOKUP("Revenue (Sales)",Inputs!$B:$B,Inputs!Q:Q),"")</f>
        <v>0.21425270504995778</v>
      </c>
      <c r="Q55" s="361">
        <f ca="1">IFERROR(_xlfn.XLOOKUP("Operating Cash Flow",DCF!$B:$B,DCF!H:H)/_xlfn.XLOOKUP("Revenue (Sales)",DCF!$B:$B,DCF!H:H),"")</f>
        <v>0.19169838639561101</v>
      </c>
      <c r="R55" s="361">
        <f ca="1">IFERROR(_xlfn.XLOOKUP("Operating Cash Flow",DCF!$B:$B,DCF!I:I)/_xlfn.XLOOKUP("Revenue (Sales)",DCF!$B:$B,DCF!I:I),"")</f>
        <v>0.21721544096604689</v>
      </c>
    </row>
    <row r="56" spans="2:18" ht="15.6">
      <c r="B56" s="18" t="s">
        <v>242</v>
      </c>
      <c r="F56" s="359">
        <f>IFERROR(_xlfn.XLOOKUP("Net Changes in Cash",Inputs!$B:$B,Inputs!G:G,,,-1)/_xlfn.XLOOKUP("Net Income",Inputs!$B:$B,Inputs!G:G),"")</f>
        <v>-0.14220416455053325</v>
      </c>
      <c r="G56" s="359">
        <f>IFERROR(_xlfn.XLOOKUP("Net Changes in Cash",Inputs!$B:$B,Inputs!H:H,,,-1)/_xlfn.XLOOKUP("Net Income",Inputs!$B:$B,Inputs!H:H),"")</f>
        <v>-5.9114037713259501E-2</v>
      </c>
      <c r="H56" s="359">
        <f>IFERROR(_xlfn.XLOOKUP("Net Changes in Cash",Inputs!$B:$B,Inputs!I:I,,,-1)/_xlfn.XLOOKUP("Net Income",Inputs!$B:$B,Inputs!I:I),"")</f>
        <v>1.6443628094113531E-2</v>
      </c>
      <c r="I56" s="359">
        <f>IFERROR(_xlfn.XLOOKUP("Net Changes in Cash",Inputs!$B:$B,Inputs!J:J,,,-1)/_xlfn.XLOOKUP("Net Income",Inputs!$B:$B,Inputs!J:J),"")</f>
        <v>0.72277227722772275</v>
      </c>
      <c r="J56" s="359">
        <f>IFERROR(_xlfn.XLOOKUP("Net Changes in Cash",Inputs!$B:$B,Inputs!K:K,,,-1)/_xlfn.XLOOKUP("Net Income",Inputs!$B:$B,Inputs!K:K),"")</f>
        <v>-7.2222859108105011E-2</v>
      </c>
      <c r="K56" s="359">
        <f>IFERROR(_xlfn.XLOOKUP("Net Changes in Cash",Inputs!$B:$B,Inputs!L:L,,,-1)/_xlfn.XLOOKUP("Net Income",Inputs!$B:$B,Inputs!L:L),"")</f>
        <v>-0.32580709051297285</v>
      </c>
      <c r="L56" s="359">
        <f>IFERROR(_xlfn.XLOOKUP("Net Changes in Cash",Inputs!$B:$B,Inputs!M:M,,,-1)/_xlfn.XLOOKUP("Net Income",Inputs!$B:$B,Inputs!M:M),"")</f>
        <v>1.3841982958946553</v>
      </c>
      <c r="M56" s="359">
        <f>IFERROR(_xlfn.XLOOKUP("Net Changes in Cash",Inputs!$B:$B,Inputs!N:N,,,-1)/_xlfn.XLOOKUP("Net Income",Inputs!$B:$B,Inputs!N:N),"")</f>
        <v>-1.4257215619694397</v>
      </c>
      <c r="N56" s="359">
        <f>IFERROR(_xlfn.XLOOKUP("Net Changes in Cash",Inputs!$B:$B,Inputs!O:O,,,-1)/_xlfn.XLOOKUP("Net Income",Inputs!$B:$B,Inputs!O:O),"")</f>
        <v>0.57912457912457915</v>
      </c>
      <c r="O56" s="359">
        <f>IFERROR(_xlfn.XLOOKUP("Net Changes in Cash",Inputs!$B:$B,Inputs!P:P,,,-1)/_xlfn.XLOOKUP("Net Income",Inputs!$B:$B,Inputs!P:P),"")</f>
        <v>0.67895647544256621</v>
      </c>
      <c r="P56" s="360">
        <f>IFERROR(_xlfn.XLOOKUP("Net Changes in Cash",Inputs!$B:$B,Inputs!Q:Q,,,-1)/_xlfn.XLOOKUP("Net Income",Inputs!$B:$B,Inputs!Q:Q),"")</f>
        <v>0.1780252659574468</v>
      </c>
      <c r="Q56" s="361">
        <f ca="1">IFERROR(_xlfn.XLOOKUP("Net Changes in Cash",DCF!$B:$B,DCF!H:H)/_xlfn.XLOOKUP("Net Income",DCF!$B:$B,DCF!H:H),"")</f>
        <v>0.54414465781436061</v>
      </c>
      <c r="R56" s="361">
        <f ca="1">IFERROR(_xlfn.XLOOKUP("Net Changes in Cash",DCF!$B:$B,DCF!I:I)/_xlfn.XLOOKUP("Net Income",DCF!$B:$B,DCF!I:I),"")</f>
        <v>0.50038334285608099</v>
      </c>
    </row>
    <row r="57" spans="2:18" ht="15.6">
      <c r="B57" s="18" t="s">
        <v>243</v>
      </c>
      <c r="F57" s="359">
        <f>IFERROR(_xlfn.XLOOKUP("Operating Cash Flow",Inputs!$B:$B,Inputs!G:G,,,-1)/_xlfn.XLOOKUP("Net Income",Inputs!$B:$B,Inputs!G:G),"")</f>
        <v>1.0708481462671406</v>
      </c>
      <c r="G57" s="359">
        <f>IFERROR(_xlfn.XLOOKUP("Operating Cash Flow",Inputs!$B:$B,Inputs!H:H,,,-1)/_xlfn.XLOOKUP("Net Income",Inputs!$B:$B,Inputs!H:H),"")</f>
        <v>1.2726728524393893</v>
      </c>
      <c r="H57" s="359">
        <f>IFERROR(_xlfn.XLOOKUP("Operating Cash Flow",Inputs!$B:$B,Inputs!I:I,,,-1)/_xlfn.XLOOKUP("Net Income",Inputs!$B:$B,Inputs!I:I),"")</f>
        <v>1.4942709699991252</v>
      </c>
      <c r="I57" s="359">
        <f>IFERROR(_xlfn.XLOOKUP("Operating Cash Flow",Inputs!$B:$B,Inputs!J:J,,,-1)/_xlfn.XLOOKUP("Net Income",Inputs!$B:$B,Inputs!J:J),"")</f>
        <v>2.904985235365642</v>
      </c>
      <c r="J57" s="359">
        <f>IFERROR(_xlfn.XLOOKUP("Operating Cash Flow",Inputs!$B:$B,Inputs!K:K,,,-1)/_xlfn.XLOOKUP("Net Income",Inputs!$B:$B,Inputs!K:K),"")</f>
        <v>1.747907829875043</v>
      </c>
      <c r="K57" s="359">
        <f>IFERROR(_xlfn.XLOOKUP("Operating Cash Flow",Inputs!$B:$B,Inputs!L:L,,,-1)/_xlfn.XLOOKUP("Net Income",Inputs!$B:$B,Inputs!L:L),"")</f>
        <v>1.4626658744305803</v>
      </c>
      <c r="L57" s="359">
        <f>IFERROR(_xlfn.XLOOKUP("Operating Cash Flow",Inputs!$B:$B,Inputs!M:M,,,-1)/_xlfn.XLOOKUP("Net Income",Inputs!$B:$B,Inputs!M:M),"")</f>
        <v>4.6984249935450553</v>
      </c>
      <c r="M57" s="359">
        <f>IFERROR(_xlfn.XLOOKUP("Operating Cash Flow",Inputs!$B:$B,Inputs!N:N,,,-1)/_xlfn.XLOOKUP("Net Income",Inputs!$B:$B,Inputs!N:N),"")</f>
        <v>2.7156196943972835</v>
      </c>
      <c r="N57" s="359">
        <f>IFERROR(_xlfn.XLOOKUP("Operating Cash Flow",Inputs!$B:$B,Inputs!O:O,,,-1)/_xlfn.XLOOKUP("Net Income",Inputs!$B:$B,Inputs!O:O),"")</f>
        <v>5.8557800224466892</v>
      </c>
      <c r="O57" s="359">
        <f>IFERROR(_xlfn.XLOOKUP("Operating Cash Flow",Inputs!$B:$B,Inputs!P:P,,,-1)/_xlfn.XLOOKUP("Net Income",Inputs!$B:$B,Inputs!P:P),"")</f>
        <v>1.8542526287767869</v>
      </c>
      <c r="P57" s="360">
        <f>IFERROR(_xlfn.XLOOKUP("Operating Cash Flow",Inputs!$B:$B,Inputs!Q:Q,,,-1)/_xlfn.XLOOKUP("Net Income",Inputs!$B:$B,Inputs!Q:Q),"")</f>
        <v>2.2348736702127661</v>
      </c>
      <c r="Q57" s="361">
        <f ca="1">IFERROR(_xlfn.XLOOKUP("Operating Cash Flow",DCF!$B:$B,DCF!H:H)/_xlfn.XLOOKUP("Net Income",DCF!$B:$B,DCF!H:H),"")</f>
        <v>1.861818459873495</v>
      </c>
      <c r="R57" s="361">
        <f ca="1">IFERROR(_xlfn.XLOOKUP("Operating Cash Flow",DCF!$B:$B,DCF!I:I)/_xlfn.XLOOKUP("Net Income",DCF!$B:$B,DCF!I:I),"")</f>
        <v>1.8016057327244341</v>
      </c>
    </row>
    <row r="58" spans="2:18" ht="15.6">
      <c r="B58" s="18" t="s">
        <v>244</v>
      </c>
      <c r="F58" s="359">
        <f>IFERROR(_xlfn.XLOOKUP("Net Capex",Inputs!$B:$B,Inputs!G:G,,,-1)/_xlfn.XLOOKUP("Operating Cash Flow",Inputs!$B:$B,Inputs!G:G),"")</f>
        <v>-0.19777092719943087</v>
      </c>
      <c r="G58" s="359">
        <f>IFERROR(_xlfn.XLOOKUP("Net Capex",Inputs!$B:$B,Inputs!H:H,,,-1)/_xlfn.XLOOKUP("Operating Cash Flow",Inputs!$B:$B,Inputs!H:H),"")</f>
        <v>-0.18867591721542804</v>
      </c>
      <c r="H58" s="359">
        <f>IFERROR(_xlfn.XLOOKUP("Net Capex",Inputs!$B:$B,Inputs!I:I,,,-1)/_xlfn.XLOOKUP("Operating Cash Flow",Inputs!$B:$B,Inputs!I:I),"")</f>
        <v>-0.18397330835869818</v>
      </c>
      <c r="I58" s="359">
        <f>IFERROR(_xlfn.XLOOKUP("Net Capex",Inputs!$B:$B,Inputs!J:J,,,-1)/_xlfn.XLOOKUP("Operating Cash Flow",Inputs!$B:$B,Inputs!J:J),"")</f>
        <v>-0.1655704376943315</v>
      </c>
      <c r="J58" s="359">
        <f>IFERROR(_xlfn.XLOOKUP("Net Capex",Inputs!$B:$B,Inputs!K:K,,,-1)/_xlfn.XLOOKUP("Operating Cash Flow",Inputs!$B:$B,Inputs!K:K),"")</f>
        <v>-0.20640125926411754</v>
      </c>
      <c r="K58" s="359">
        <f>IFERROR(_xlfn.XLOOKUP("Net Capex",Inputs!$B:$B,Inputs!L:L,,,-1)/_xlfn.XLOOKUP("Operating Cash Flow",Inputs!$B:$B,Inputs!L:L),"")</f>
        <v>-0.11841570751523359</v>
      </c>
      <c r="L58" s="359">
        <f>IFERROR(_xlfn.XLOOKUP("Net Capex",Inputs!$B:$B,Inputs!M:M,,,-1)/_xlfn.XLOOKUP("Operating Cash Flow",Inputs!$B:$B,Inputs!M:M),"")</f>
        <v>-0.13353849535637743</v>
      </c>
      <c r="M58" s="359">
        <f>IFERROR(_xlfn.XLOOKUP("Net Capex",Inputs!$B:$B,Inputs!N:N,,,-1)/_xlfn.XLOOKUP("Operating Cash Flow",Inputs!$B:$B,Inputs!N:N),"")</f>
        <v>-0.13090028133791809</v>
      </c>
      <c r="N58" s="359">
        <f>IFERROR(_xlfn.XLOOKUP("Net Capex",Inputs!$B:$B,Inputs!O:O,,,-1)/_xlfn.XLOOKUP("Operating Cash Flow",Inputs!$B:$B,Inputs!O:O),"")</f>
        <v>-0.11835170100622903</v>
      </c>
      <c r="O58" s="359">
        <f>IFERROR(_xlfn.XLOOKUP("Net Capex",Inputs!$B:$B,Inputs!P:P,,,-1)/_xlfn.XLOOKUP("Operating Cash Flow",Inputs!$B:$B,Inputs!P:P),"")</f>
        <v>-6.6326896848754577E-2</v>
      </c>
      <c r="P58" s="360">
        <f>IFERROR(_xlfn.XLOOKUP("Net Capex",Inputs!$B:$B,Inputs!Q:Q,,,-1)/_xlfn.XLOOKUP("Operating Cash Flow",Inputs!$B:$B,Inputs!Q:Q),"")</f>
        <v>-3.6519152101152842E-2</v>
      </c>
      <c r="Q58" s="361">
        <f ca="1">IFERROR(_xlfn.XLOOKUP("Net Capex",DCF!$B:$B,DCF!H:H)/_xlfn.XLOOKUP("Operating Cash Flow",DCF!$B:$B,DCF!H:H),"")</f>
        <v>-7.4271014578539588E-2</v>
      </c>
      <c r="R58" s="361">
        <f ca="1">IFERROR(_xlfn.XLOOKUP("Net Capex",DCF!$B:$B,DCF!I:I)/_xlfn.XLOOKUP("Operating Cash Flow",DCF!$B:$B,DCF!I:I),"")</f>
        <v>-5.1484311720944267E-2</v>
      </c>
    </row>
    <row r="59" spans="2:18" ht="15.6">
      <c r="B59" s="18" t="s">
        <v>245</v>
      </c>
      <c r="F59" s="359">
        <f>IFERROR(_xlfn.XLOOKUP("Investing Cash Flow",Inputs!$B:$B,Inputs!G:G,,,-1)/_xlfn.XLOOKUP("Operating Cash Flow",Inputs!$B:$B,Inputs!G:G),"")</f>
        <v>-0.17791083708797722</v>
      </c>
      <c r="G59" s="359">
        <f>IFERROR(_xlfn.XLOOKUP("Investing Cash Flow",Inputs!$B:$B,Inputs!H:H,,,-1)/_xlfn.XLOOKUP("Operating Cash Flow",Inputs!$B:$B,Inputs!H:H),"")</f>
        <v>-0.47971542803386641</v>
      </c>
      <c r="H59" s="359">
        <f>IFERROR(_xlfn.XLOOKUP("Investing Cash Flow",Inputs!$B:$B,Inputs!I:I,,,-1)/_xlfn.XLOOKUP("Operating Cash Flow",Inputs!$B:$B,Inputs!I:I),"")</f>
        <v>-0.6396628424256614</v>
      </c>
      <c r="I59" s="359">
        <f>IFERROR(_xlfn.XLOOKUP("Investing Cash Flow",Inputs!$B:$B,Inputs!J:J,,,-1)/_xlfn.XLOOKUP("Operating Cash Flow",Inputs!$B:$B,Inputs!J:J),"")</f>
        <v>-0.42340349198756277</v>
      </c>
      <c r="J59" s="359">
        <f>IFERROR(_xlfn.XLOOKUP("Investing Cash Flow",Inputs!$B:$B,Inputs!K:K,,,-1)/_xlfn.XLOOKUP("Operating Cash Flow",Inputs!$B:$B,Inputs!K:K),"")</f>
        <v>-0.32222732340788351</v>
      </c>
      <c r="K59" s="359">
        <f>IFERROR(_xlfn.XLOOKUP("Investing Cash Flow",Inputs!$B:$B,Inputs!L:L,,,-1)/_xlfn.XLOOKUP("Operating Cash Flow",Inputs!$B:$B,Inputs!L:L),"")</f>
        <v>-1.8236966824644549</v>
      </c>
      <c r="L59" s="359">
        <f>IFERROR(_xlfn.XLOOKUP("Investing Cash Flow",Inputs!$B:$B,Inputs!M:M,,,-1)/_xlfn.XLOOKUP("Operating Cash Flow",Inputs!$B:$B,Inputs!M:M),"")</f>
        <v>-0.16640105511897565</v>
      </c>
      <c r="M59" s="359">
        <f>IFERROR(_xlfn.XLOOKUP("Investing Cash Flow",Inputs!$B:$B,Inputs!N:N,,,-1)/_xlfn.XLOOKUP("Operating Cash Flow",Inputs!$B:$B,Inputs!N:N),"")</f>
        <v>-0.46694279462331978</v>
      </c>
      <c r="N59" s="359">
        <f>IFERROR(_xlfn.XLOOKUP("Investing Cash Flow",Inputs!$B:$B,Inputs!O:O,,,-1)/_xlfn.XLOOKUP("Operating Cash Flow",Inputs!$B:$B,Inputs!O:O),"")</f>
        <v>-0.40268327743172017</v>
      </c>
      <c r="O59" s="359">
        <f>IFERROR(_xlfn.XLOOKUP("Investing Cash Flow",Inputs!$B:$B,Inputs!P:P,,,-1)/_xlfn.XLOOKUP("Operating Cash Flow",Inputs!$B:$B,Inputs!P:P),"")</f>
        <v>-0.50750125619122821</v>
      </c>
      <c r="P59" s="360">
        <f>IFERROR(_xlfn.XLOOKUP("Investing Cash Flow",Inputs!$B:$B,Inputs!Q:Q,,,-1)/_xlfn.XLOOKUP("Operating Cash Flow",Inputs!$B:$B,Inputs!Q:Q),"")</f>
        <v>-0.36719970249163258</v>
      </c>
      <c r="Q59" s="361">
        <f ca="1">IFERROR(_xlfn.XLOOKUP("Investing Cash Flow",DCF!$B:$B,DCF!H:H)/_xlfn.XLOOKUP("Operating Cash Flow",DCF!$B:$B,DCF!H:H),"")</f>
        <v>-0.43869781425477289</v>
      </c>
      <c r="R59" s="361">
        <f ca="1">IFERROR(_xlfn.XLOOKUP("Investing Cash Flow",DCF!$B:$B,DCF!I:I)/_xlfn.XLOOKUP("Operating Cash Flow",DCF!$B:$B,DCF!I:I),"")</f>
        <v>-0.40447356286646524</v>
      </c>
    </row>
    <row r="60" spans="2:18" ht="15.6">
      <c r="B60" s="18" t="s">
        <v>246</v>
      </c>
      <c r="F60" s="359">
        <f>IFERROR((_xlfn.XLOOKUP("Debt Borrowing",Inputs!$B:$B,Inputs!G:G,,,-1)-_xlfn.XLOOKUP("Debt Repayment",Inputs!$B:$B,Inputs!G:G))/_xlfn.XLOOKUP("Operating Cash Flow",Inputs!$B:$B,Inputs!G:G),"")</f>
        <v>0.86418069717808865</v>
      </c>
      <c r="G60" s="359">
        <f>IFERROR((_xlfn.XLOOKUP("Debt Borrowing",Inputs!$B:$B,Inputs!H:H,,,-1)-_xlfn.XLOOKUP("Debt Repayment",Inputs!$B:$B,Inputs!H:H))/_xlfn.XLOOKUP("Operating Cash Flow",Inputs!$B:$B,Inputs!H:H),"")</f>
        <v>0.66221777986829722</v>
      </c>
      <c r="H60" s="359">
        <f>IFERROR((_xlfn.XLOOKUP("Debt Borrowing",Inputs!$B:$B,Inputs!I:I,,,-1)-_xlfn.XLOOKUP("Debt Repayment",Inputs!$B:$B,Inputs!I:I))/_xlfn.XLOOKUP("Operating Cash Flow",Inputs!$B:$B,Inputs!I:I),"")</f>
        <v>0.91038398501521889</v>
      </c>
      <c r="I60" s="359">
        <f>IFERROR((_xlfn.XLOOKUP("Debt Borrowing",Inputs!$B:$B,Inputs!J:J,,,-1)-_xlfn.XLOOKUP("Debt Repayment",Inputs!$B:$B,Inputs!J:J))/_xlfn.XLOOKUP("Operating Cash Flow",Inputs!$B:$B,Inputs!J:J),"")</f>
        <v>1.0212269791915809</v>
      </c>
      <c r="J60" s="359">
        <f>IFERROR((_xlfn.XLOOKUP("Debt Borrowing",Inputs!$B:$B,Inputs!K:K,,,-1)-_xlfn.XLOOKUP("Debt Repayment",Inputs!$B:$B,Inputs!K:K))/_xlfn.XLOOKUP("Operating Cash Flow",Inputs!$B:$B,Inputs!K:K),"")</f>
        <v>1.0995605692923198</v>
      </c>
      <c r="K60" s="359">
        <f>IFERROR((_xlfn.XLOOKUP("Debt Borrowing",Inputs!$B:$B,Inputs!L:L,,,-1)-_xlfn.XLOOKUP("Debt Repayment",Inputs!$B:$B,Inputs!L:L))/_xlfn.XLOOKUP("Operating Cash Flow",Inputs!$B:$B,Inputs!L:L),"")</f>
        <v>3.2069058903182124</v>
      </c>
      <c r="L60" s="359">
        <f>IFERROR((_xlfn.XLOOKUP("Debt Borrowing",Inputs!$B:$B,Inputs!M:M,,,-1)-_xlfn.XLOOKUP("Debt Repayment",Inputs!$B:$B,Inputs!M:M))/_xlfn.XLOOKUP("Operating Cash Flow",Inputs!$B:$B,Inputs!M:M),"")</f>
        <v>1.3585755893828653</v>
      </c>
      <c r="M60" s="359">
        <f>IFERROR((_xlfn.XLOOKUP("Debt Borrowing",Inputs!$B:$B,Inputs!N:N,,,-1)-_xlfn.XLOOKUP("Debt Repayment",Inputs!$B:$B,Inputs!N:N))/_xlfn.XLOOKUP("Operating Cash Flow",Inputs!$B:$B,Inputs!N:N),"")</f>
        <v>0.71577055329790562</v>
      </c>
      <c r="N60" s="359">
        <f>IFERROR((_xlfn.XLOOKUP("Debt Borrowing",Inputs!$B:$B,Inputs!O:O,,,-1)-_xlfn.XLOOKUP("Debt Repayment",Inputs!$B:$B,Inputs!O:O))/_xlfn.XLOOKUP("Operating Cash Flow",Inputs!$B:$B,Inputs!O:O),"")</f>
        <v>1.4203162434115957</v>
      </c>
      <c r="O60" s="359">
        <f>IFERROR((_xlfn.XLOOKUP("Debt Borrowing",Inputs!$B:$B,Inputs!P:P,,,-1)-_xlfn.XLOOKUP("Debt Repayment",Inputs!$B:$B,Inputs!P:P))/_xlfn.XLOOKUP("Operating Cash Flow",Inputs!$B:$B,Inputs!P:P),"")</f>
        <v>1.0534060727873089</v>
      </c>
      <c r="P60" s="360">
        <f>IFERROR((_xlfn.XLOOKUP("Debt Borrowing",Inputs!$B:$B,Inputs!Q:Q,,,-1)-_xlfn.XLOOKUP("Debt Repayment",Inputs!$B:$B,Inputs!Q:Q))/_xlfn.XLOOKUP("Operating Cash Flow",Inputs!$B:$B,Inputs!Q:Q),"")</f>
        <v>0.91855708441799921</v>
      </c>
      <c r="Q60" s="361">
        <f ca="1">IFERROR((_xlfn.XLOOKUP("Debt Borrowing",DCF!$B:$B,DCF!H:H)-_xlfn.XLOOKUP("Debt Repayment",DCF!$B:$B,DCF!H:H))/_xlfn.XLOOKUP("Operating Cash Flow",DCF!$B:$B,DCF!H:H),"")</f>
        <v>1.0607225899962593</v>
      </c>
      <c r="R60" s="361">
        <f ca="1">IFERROR((_xlfn.XLOOKUP("Debt Borrowing",DCF!$B:$B,DCF!I:I)-_xlfn.XLOOKUP("Debt Repayment",DCF!$B:$B,DCF!I:I))/_xlfn.XLOOKUP("Operating Cash Flow",DCF!$B:$B,DCF!I:I),"")</f>
        <v>0.99694606109837081</v>
      </c>
    </row>
    <row r="61" spans="2:18" ht="15.6">
      <c r="B61" s="18" t="s">
        <v>735</v>
      </c>
      <c r="F61" s="359">
        <f>IFERROR(-_xlfn.XLOOKUP("Debt Repayment",Inputs!$B:$B,Inputs!G:G,,,-1)/_xlfn.XLOOKUP("Debt Borrowing",Inputs!$B:$B,Inputs!G:G),"")</f>
        <v>0.7820293398533007</v>
      </c>
      <c r="G61" s="359">
        <f>IFERROR(-_xlfn.XLOOKUP("Debt Repayment",Inputs!$B:$B,Inputs!H:H,,,-1)/_xlfn.XLOOKUP("Debt Borrowing",Inputs!$B:$B,Inputs!H:H),"")</f>
        <v>0.99663180287183128</v>
      </c>
      <c r="H61" s="359">
        <f>IFERROR(-_xlfn.XLOOKUP("Debt Repayment",Inputs!$B:$B,Inputs!I:I,,,-1)/_xlfn.XLOOKUP("Debt Borrowing",Inputs!$B:$B,Inputs!I:I),"")</f>
        <v>0.69829657130377809</v>
      </c>
      <c r="I61" s="359">
        <f>IFERROR(-_xlfn.XLOOKUP("Debt Repayment",Inputs!$B:$B,Inputs!J:J,,,-1)/_xlfn.XLOOKUP("Debt Borrowing",Inputs!$B:$B,Inputs!J:J),"")</f>
        <v>0.66413329435837476</v>
      </c>
      <c r="J61" s="359">
        <f>IFERROR(-_xlfn.XLOOKUP("Debt Repayment",Inputs!$B:$B,Inputs!K:K,,,-1)/_xlfn.XLOOKUP("Debt Borrowing",Inputs!$B:$B,Inputs!K:K),"")</f>
        <v>1.03656462585034</v>
      </c>
      <c r="K61" s="359">
        <f>IFERROR(-_xlfn.XLOOKUP("Debt Repayment",Inputs!$B:$B,Inputs!L:L,,,-1)/_xlfn.XLOOKUP("Debt Borrowing",Inputs!$B:$B,Inputs!L:L),"")</f>
        <v>0.48832678711704636</v>
      </c>
      <c r="L61" s="359">
        <f>IFERROR(-_xlfn.XLOOKUP("Debt Repayment",Inputs!$B:$B,Inputs!M:M,,,-1)/_xlfn.XLOOKUP("Debt Borrowing",Inputs!$B:$B,Inputs!M:M),"")</f>
        <v>1.3535795887281037</v>
      </c>
      <c r="M61" s="359">
        <f>IFERROR(-_xlfn.XLOOKUP("Debt Repayment",Inputs!$B:$B,Inputs!N:N,,,-1)/_xlfn.XLOOKUP("Debt Borrowing",Inputs!$B:$B,Inputs!N:N),"")</f>
        <v>16.545977011494251</v>
      </c>
      <c r="N61" s="359">
        <f>IFERROR(-_xlfn.XLOOKUP("Debt Repayment",Inputs!$B:$B,Inputs!O:O,,,-1)/_xlfn.XLOOKUP("Debt Borrowing",Inputs!$B:$B,Inputs!O:O),"")</f>
        <v>0.84777459169679592</v>
      </c>
      <c r="O61" s="359">
        <f>IFERROR(-_xlfn.XLOOKUP("Debt Repayment",Inputs!$B:$B,Inputs!P:P,,,-1)/_xlfn.XLOOKUP("Debt Borrowing",Inputs!$B:$B,Inputs!P:P),"")</f>
        <v>0.53087836428124346</v>
      </c>
      <c r="P61" s="360">
        <f>IFERROR(-_xlfn.XLOOKUP("Debt Repayment",Inputs!$B:$B,Inputs!Q:Q,,,-1)/_xlfn.XLOOKUP("Debt Borrowing",Inputs!$B:$B,Inputs!Q:Q),"")</f>
        <v>1.1534437663469921</v>
      </c>
      <c r="Q61" s="361">
        <f ca="1">IFERROR(-_xlfn.XLOOKUP("Debt Repayment",DCF!$B:$B,DCF!H:H)/_xlfn.XLOOKUP("Debt Borrowing",DCF!$B:$B,DCF!H:H),"")</f>
        <v>0.6037356710530033</v>
      </c>
      <c r="R61" s="361">
        <f ca="1">IFERROR(-_xlfn.XLOOKUP("Debt Repayment",DCF!$B:$B,DCF!I:I)/_xlfn.XLOOKUP("Debt Borrowing",DCF!$B:$B,DCF!I:I),"")</f>
        <v>0.73188756154090784</v>
      </c>
    </row>
    <row r="62" spans="2:18" ht="15.6">
      <c r="B62" s="18" t="s">
        <v>248</v>
      </c>
      <c r="F62" s="359">
        <f>IFERROR(_xlfn.XLOOKUP("Financing Cash Flow",Inputs!$B:$B,Inputs!G:G,,,-1)/_xlfn.XLOOKUP("Operating Cash Flow",Inputs!$B:$B,Inputs!G:G),"")</f>
        <v>-0.91605406687218405</v>
      </c>
      <c r="G62" s="359">
        <f>IFERROR(_xlfn.XLOOKUP("Financing Cash Flow",Inputs!$B:$B,Inputs!H:H,,,-1)/_xlfn.XLOOKUP("Operating Cash Flow",Inputs!$B:$B,Inputs!H:H),"")</f>
        <v>-0.5389228598306679</v>
      </c>
      <c r="H62" s="359">
        <f>IFERROR(_xlfn.XLOOKUP("Financing Cash Flow",Inputs!$B:$B,Inputs!I:I,,,-1)/_xlfn.XLOOKUP("Operating Cash Flow",Inputs!$B:$B,Inputs!I:I),"")</f>
        <v>-0.34634745961133223</v>
      </c>
      <c r="I62" s="359">
        <f>IFERROR(_xlfn.XLOOKUP("Financing Cash Flow",Inputs!$B:$B,Inputs!J:J,,,-1)/_xlfn.XLOOKUP("Operating Cash Flow",Inputs!$B:$B,Inputs!J:J),"")</f>
        <v>-0.38375986606075102</v>
      </c>
      <c r="J62" s="359">
        <f>IFERROR(_xlfn.XLOOKUP("Financing Cash Flow",Inputs!$B:$B,Inputs!K:K,,,-1)/_xlfn.XLOOKUP("Operating Cash Flow",Inputs!$B:$B,Inputs!K:K),"")</f>
        <v>-0.68662687741850859</v>
      </c>
      <c r="K62" s="359">
        <f>IFERROR(_xlfn.XLOOKUP("Financing Cash Flow",Inputs!$B:$B,Inputs!L:L,,,-1)/_xlfn.XLOOKUP("Operating Cash Flow",Inputs!$B:$B,Inputs!L:L),"")</f>
        <v>0.61218686526743393</v>
      </c>
      <c r="L62" s="359">
        <f>IFERROR(_xlfn.XLOOKUP("Financing Cash Flow",Inputs!$B:$B,Inputs!M:M,,,-1)/_xlfn.XLOOKUP("Operating Cash Flow",Inputs!$B:$B,Inputs!M:M),"")</f>
        <v>-0.53420893553882509</v>
      </c>
      <c r="M62" s="359">
        <f>IFERROR(_xlfn.XLOOKUP("Financing Cash Flow",Inputs!$B:$B,Inputs!N:N,,,-1)/_xlfn.XLOOKUP("Operating Cash Flow",Inputs!$B:$B,Inputs!N:N),"")</f>
        <v>-1.043607377305408</v>
      </c>
      <c r="N62" s="359">
        <f>IFERROR(_xlfn.XLOOKUP("Financing Cash Flow",Inputs!$B:$B,Inputs!O:O,,,-1)/_xlfn.XLOOKUP("Operating Cash Flow",Inputs!$B:$B,Inputs!O:O),"")</f>
        <v>-0.47513176808816482</v>
      </c>
      <c r="O62" s="359">
        <f>IFERROR(_xlfn.XLOOKUP("Financing Cash Flow",Inputs!$B:$B,Inputs!P:P,,,-1)/_xlfn.XLOOKUP("Operating Cash Flow",Inputs!$B:$B,Inputs!P:P),"")</f>
        <v>-0.12698298758165244</v>
      </c>
      <c r="P62" s="360">
        <f>IFERROR(_xlfn.XLOOKUP("Financing Cash Flow",Inputs!$B:$B,Inputs!Q:Q,,,-1)/_xlfn.XLOOKUP("Operating Cash Flow",Inputs!$B:$B,Inputs!Q:Q),"")</f>
        <v>-0.52651543324656003</v>
      </c>
      <c r="Q62" s="361">
        <f ca="1">IFERROR(_xlfn.XLOOKUP("Financing Cash Flow",DCF!$B:$B,DCF!H:H)/_xlfn.XLOOKUP("Operating Cash Flow",DCF!$B:$B,DCF!H:H),"")</f>
        <v>-0.26903703232563236</v>
      </c>
      <c r="R62" s="361">
        <f ca="1">IFERROR(_xlfn.XLOOKUP("Financing Cash Flow",DCF!$B:$B,DCF!I:I)/_xlfn.XLOOKUP("Operating Cash Flow",DCF!$B:$B,DCF!I:I),"")</f>
        <v>-0.31778345831908095</v>
      </c>
    </row>
    <row r="63" spans="2:18" ht="15.6">
      <c r="B63" s="18" t="s">
        <v>71</v>
      </c>
      <c r="F63" s="359">
        <f>IFERROR(_xlfn.XLOOKUP("Net Income",Inputs!$B:$B,Inputs!G:G,,,-1)/_xlfn.XLOOKUP("Operating Cash Flow",Inputs!$B:$B,Inputs!G:G),"")</f>
        <v>0.9338392221958739</v>
      </c>
      <c r="G63" s="359">
        <f>IFERROR(_xlfn.XLOOKUP("Net Income",Inputs!$B:$B,Inputs!H:H,,,-1)/_xlfn.XLOOKUP("Operating Cash Flow",Inputs!$B:$B,Inputs!H:H),"")</f>
        <v>0.78574788334901224</v>
      </c>
      <c r="H63" s="359">
        <f>IFERROR(_xlfn.XLOOKUP("Net Income",Inputs!$B:$B,Inputs!I:I,,,-1)/_xlfn.XLOOKUP("Operating Cash Flow",Inputs!$B:$B,Inputs!I:I),"")</f>
        <v>0.66922266448138612</v>
      </c>
      <c r="I63" s="359">
        <f>IFERROR(_xlfn.XLOOKUP("Net Income",Inputs!$B:$B,Inputs!J:J,,,-1)/_xlfn.XLOOKUP("Operating Cash Flow",Inputs!$B:$B,Inputs!J:J),"")</f>
        <v>0.34423582874910308</v>
      </c>
      <c r="J63" s="359">
        <f>IFERROR(_xlfn.XLOOKUP("Net Income",Inputs!$B:$B,Inputs!K:K,,,-1)/_xlfn.XLOOKUP("Operating Cash Flow",Inputs!$B:$B,Inputs!K:K),"")</f>
        <v>0.57211254673050438</v>
      </c>
      <c r="K63" s="359">
        <f>IFERROR(_xlfn.XLOOKUP("Net Income",Inputs!$B:$B,Inputs!L:L,,,-1)/_xlfn.XLOOKUP("Operating Cash Flow",Inputs!$B:$B,Inputs!L:L),"")</f>
        <v>0.68368314150304677</v>
      </c>
      <c r="L63" s="359">
        <f>IFERROR(_xlfn.XLOOKUP("Net Income",Inputs!$B:$B,Inputs!M:M,,,-1)/_xlfn.XLOOKUP("Operating Cash Flow",Inputs!$B:$B,Inputs!M:M),"")</f>
        <v>0.21283728087047316</v>
      </c>
      <c r="M63" s="359">
        <f>IFERROR(_xlfn.XLOOKUP("Net Income",Inputs!$B:$B,Inputs!N:N,,,-1)/_xlfn.XLOOKUP("Operating Cash Flow",Inputs!$B:$B,Inputs!N:N),"")</f>
        <v>0.3682400750234448</v>
      </c>
      <c r="N63" s="359">
        <f>IFERROR(_xlfn.XLOOKUP("Net Income",Inputs!$B:$B,Inputs!O:O,,,-1)/_xlfn.XLOOKUP("Operating Cash Flow",Inputs!$B:$B,Inputs!O:O),"")</f>
        <v>0.17077144226161955</v>
      </c>
      <c r="O63" s="359">
        <f>IFERROR(_xlfn.XLOOKUP("Net Income",Inputs!$B:$B,Inputs!P:P,,,-1)/_xlfn.XLOOKUP("Operating Cash Flow",Inputs!$B:$B,Inputs!P:P),"")</f>
        <v>0.53930083985356403</v>
      </c>
      <c r="P63" s="360">
        <f>IFERROR(_xlfn.XLOOKUP("Net Income",Inputs!$B:$B,Inputs!Q:Q,,,-1)/_xlfn.XLOOKUP("Operating Cash Flow",Inputs!$B:$B,Inputs!Q:Q),"")</f>
        <v>0.44745258460394199</v>
      </c>
      <c r="Q63" s="361">
        <f ca="1">IFERROR(_xlfn.XLOOKUP("Net Income",DCF!$B:$B,DCF!H:H)/_xlfn.XLOOKUP("Operating Cash Flow",DCF!$B:$B,DCF!H:H),"")</f>
        <v>0.53710929478481317</v>
      </c>
      <c r="R63" s="361">
        <f ca="1">IFERROR(_xlfn.XLOOKUP("Net Income",DCF!$B:$B,DCF!I:I)/_xlfn.XLOOKUP("Operating Cash Flow",DCF!$B:$B,DCF!I:I),"")</f>
        <v>0.55506040075026541</v>
      </c>
    </row>
    <row r="64" spans="2:18" ht="15.6">
      <c r="B64" s="30" t="s">
        <v>73</v>
      </c>
      <c r="F64" s="359">
        <f>IFERROR(_xlfn.XLOOKUP("Net Changes in Cash",Inputs!$B:$B,Inputs!G:G,,,-1)/_xlfn.XLOOKUP("Operating Cash Flow",Inputs!$B:$B,Inputs!G:G),"")</f>
        <v>-0.13279582641688403</v>
      </c>
      <c r="G64" s="359">
        <f>IFERROR(_xlfn.XLOOKUP("Net Changes in Cash",Inputs!$B:$B,Inputs!H:H,,,-1)/_xlfn.XLOOKUP("Operating Cash Flow",Inputs!$B:$B,Inputs!H:H),"")</f>
        <v>-4.6448730009407337E-2</v>
      </c>
      <c r="H64" s="359">
        <f>IFERROR(_xlfn.XLOOKUP("Net Changes in Cash",Inputs!$B:$B,Inputs!I:I,,,-1)/_xlfn.XLOOKUP("Operating Cash Flow",Inputs!$B:$B,Inputs!I:I),"")</f>
        <v>1.1004448606883634E-2</v>
      </c>
      <c r="I64" s="359">
        <f>IFERROR(_xlfn.XLOOKUP("Net Changes in Cash",Inputs!$B:$B,Inputs!J:J,,,-1)/_xlfn.XLOOKUP("Operating Cash Flow",Inputs!$B:$B,Inputs!J:J),"")</f>
        <v>0.24880411384836162</v>
      </c>
      <c r="J64" s="359">
        <f>IFERROR(_xlfn.XLOOKUP("Net Changes in Cash",Inputs!$B:$B,Inputs!K:K,,,-1)/_xlfn.XLOOKUP("Operating Cash Flow",Inputs!$B:$B,Inputs!K:K),"")</f>
        <v>-4.1319603856496363E-2</v>
      </c>
      <c r="K64" s="359">
        <f>IFERROR(_xlfn.XLOOKUP("Net Changes in Cash",Inputs!$B:$B,Inputs!L:L,,,-1)/_xlfn.XLOOKUP("Operating Cash Flow",Inputs!$B:$B,Inputs!L:L),"")</f>
        <v>-0.22274881516587677</v>
      </c>
      <c r="L64" s="359">
        <f>IFERROR(_xlfn.XLOOKUP("Net Changes in Cash",Inputs!$B:$B,Inputs!M:M,,,-1)/_xlfn.XLOOKUP("Operating Cash Flow",Inputs!$B:$B,Inputs!M:M),"")</f>
        <v>0.29460900148376107</v>
      </c>
      <c r="M64" s="359">
        <f>IFERROR(_xlfn.XLOOKUP("Net Changes in Cash",Inputs!$B:$B,Inputs!N:N,,,-1)/_xlfn.XLOOKUP("Operating Cash Flow",Inputs!$B:$B,Inputs!N:N),"")</f>
        <v>-0.52500781494216942</v>
      </c>
      <c r="N64" s="359">
        <f>IFERROR(_xlfn.XLOOKUP("Net Changes in Cash",Inputs!$B:$B,Inputs!O:O,,,-1)/_xlfn.XLOOKUP("Operating Cash Flow",Inputs!$B:$B,Inputs!O:O),"")</f>
        <v>9.8897939626257786E-2</v>
      </c>
      <c r="O64" s="359">
        <f>IFERROR(_xlfn.XLOOKUP("Net Changes in Cash",Inputs!$B:$B,Inputs!P:P,,,-1)/_xlfn.XLOOKUP("Operating Cash Flow",Inputs!$B:$B,Inputs!P:P),"")</f>
        <v>0.36616179743019167</v>
      </c>
      <c r="P64" s="360">
        <f>IFERROR(_xlfn.XLOOKUP("Net Changes in Cash",Inputs!$B:$B,Inputs!Q:Q,,,-1)/_xlfn.XLOOKUP("Operating Cash Flow",Inputs!$B:$B,Inputs!Q:Q),"")</f>
        <v>7.9657865377463735E-2</v>
      </c>
      <c r="Q64" s="361">
        <f ca="1">IFERROR(_xlfn.XLOOKUP("Net Changes in Cash",DCF!$B:$B,DCF!H:H)/_xlfn.XLOOKUP("Operating Cash Flow",DCF!$B:$B,DCF!H:H),"")</f>
        <v>0.29226515341959475</v>
      </c>
      <c r="R64" s="361">
        <f ca="1">IFERROR(_xlfn.XLOOKUP("Net Changes in Cash",DCF!$B:$B,DCF!I:I)/_xlfn.XLOOKUP("Operating Cash Flow",DCF!$B:$B,DCF!I:I),"")</f>
        <v>0.27774297881445381</v>
      </c>
    </row>
    <row r="67" spans="2:20" ht="20.100000000000001" customHeight="1">
      <c r="T67" s="1" t="s">
        <v>549</v>
      </c>
    </row>
    <row r="69" spans="2:20">
      <c r="B69" s="391"/>
    </row>
    <row r="70" spans="2:20">
      <c r="B70" s="391"/>
    </row>
    <row r="71" spans="2:20">
      <c r="B71" s="391"/>
    </row>
    <row r="72" spans="2:20">
      <c r="B72" s="391"/>
    </row>
    <row r="73" spans="2:20">
      <c r="B73" s="391"/>
    </row>
    <row r="74" spans="2:20">
      <c r="B74" s="391"/>
    </row>
    <row r="75" spans="2:20">
      <c r="B75" s="391"/>
    </row>
    <row r="76" spans="2:20">
      <c r="B76" s="391"/>
    </row>
  </sheetData>
  <phoneticPr fontId="74" type="noConversion"/>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B2:L10055"/>
  <sheetViews>
    <sheetView showGridLines="0" zoomScale="85" zoomScaleNormal="85" workbookViewId="0">
      <selection activeCell="J20" sqref="J20"/>
    </sheetView>
  </sheetViews>
  <sheetFormatPr defaultRowHeight="14.1"/>
  <cols>
    <col min="1" max="1" width="4" customWidth="1"/>
    <col min="3" max="7" width="8.625" customWidth="1"/>
    <col min="10" max="10" width="15.5" customWidth="1"/>
  </cols>
  <sheetData>
    <row r="2" spans="2:12" s="34" customFormat="1" ht="20.100000000000001" customHeight="1">
      <c r="B2" s="36" t="s">
        <v>736</v>
      </c>
    </row>
    <row r="4" spans="2:12">
      <c r="B4" s="631" t="str">
        <f ca="1">IFERROR(Peers!C6&amp;" Fair Value - Blended Discount Rate and Terminal Growth Rate","")</f>
        <v>IBM Fair Value - Blended Discount Rate and Terminal Growth Rate</v>
      </c>
      <c r="J4" s="631" t="str">
        <f ca="1">IFERROR(Peers!C6&amp;" Fair Value - Monte-Carlo Simulations Discount Rate and Terminal Growth Rate","")</f>
        <v>IBM Fair Value - Monte-Carlo Simulations Discount Rate and Terminal Growth Rate</v>
      </c>
    </row>
    <row r="5" spans="2:12" ht="14.45" thickBot="1">
      <c r="B5" t="s">
        <v>550</v>
      </c>
      <c r="F5" s="82" t="s">
        <v>441</v>
      </c>
    </row>
    <row r="6" spans="2:12" ht="14.45" thickBot="1">
      <c r="B6" s="621"/>
      <c r="C6" s="628">
        <f ca="1">DCF!AO288</f>
        <v>257.51311783999427</v>
      </c>
      <c r="D6" s="634">
        <f>DCF!AP288</f>
        <v>9.1999999999999998E-2</v>
      </c>
      <c r="E6" s="634">
        <f>DCF!AQ288</f>
        <v>8.6999999999999994E-2</v>
      </c>
      <c r="F6" s="634">
        <f ca="1">DCF!AR288</f>
        <v>8.6010459902936973E-2</v>
      </c>
      <c r="G6" s="634">
        <f>DCF!AS288</f>
        <v>7.6999999999999999E-2</v>
      </c>
      <c r="H6" s="634">
        <f>DCF!AT288</f>
        <v>7.1999999999999995E-2</v>
      </c>
      <c r="J6" s="737" t="s">
        <v>737</v>
      </c>
      <c r="K6" s="737" t="s">
        <v>201</v>
      </c>
      <c r="L6" s="737" t="s">
        <v>738</v>
      </c>
    </row>
    <row r="7" spans="2:12">
      <c r="C7" s="626">
        <f>DCF!AO289</f>
        <v>0.01</v>
      </c>
      <c r="D7" s="727">
        <f ca="1">IFERROR(DCF!AP289/DCF!$Q$211-1,"")</f>
        <v>-0.26789961266277085</v>
      </c>
      <c r="E7" s="727">
        <f ca="1">IFERROR(DCF!AQ289/DCF!$Q$211-1,"")</f>
        <v>-0.2070526731965322</v>
      </c>
      <c r="F7" s="727">
        <f ca="1">IFERROR(DCF!AR289/DCF!$Q$211-1,"")</f>
        <v>-0.2070526731965322</v>
      </c>
      <c r="G7" s="727">
        <f ca="1">IFERROR(DCF!AS289/DCF!$Q$211-1,"")</f>
        <v>-5.7558659905237342E-2</v>
      </c>
      <c r="H7" s="727">
        <f ca="1">IFERROR(DCF!AT289/DCF!$Q$211-1,"")</f>
        <v>3.5588076216438447E-2</v>
      </c>
      <c r="J7" t="s">
        <v>441</v>
      </c>
      <c r="K7" s="17"/>
      <c r="L7" s="17">
        <v>0.01</v>
      </c>
    </row>
    <row r="8" spans="2:12">
      <c r="C8" s="626">
        <v>1.4999999999999999E-2</v>
      </c>
      <c r="D8" s="727">
        <f ca="1">IFERROR(DCF!AP290/DCF!$Q$211-1,"")</f>
        <v>-0.23482732312957055</v>
      </c>
      <c r="E8" s="727">
        <f ca="1">IFERROR(DCF!AQ290/DCF!$Q$211-1,"")</f>
        <v>-0.16795677422140753</v>
      </c>
      <c r="F8" s="727">
        <f ca="1">IFERROR(DCF!AR290/DCF!$Q$211-1,"")</f>
        <v>-0.16795677422140753</v>
      </c>
      <c r="G8" s="727">
        <f ca="1">IFERROR(DCF!AS290/DCF!$Q$211-1,"")</f>
        <v>-1.3136930397961155E-3</v>
      </c>
      <c r="H8" s="727">
        <f ca="1">IFERROR(DCF!AT290/DCF!$Q$211-1,"")</f>
        <v>0.10424670885984488</v>
      </c>
      <c r="J8" t="s">
        <v>196</v>
      </c>
      <c r="K8" s="891">
        <v>2</v>
      </c>
      <c r="L8" s="29">
        <f>+DCF!L7</f>
        <v>0.02</v>
      </c>
    </row>
    <row r="9" spans="2:12" ht="14.45" thickBot="1">
      <c r="B9" s="21" t="s">
        <v>443</v>
      </c>
      <c r="C9" s="626">
        <v>0.02</v>
      </c>
      <c r="D9" s="727">
        <f ca="1">IFERROR(DCF!AP291/DCF!$Q$211-1,"")</f>
        <v>-0.19716166005009272</v>
      </c>
      <c r="E9" s="727">
        <f ca="1">IFERROR(DCF!AQ291/DCF!$Q$211-1,"")</f>
        <v>-0.12302566644402546</v>
      </c>
      <c r="F9" s="727">
        <f ca="1">IFERROR(DCF!AR291/DCF!$Q$211-1,"")</f>
        <v>-0.12302566644402546</v>
      </c>
      <c r="G9" s="727">
        <f ca="1">IFERROR(DCF!AS291/DCF!$Q$211-1,"")</f>
        <v>6.4798811872213591E-2</v>
      </c>
      <c r="H9" s="727">
        <f ca="1">IFERROR(DCF!AT291/DCF!$Q$211-1,"")</f>
        <v>0.18610892470390605</v>
      </c>
      <c r="J9" s="621" t="s">
        <v>30</v>
      </c>
      <c r="K9" s="892">
        <v>2</v>
      </c>
      <c r="L9" s="634">
        <f>+DCF!L8</f>
        <v>0.01</v>
      </c>
    </row>
    <row r="10" spans="2:12" ht="14.45" thickBot="1">
      <c r="C10" s="626">
        <v>2.5000000000000001E-2</v>
      </c>
      <c r="D10" s="727">
        <f ca="1">IFERROR(DCF!AP292/DCF!$Q$211-1,"")</f>
        <v>-0.15387425621248396</v>
      </c>
      <c r="E10" s="727">
        <f ca="1">IFERROR(DCF!AQ292/DCF!$Q$211-1,"")</f>
        <v>-7.084760579932381E-2</v>
      </c>
      <c r="F10" s="727">
        <f ca="1">IFERROR(DCF!AR292/DCF!$Q$211-1,"")</f>
        <v>-7.084760579932381E-2</v>
      </c>
      <c r="G10" s="727">
        <f ca="1">IFERROR(DCF!AS292/DCF!$Q$211-1,"")</f>
        <v>0.14362526003653309</v>
      </c>
      <c r="H10" s="727">
        <f ca="1">IFERROR(DCF!AT292/DCF!$Q$211-1,"")</f>
        <v>0.28538863328074604</v>
      </c>
      <c r="L10" s="738"/>
    </row>
    <row r="11" spans="2:12" ht="14.45" thickBot="1">
      <c r="B11" s="621"/>
      <c r="C11" s="627">
        <v>0.03</v>
      </c>
      <c r="D11" s="728">
        <f ca="1">IFERROR(DCF!AP293/DCF!$Q$211-1,"")</f>
        <v>-0.10360501304622838</v>
      </c>
      <c r="E11" s="728">
        <f ca="1">IFERROR(DCF!AQ293/DCF!$Q$211-1,"")</f>
        <v>-9.515499427481533E-3</v>
      </c>
      <c r="F11" s="728">
        <f ca="1">IFERROR(DCF!AR293/DCF!$Q$211-1,"")</f>
        <v>-9.515499427481533E-3</v>
      </c>
      <c r="G11" s="728">
        <f ca="1">IFERROR(DCF!AS293/DCF!$Q$211-1,"")</f>
        <v>0.23922329291666466</v>
      </c>
      <c r="H11" s="728">
        <f ca="1">IFERROR(DCF!AT293/DCF!$Q$211-1,"")</f>
        <v>0.40830636770921447</v>
      </c>
      <c r="J11" s="737" t="s">
        <v>739</v>
      </c>
      <c r="K11" s="620"/>
      <c r="L11" s="620" t="s">
        <v>740</v>
      </c>
    </row>
    <row r="12" spans="2:12">
      <c r="J12" s="630" t="s">
        <v>741</v>
      </c>
      <c r="K12" s="736">
        <f>MIN(B56:B10055)</f>
        <v>0</v>
      </c>
      <c r="L12" s="57">
        <f ca="1">IFERROR(K12/DCF!$Q$211-1,"")</f>
        <v>-1</v>
      </c>
    </row>
    <row r="13" spans="2:12">
      <c r="B13" s="631" t="str">
        <f ca="1">IFERROR(Peers!C6&amp;" Fair Value - Blended Revenue Growth and Operating Margin","")</f>
        <v>IBM Fair Value - Blended Revenue Growth and Operating Margin</v>
      </c>
      <c r="J13" s="741" t="s">
        <v>742</v>
      </c>
      <c r="K13" s="742" t="e">
        <f>AVERAGE(B56:B10055)</f>
        <v>#DIV/0!</v>
      </c>
      <c r="L13" s="60" t="str">
        <f ca="1">IFERROR(K13/DCF!$Q$211-1,"")</f>
        <v/>
      </c>
    </row>
    <row r="14" spans="2:12" ht="14.45" thickBot="1">
      <c r="B14" t="s">
        <v>550</v>
      </c>
      <c r="J14" s="739" t="s">
        <v>743</v>
      </c>
      <c r="K14" s="736" t="e">
        <f>MEDIAN(B56:B10055)</f>
        <v>#NUM!</v>
      </c>
      <c r="L14" s="743" t="str">
        <f ca="1">IFERROR(K14/DCF!$Q$211-1,"")</f>
        <v/>
      </c>
    </row>
    <row r="15" spans="2:12">
      <c r="B15" s="629"/>
      <c r="C15" s="630"/>
      <c r="D15" s="629"/>
      <c r="E15" s="635" t="s">
        <v>210</v>
      </c>
      <c r="F15" s="629"/>
      <c r="J15" s="739" t="s">
        <v>744</v>
      </c>
      <c r="K15" s="736">
        <f>MAX(B56:B10055)</f>
        <v>0</v>
      </c>
      <c r="L15" s="57">
        <f ca="1">IFERROR(K15/DCF!$Q$211-1,"")</f>
        <v>-1</v>
      </c>
    </row>
    <row r="16" spans="2:12" ht="14.45" thickBot="1">
      <c r="B16" s="621"/>
      <c r="C16" s="628"/>
      <c r="D16" s="634">
        <f>DCF!F7</f>
        <v>-0.02</v>
      </c>
      <c r="E16" s="634">
        <f>DCF!I7</f>
        <v>0</v>
      </c>
      <c r="F16" s="634">
        <f>DCF!L7</f>
        <v>0.02</v>
      </c>
      <c r="J16" s="628" t="s">
        <v>745</v>
      </c>
      <c r="K16" s="740" t="e">
        <f>_xlfn.STDEV.P(B56:B10055)</f>
        <v>#DIV/0!</v>
      </c>
      <c r="L16" s="729"/>
    </row>
    <row r="17" spans="2:8">
      <c r="C17" s="636">
        <f>DCF!F8</f>
        <v>-0.01</v>
      </c>
      <c r="D17" s="57">
        <f ca="1">IFERROR(DCF!AP299/DCF!$Q$211-1,"")</f>
        <v>-0.23769091488481886</v>
      </c>
      <c r="E17" s="57">
        <f ca="1">IFERROR(DCF!AQ299/DCF!$Q$211-1,"")</f>
        <v>-0.15135711999941692</v>
      </c>
      <c r="F17" s="57">
        <f ca="1">IFERROR(DCF!AR299/DCF!$Q$211-1,"")</f>
        <v>-5.058654888862657E-2</v>
      </c>
    </row>
    <row r="18" spans="2:8">
      <c r="B18" s="21" t="s">
        <v>438</v>
      </c>
      <c r="C18" s="636">
        <f>DCF!I8</f>
        <v>0</v>
      </c>
      <c r="D18" s="57">
        <f ca="1">IFERROR(DCF!AP300/DCF!$Q$211-1,"")</f>
        <v>-0.19958418380787057</v>
      </c>
      <c r="E18" s="57">
        <f ca="1">IFERROR(DCF!AQ300/DCF!$Q$211-1,"")</f>
        <v>-0.10700448090996195</v>
      </c>
      <c r="F18" s="57">
        <f ca="1">IFERROR(DCF!AR300/DCF!$Q$211-1,"")</f>
        <v>1.0491884746028912E-3</v>
      </c>
    </row>
    <row r="19" spans="2:8" ht="14.45" thickBot="1">
      <c r="B19" s="621"/>
      <c r="C19" s="637">
        <f>DCF!L8</f>
        <v>0.01</v>
      </c>
      <c r="D19" s="729">
        <f ca="1">IFERROR(DCF!AP301/DCF!$Q$211-1,"")</f>
        <v>-0.16147745273092262</v>
      </c>
      <c r="E19" s="729">
        <f ca="1">IFERROR(DCF!AQ301/DCF!$Q$211-1,"")</f>
        <v>-6.2651841820506982E-2</v>
      </c>
      <c r="F19" s="729">
        <f ca="1">IFERROR(DCF!AR301/DCF!$Q$211-1,"")</f>
        <v>5.2684925837832131E-2</v>
      </c>
    </row>
    <row r="22" spans="2:8">
      <c r="B22" s="639" t="s">
        <v>551</v>
      </c>
      <c r="C22" s="34"/>
      <c r="D22" s="34"/>
      <c r="E22" s="34"/>
      <c r="F22" s="34"/>
      <c r="G22" s="34"/>
      <c r="H22" s="34"/>
    </row>
    <row r="26" spans="2:8">
      <c r="E26" s="738"/>
    </row>
    <row r="42" spans="2:2">
      <c r="B42" s="1"/>
    </row>
    <row r="43" spans="2:2">
      <c r="B43" s="1"/>
    </row>
    <row r="44" spans="2:2">
      <c r="B44" s="1"/>
    </row>
    <row r="45" spans="2:2">
      <c r="B45" s="1"/>
    </row>
    <row r="46" spans="2:2">
      <c r="B46" s="1"/>
    </row>
    <row r="47" spans="2:2">
      <c r="B47" s="1"/>
    </row>
    <row r="48" spans="2:2">
      <c r="B48" s="1"/>
    </row>
    <row r="49" spans="2:6">
      <c r="B49" s="1"/>
    </row>
    <row r="50" spans="2:6">
      <c r="B50" s="1"/>
    </row>
    <row r="51" spans="2:6">
      <c r="B51" s="1"/>
    </row>
    <row r="52" spans="2:6">
      <c r="B52" s="1"/>
    </row>
    <row r="53" spans="2:6">
      <c r="B53" s="1"/>
    </row>
    <row r="54" spans="2:6">
      <c r="B54" s="1"/>
    </row>
    <row r="55" spans="2:6">
      <c r="B55" s="1" t="s">
        <v>746</v>
      </c>
      <c r="E55" s="29"/>
      <c r="F55" s="29"/>
    </row>
    <row r="56" spans="2:6" ht="15.6">
      <c r="B56" s="159"/>
      <c r="E56" s="29"/>
      <c r="F56" s="29"/>
    </row>
    <row r="57" spans="2:6" ht="15.6">
      <c r="B57" s="159"/>
      <c r="E57" s="29"/>
      <c r="F57" s="638"/>
    </row>
    <row r="58" spans="2:6" ht="15.6">
      <c r="B58" s="159"/>
      <c r="E58" s="29"/>
      <c r="F58" s="638"/>
    </row>
    <row r="59" spans="2:6" ht="15.6">
      <c r="B59" s="159"/>
    </row>
    <row r="60" spans="2:6" ht="15.6">
      <c r="B60" s="159"/>
    </row>
    <row r="61" spans="2:6" ht="15.6">
      <c r="B61" s="159"/>
    </row>
    <row r="62" spans="2:6" ht="15.6">
      <c r="B62" s="159"/>
    </row>
    <row r="63" spans="2:6" ht="15.6">
      <c r="B63" s="159"/>
    </row>
    <row r="64" spans="2:6" ht="15.6">
      <c r="B64" s="159"/>
    </row>
    <row r="65" spans="2:2" ht="15.6">
      <c r="B65" s="159"/>
    </row>
    <row r="66" spans="2:2" ht="15.6">
      <c r="B66" s="159"/>
    </row>
    <row r="67" spans="2:2" ht="15.6">
      <c r="B67" s="159"/>
    </row>
    <row r="68" spans="2:2" ht="15.6">
      <c r="B68" s="159"/>
    </row>
    <row r="69" spans="2:2" ht="15.6">
      <c r="B69" s="159"/>
    </row>
    <row r="70" spans="2:2" ht="15.6">
      <c r="B70" s="159"/>
    </row>
    <row r="71" spans="2:2" ht="15.6">
      <c r="B71" s="159"/>
    </row>
    <row r="72" spans="2:2" ht="15.6">
      <c r="B72" s="159"/>
    </row>
    <row r="73" spans="2:2" ht="15.6">
      <c r="B73" s="159"/>
    </row>
    <row r="74" spans="2:2" ht="15.6">
      <c r="B74" s="159"/>
    </row>
    <row r="75" spans="2:2" ht="15.6">
      <c r="B75" s="159"/>
    </row>
    <row r="76" spans="2:2" ht="15.6">
      <c r="B76" s="159"/>
    </row>
    <row r="77" spans="2:2" ht="15.6">
      <c r="B77" s="159"/>
    </row>
    <row r="78" spans="2:2" ht="15.6">
      <c r="B78" s="159"/>
    </row>
    <row r="79" spans="2:2" ht="15.6">
      <c r="B79" s="159"/>
    </row>
    <row r="80" spans="2:2" ht="15.6">
      <c r="B80" s="159"/>
    </row>
    <row r="81" spans="2:2" ht="15.6">
      <c r="B81" s="159"/>
    </row>
    <row r="82" spans="2:2" ht="15.6">
      <c r="B82" s="159"/>
    </row>
    <row r="83" spans="2:2" ht="15.6">
      <c r="B83" s="159"/>
    </row>
    <row r="84" spans="2:2" ht="15.6">
      <c r="B84" s="159"/>
    </row>
    <row r="85" spans="2:2" ht="15.6">
      <c r="B85" s="159"/>
    </row>
    <row r="86" spans="2:2" ht="15.6">
      <c r="B86" s="159"/>
    </row>
    <row r="87" spans="2:2" ht="15.6">
      <c r="B87" s="159"/>
    </row>
    <row r="88" spans="2:2" ht="15.6">
      <c r="B88" s="159"/>
    </row>
    <row r="89" spans="2:2" ht="15.6">
      <c r="B89" s="159"/>
    </row>
    <row r="90" spans="2:2" ht="15.6">
      <c r="B90" s="159"/>
    </row>
    <row r="91" spans="2:2" ht="15.6">
      <c r="B91" s="159"/>
    </row>
    <row r="92" spans="2:2" ht="15.6">
      <c r="B92" s="159"/>
    </row>
    <row r="93" spans="2:2" ht="15.6">
      <c r="B93" s="159"/>
    </row>
    <row r="94" spans="2:2" ht="15.6">
      <c r="B94" s="159"/>
    </row>
    <row r="95" spans="2:2" ht="15.6">
      <c r="B95" s="159"/>
    </row>
    <row r="96" spans="2:2" ht="15.6">
      <c r="B96" s="159"/>
    </row>
    <row r="97" spans="2:2" ht="15.6">
      <c r="B97" s="159"/>
    </row>
    <row r="98" spans="2:2" ht="15.6">
      <c r="B98" s="159"/>
    </row>
    <row r="99" spans="2:2" ht="15.6">
      <c r="B99" s="159"/>
    </row>
    <row r="100" spans="2:2" ht="15.6">
      <c r="B100" s="159"/>
    </row>
    <row r="101" spans="2:2" ht="15.6">
      <c r="B101" s="159"/>
    </row>
    <row r="102" spans="2:2" ht="15.6">
      <c r="B102" s="159"/>
    </row>
    <row r="103" spans="2:2" ht="15.6">
      <c r="B103" s="159"/>
    </row>
    <row r="104" spans="2:2" ht="15.6">
      <c r="B104" s="159"/>
    </row>
    <row r="105" spans="2:2" ht="15.6">
      <c r="B105" s="159"/>
    </row>
    <row r="106" spans="2:2" ht="15.6">
      <c r="B106" s="159"/>
    </row>
    <row r="107" spans="2:2" ht="15.6">
      <c r="B107" s="159"/>
    </row>
    <row r="108" spans="2:2" ht="15.6">
      <c r="B108" s="159"/>
    </row>
    <row r="109" spans="2:2" ht="15.6">
      <c r="B109" s="159"/>
    </row>
    <row r="110" spans="2:2" ht="15.6">
      <c r="B110" s="159"/>
    </row>
    <row r="111" spans="2:2" ht="15.6">
      <c r="B111" s="159"/>
    </row>
    <row r="112" spans="2:2" ht="15.6">
      <c r="B112" s="159"/>
    </row>
    <row r="113" spans="2:2" ht="15.6">
      <c r="B113" s="159"/>
    </row>
    <row r="114" spans="2:2" ht="15.6">
      <c r="B114" s="159"/>
    </row>
    <row r="115" spans="2:2" ht="15.6">
      <c r="B115" s="159"/>
    </row>
    <row r="116" spans="2:2" ht="15.6">
      <c r="B116" s="159"/>
    </row>
    <row r="117" spans="2:2" ht="15.6">
      <c r="B117" s="159"/>
    </row>
    <row r="118" spans="2:2" ht="15.6">
      <c r="B118" s="159"/>
    </row>
    <row r="119" spans="2:2" ht="15.6">
      <c r="B119" s="159"/>
    </row>
    <row r="120" spans="2:2" ht="15.6">
      <c r="B120" s="159"/>
    </row>
    <row r="121" spans="2:2" ht="15.6">
      <c r="B121" s="159"/>
    </row>
    <row r="122" spans="2:2" ht="15.6">
      <c r="B122" s="159"/>
    </row>
    <row r="123" spans="2:2" ht="15.6">
      <c r="B123" s="159"/>
    </row>
    <row r="124" spans="2:2" ht="15.6">
      <c r="B124" s="159"/>
    </row>
    <row r="125" spans="2:2" ht="15.6">
      <c r="B125" s="159"/>
    </row>
    <row r="126" spans="2:2" ht="15.6">
      <c r="B126" s="159"/>
    </row>
    <row r="127" spans="2:2" ht="15.6">
      <c r="B127" s="159"/>
    </row>
    <row r="128" spans="2:2" ht="15.6">
      <c r="B128" s="159"/>
    </row>
    <row r="129" spans="2:2" ht="15.6">
      <c r="B129" s="159"/>
    </row>
    <row r="130" spans="2:2" ht="15.6">
      <c r="B130" s="159"/>
    </row>
    <row r="131" spans="2:2" ht="15.6">
      <c r="B131" s="159"/>
    </row>
    <row r="132" spans="2:2" ht="15.6">
      <c r="B132" s="159"/>
    </row>
    <row r="133" spans="2:2" ht="15.6">
      <c r="B133" s="159"/>
    </row>
    <row r="134" spans="2:2" ht="15.6">
      <c r="B134" s="159"/>
    </row>
    <row r="135" spans="2:2" ht="15.6">
      <c r="B135" s="159"/>
    </row>
    <row r="136" spans="2:2" ht="15.6">
      <c r="B136" s="159"/>
    </row>
    <row r="137" spans="2:2" ht="15.6">
      <c r="B137" s="159"/>
    </row>
    <row r="138" spans="2:2" ht="15.6">
      <c r="B138" s="159"/>
    </row>
    <row r="139" spans="2:2" ht="15.6">
      <c r="B139" s="159"/>
    </row>
    <row r="140" spans="2:2" ht="15.6">
      <c r="B140" s="159"/>
    </row>
    <row r="141" spans="2:2" ht="15.6">
      <c r="B141" s="159"/>
    </row>
    <row r="142" spans="2:2" ht="15.6">
      <c r="B142" s="159"/>
    </row>
    <row r="143" spans="2:2" ht="15.6">
      <c r="B143" s="159"/>
    </row>
    <row r="144" spans="2:2" ht="15.6">
      <c r="B144" s="159"/>
    </row>
    <row r="145" spans="2:2" ht="15.6">
      <c r="B145" s="159"/>
    </row>
    <row r="146" spans="2:2" ht="15.6">
      <c r="B146" s="159"/>
    </row>
    <row r="147" spans="2:2" ht="15.6">
      <c r="B147" s="159"/>
    </row>
    <row r="148" spans="2:2" ht="15.6">
      <c r="B148" s="159"/>
    </row>
    <row r="149" spans="2:2" ht="15.6">
      <c r="B149" s="159"/>
    </row>
    <row r="150" spans="2:2" ht="15.6">
      <c r="B150" s="159"/>
    </row>
    <row r="151" spans="2:2" ht="15.6">
      <c r="B151" s="159"/>
    </row>
    <row r="152" spans="2:2" ht="15.6">
      <c r="B152" s="159"/>
    </row>
    <row r="153" spans="2:2" ht="15.6">
      <c r="B153" s="159"/>
    </row>
    <row r="154" spans="2:2" ht="15.6">
      <c r="B154" s="159"/>
    </row>
    <row r="155" spans="2:2" ht="15.6">
      <c r="B155" s="159"/>
    </row>
    <row r="156" spans="2:2" ht="15.6">
      <c r="B156" s="159"/>
    </row>
    <row r="157" spans="2:2" ht="15.6">
      <c r="B157" s="159"/>
    </row>
    <row r="158" spans="2:2" ht="15.6">
      <c r="B158" s="159"/>
    </row>
    <row r="159" spans="2:2" ht="15.6">
      <c r="B159" s="159"/>
    </row>
    <row r="160" spans="2:2" ht="15.6">
      <c r="B160" s="159"/>
    </row>
    <row r="161" spans="2:2" ht="15.6">
      <c r="B161" s="159"/>
    </row>
    <row r="162" spans="2:2" ht="15.6">
      <c r="B162" s="159"/>
    </row>
    <row r="163" spans="2:2" ht="15.6">
      <c r="B163" s="159"/>
    </row>
    <row r="164" spans="2:2" ht="15.6">
      <c r="B164" s="159"/>
    </row>
    <row r="165" spans="2:2" ht="15.6">
      <c r="B165" s="159"/>
    </row>
    <row r="166" spans="2:2" ht="15.6">
      <c r="B166" s="159"/>
    </row>
    <row r="167" spans="2:2" ht="15.6">
      <c r="B167" s="159"/>
    </row>
    <row r="168" spans="2:2" ht="15.6">
      <c r="B168" s="159"/>
    </row>
    <row r="169" spans="2:2" ht="15.6">
      <c r="B169" s="159"/>
    </row>
    <row r="170" spans="2:2" ht="15.6">
      <c r="B170" s="159"/>
    </row>
    <row r="171" spans="2:2" ht="15.6">
      <c r="B171" s="159"/>
    </row>
    <row r="172" spans="2:2" ht="15.6">
      <c r="B172" s="159"/>
    </row>
    <row r="173" spans="2:2" ht="15.6">
      <c r="B173" s="159"/>
    </row>
    <row r="174" spans="2:2" ht="15.6">
      <c r="B174" s="159"/>
    </row>
    <row r="175" spans="2:2" ht="15.6">
      <c r="B175" s="159"/>
    </row>
    <row r="176" spans="2:2" ht="15.6">
      <c r="B176" s="159"/>
    </row>
    <row r="177" spans="2:2" ht="15.6">
      <c r="B177" s="159"/>
    </row>
    <row r="178" spans="2:2" ht="15.6">
      <c r="B178" s="159"/>
    </row>
    <row r="179" spans="2:2" ht="15.6">
      <c r="B179" s="159"/>
    </row>
    <row r="180" spans="2:2" ht="15.6">
      <c r="B180" s="159"/>
    </row>
    <row r="181" spans="2:2" ht="15.6">
      <c r="B181" s="159"/>
    </row>
    <row r="182" spans="2:2" ht="15.6">
      <c r="B182" s="159"/>
    </row>
    <row r="183" spans="2:2" ht="15.6">
      <c r="B183" s="159"/>
    </row>
    <row r="184" spans="2:2" ht="15.6">
      <c r="B184" s="159"/>
    </row>
    <row r="185" spans="2:2" ht="15.6">
      <c r="B185" s="159"/>
    </row>
    <row r="186" spans="2:2" ht="15.6">
      <c r="B186" s="159"/>
    </row>
    <row r="187" spans="2:2" ht="15.6">
      <c r="B187" s="159"/>
    </row>
    <row r="188" spans="2:2" ht="15.6">
      <c r="B188" s="159"/>
    </row>
    <row r="189" spans="2:2" ht="15.6">
      <c r="B189" s="159"/>
    </row>
    <row r="190" spans="2:2" ht="15.6">
      <c r="B190" s="159"/>
    </row>
    <row r="191" spans="2:2" ht="15.6">
      <c r="B191" s="159"/>
    </row>
    <row r="192" spans="2:2" ht="15.6">
      <c r="B192" s="159"/>
    </row>
    <row r="193" spans="2:2" ht="15.6">
      <c r="B193" s="159"/>
    </row>
    <row r="194" spans="2:2" ht="15.6">
      <c r="B194" s="159"/>
    </row>
    <row r="195" spans="2:2" ht="15.6">
      <c r="B195" s="159"/>
    </row>
    <row r="196" spans="2:2" ht="15.6">
      <c r="B196" s="159"/>
    </row>
    <row r="197" spans="2:2" ht="15.6">
      <c r="B197" s="159"/>
    </row>
    <row r="198" spans="2:2" ht="15.6">
      <c r="B198" s="159"/>
    </row>
    <row r="199" spans="2:2" ht="15.6">
      <c r="B199" s="159"/>
    </row>
    <row r="200" spans="2:2" ht="15.6">
      <c r="B200" s="159"/>
    </row>
    <row r="201" spans="2:2" ht="15.6">
      <c r="B201" s="159"/>
    </row>
    <row r="202" spans="2:2" ht="15.6">
      <c r="B202" s="159"/>
    </row>
    <row r="203" spans="2:2" ht="15.6">
      <c r="B203" s="159"/>
    </row>
    <row r="204" spans="2:2" ht="15.6">
      <c r="B204" s="159"/>
    </row>
    <row r="205" spans="2:2" ht="15.6">
      <c r="B205" s="159"/>
    </row>
    <row r="206" spans="2:2" ht="15.6">
      <c r="B206" s="159"/>
    </row>
    <row r="207" spans="2:2" ht="15.6">
      <c r="B207" s="159"/>
    </row>
    <row r="208" spans="2:2" ht="15.6">
      <c r="B208" s="159"/>
    </row>
    <row r="209" spans="2:2" ht="15.6">
      <c r="B209" s="159"/>
    </row>
    <row r="210" spans="2:2" ht="15.6">
      <c r="B210" s="159"/>
    </row>
    <row r="211" spans="2:2" ht="15.6">
      <c r="B211" s="159"/>
    </row>
    <row r="212" spans="2:2" ht="15.6">
      <c r="B212" s="159"/>
    </row>
    <row r="213" spans="2:2" ht="15.6">
      <c r="B213" s="159"/>
    </row>
    <row r="214" spans="2:2" ht="15.6">
      <c r="B214" s="159"/>
    </row>
    <row r="215" spans="2:2" ht="15.6">
      <c r="B215" s="159"/>
    </row>
    <row r="216" spans="2:2" ht="15.6">
      <c r="B216" s="159"/>
    </row>
    <row r="217" spans="2:2" ht="15.6">
      <c r="B217" s="159"/>
    </row>
    <row r="218" spans="2:2" ht="15.6">
      <c r="B218" s="159"/>
    </row>
    <row r="219" spans="2:2" ht="15.6">
      <c r="B219" s="159"/>
    </row>
    <row r="220" spans="2:2" ht="15.6">
      <c r="B220" s="159"/>
    </row>
    <row r="221" spans="2:2" ht="15.6">
      <c r="B221" s="159"/>
    </row>
    <row r="222" spans="2:2" ht="15.6">
      <c r="B222" s="159"/>
    </row>
    <row r="223" spans="2:2" ht="15.6">
      <c r="B223" s="159"/>
    </row>
    <row r="224" spans="2:2" ht="15.6">
      <c r="B224" s="159"/>
    </row>
    <row r="225" spans="2:2" ht="15.6">
      <c r="B225" s="159"/>
    </row>
    <row r="226" spans="2:2" ht="15.6">
      <c r="B226" s="159"/>
    </row>
    <row r="227" spans="2:2" ht="15.6">
      <c r="B227" s="159"/>
    </row>
    <row r="228" spans="2:2" ht="15.6">
      <c r="B228" s="159"/>
    </row>
    <row r="229" spans="2:2" ht="15.6">
      <c r="B229" s="159"/>
    </row>
    <row r="230" spans="2:2" ht="15.6">
      <c r="B230" s="159"/>
    </row>
    <row r="231" spans="2:2" ht="15.6">
      <c r="B231" s="159"/>
    </row>
    <row r="232" spans="2:2" ht="15.6">
      <c r="B232" s="159"/>
    </row>
    <row r="233" spans="2:2" ht="15.6">
      <c r="B233" s="159"/>
    </row>
    <row r="234" spans="2:2" ht="15.6">
      <c r="B234" s="159"/>
    </row>
    <row r="235" spans="2:2" ht="15.6">
      <c r="B235" s="159"/>
    </row>
    <row r="236" spans="2:2" ht="15.6">
      <c r="B236" s="159"/>
    </row>
    <row r="237" spans="2:2" ht="15.6">
      <c r="B237" s="159"/>
    </row>
    <row r="238" spans="2:2" ht="15.6">
      <c r="B238" s="159"/>
    </row>
    <row r="239" spans="2:2" ht="15.6">
      <c r="B239" s="159"/>
    </row>
    <row r="240" spans="2:2" ht="15.6">
      <c r="B240" s="159"/>
    </row>
    <row r="241" spans="2:2" ht="15.6">
      <c r="B241" s="159"/>
    </row>
    <row r="242" spans="2:2" ht="15.6">
      <c r="B242" s="159"/>
    </row>
    <row r="243" spans="2:2" ht="15.6">
      <c r="B243" s="159"/>
    </row>
    <row r="244" spans="2:2" ht="15.6">
      <c r="B244" s="159"/>
    </row>
    <row r="245" spans="2:2" ht="15.6">
      <c r="B245" s="159"/>
    </row>
    <row r="246" spans="2:2" ht="15.6">
      <c r="B246" s="159"/>
    </row>
    <row r="247" spans="2:2" ht="15.6">
      <c r="B247" s="159"/>
    </row>
    <row r="248" spans="2:2" ht="15.6">
      <c r="B248" s="159"/>
    </row>
    <row r="249" spans="2:2" ht="15.6">
      <c r="B249" s="159"/>
    </row>
    <row r="250" spans="2:2" ht="15.6">
      <c r="B250" s="159"/>
    </row>
    <row r="251" spans="2:2" ht="15.6">
      <c r="B251" s="159"/>
    </row>
    <row r="252" spans="2:2" ht="15.6">
      <c r="B252" s="159"/>
    </row>
    <row r="253" spans="2:2" ht="15.6">
      <c r="B253" s="159"/>
    </row>
    <row r="254" spans="2:2" ht="15.6">
      <c r="B254" s="159"/>
    </row>
    <row r="255" spans="2:2" ht="15.6">
      <c r="B255" s="159"/>
    </row>
    <row r="256" spans="2:2" ht="15.6">
      <c r="B256" s="159"/>
    </row>
    <row r="257" spans="2:2" ht="15.6">
      <c r="B257" s="159"/>
    </row>
    <row r="258" spans="2:2" ht="15.6">
      <c r="B258" s="159"/>
    </row>
    <row r="259" spans="2:2" ht="15.6">
      <c r="B259" s="159"/>
    </row>
    <row r="260" spans="2:2" ht="15.6">
      <c r="B260" s="159"/>
    </row>
    <row r="261" spans="2:2" ht="15.6">
      <c r="B261" s="159"/>
    </row>
    <row r="262" spans="2:2" ht="15.6">
      <c r="B262" s="159"/>
    </row>
    <row r="263" spans="2:2" ht="15.6">
      <c r="B263" s="159"/>
    </row>
    <row r="264" spans="2:2" ht="15.6">
      <c r="B264" s="159"/>
    </row>
    <row r="265" spans="2:2" ht="15.6">
      <c r="B265" s="159"/>
    </row>
    <row r="266" spans="2:2" ht="15.6">
      <c r="B266" s="159"/>
    </row>
    <row r="267" spans="2:2" ht="15.6">
      <c r="B267" s="159"/>
    </row>
    <row r="268" spans="2:2" ht="15.6">
      <c r="B268" s="159"/>
    </row>
    <row r="269" spans="2:2" ht="15.6">
      <c r="B269" s="159"/>
    </row>
    <row r="270" spans="2:2" ht="15.6">
      <c r="B270" s="159"/>
    </row>
    <row r="271" spans="2:2" ht="15.6">
      <c r="B271" s="159"/>
    </row>
    <row r="272" spans="2:2" ht="15.6">
      <c r="B272" s="159"/>
    </row>
    <row r="273" spans="2:2" ht="15.6">
      <c r="B273" s="159"/>
    </row>
    <row r="274" spans="2:2" ht="15.6">
      <c r="B274" s="159"/>
    </row>
    <row r="275" spans="2:2" ht="15.6">
      <c r="B275" s="159"/>
    </row>
    <row r="276" spans="2:2" ht="15.6">
      <c r="B276" s="159"/>
    </row>
    <row r="277" spans="2:2" ht="15.6">
      <c r="B277" s="159"/>
    </row>
    <row r="278" spans="2:2" ht="15.6">
      <c r="B278" s="159"/>
    </row>
    <row r="279" spans="2:2" ht="15.6">
      <c r="B279" s="159"/>
    </row>
    <row r="280" spans="2:2" ht="15.6">
      <c r="B280" s="159"/>
    </row>
    <row r="281" spans="2:2" ht="15.6">
      <c r="B281" s="159"/>
    </row>
    <row r="282" spans="2:2" ht="15.6">
      <c r="B282" s="159"/>
    </row>
    <row r="283" spans="2:2" ht="15.6">
      <c r="B283" s="159"/>
    </row>
    <row r="284" spans="2:2" ht="15.6">
      <c r="B284" s="159"/>
    </row>
    <row r="285" spans="2:2" ht="15.6">
      <c r="B285" s="159"/>
    </row>
    <row r="286" spans="2:2" ht="15.6">
      <c r="B286" s="159"/>
    </row>
    <row r="287" spans="2:2" ht="15.6">
      <c r="B287" s="159"/>
    </row>
    <row r="288" spans="2:2" ht="15.6">
      <c r="B288" s="159"/>
    </row>
    <row r="289" spans="2:2" ht="15.6">
      <c r="B289" s="159"/>
    </row>
    <row r="290" spans="2:2" ht="15.6">
      <c r="B290" s="159"/>
    </row>
    <row r="291" spans="2:2" ht="15.6">
      <c r="B291" s="159"/>
    </row>
    <row r="292" spans="2:2" ht="15.6">
      <c r="B292" s="159"/>
    </row>
    <row r="293" spans="2:2" ht="15.6">
      <c r="B293" s="159"/>
    </row>
    <row r="294" spans="2:2" ht="15.6">
      <c r="B294" s="159"/>
    </row>
    <row r="295" spans="2:2" ht="15.6">
      <c r="B295" s="159"/>
    </row>
    <row r="296" spans="2:2" ht="15.6">
      <c r="B296" s="159"/>
    </row>
    <row r="297" spans="2:2" ht="15.6">
      <c r="B297" s="159"/>
    </row>
    <row r="298" spans="2:2" ht="15.6">
      <c r="B298" s="159"/>
    </row>
    <row r="299" spans="2:2" ht="15.6">
      <c r="B299" s="159"/>
    </row>
    <row r="300" spans="2:2" ht="15.6">
      <c r="B300" s="159"/>
    </row>
    <row r="301" spans="2:2" ht="15.6">
      <c r="B301" s="159"/>
    </row>
    <row r="302" spans="2:2" ht="15.6">
      <c r="B302" s="159"/>
    </row>
    <row r="303" spans="2:2" ht="15.6">
      <c r="B303" s="159"/>
    </row>
    <row r="304" spans="2:2" ht="15.6">
      <c r="B304" s="159"/>
    </row>
    <row r="305" spans="2:2" ht="15.6">
      <c r="B305" s="159"/>
    </row>
    <row r="306" spans="2:2" ht="15.6">
      <c r="B306" s="159"/>
    </row>
    <row r="307" spans="2:2" ht="15.6">
      <c r="B307" s="159"/>
    </row>
    <row r="308" spans="2:2" ht="15.6">
      <c r="B308" s="159"/>
    </row>
    <row r="309" spans="2:2" ht="15.6">
      <c r="B309" s="159"/>
    </row>
    <row r="310" spans="2:2" ht="15.6">
      <c r="B310" s="159"/>
    </row>
    <row r="311" spans="2:2" ht="15.6">
      <c r="B311" s="159"/>
    </row>
    <row r="312" spans="2:2" ht="15.6">
      <c r="B312" s="159"/>
    </row>
    <row r="313" spans="2:2" ht="15.6">
      <c r="B313" s="159"/>
    </row>
    <row r="314" spans="2:2" ht="15.6">
      <c r="B314" s="159"/>
    </row>
    <row r="315" spans="2:2" ht="15.6">
      <c r="B315" s="159"/>
    </row>
    <row r="316" spans="2:2" ht="15.6">
      <c r="B316" s="159"/>
    </row>
    <row r="317" spans="2:2" ht="15.6">
      <c r="B317" s="159"/>
    </row>
    <row r="318" spans="2:2" ht="15.6">
      <c r="B318" s="159"/>
    </row>
    <row r="319" spans="2:2" ht="15.6">
      <c r="B319" s="159"/>
    </row>
    <row r="320" spans="2:2" ht="15.6">
      <c r="B320" s="159"/>
    </row>
    <row r="321" spans="2:2" ht="15.6">
      <c r="B321" s="159"/>
    </row>
    <row r="322" spans="2:2" ht="15.6">
      <c r="B322" s="159"/>
    </row>
    <row r="323" spans="2:2" ht="15.6">
      <c r="B323" s="159"/>
    </row>
    <row r="324" spans="2:2" ht="15.6">
      <c r="B324" s="159"/>
    </row>
    <row r="325" spans="2:2" ht="15.6">
      <c r="B325" s="159"/>
    </row>
    <row r="326" spans="2:2" ht="15.6">
      <c r="B326" s="159"/>
    </row>
    <row r="327" spans="2:2" ht="15.6">
      <c r="B327" s="159"/>
    </row>
    <row r="328" spans="2:2" ht="15.6">
      <c r="B328" s="159"/>
    </row>
    <row r="329" spans="2:2" ht="15.6">
      <c r="B329" s="159"/>
    </row>
    <row r="330" spans="2:2" ht="15.6">
      <c r="B330" s="159"/>
    </row>
    <row r="331" spans="2:2" ht="15.6">
      <c r="B331" s="159"/>
    </row>
    <row r="332" spans="2:2" ht="15.6">
      <c r="B332" s="159"/>
    </row>
    <row r="333" spans="2:2" ht="15.6">
      <c r="B333" s="159"/>
    </row>
    <row r="334" spans="2:2" ht="15.6">
      <c r="B334" s="159"/>
    </row>
    <row r="335" spans="2:2" ht="15.6">
      <c r="B335" s="159"/>
    </row>
    <row r="336" spans="2:2" ht="15.6">
      <c r="B336" s="159"/>
    </row>
    <row r="337" spans="2:2" ht="15.6">
      <c r="B337" s="159"/>
    </row>
    <row r="338" spans="2:2" ht="15.6">
      <c r="B338" s="159"/>
    </row>
    <row r="339" spans="2:2" ht="15.6">
      <c r="B339" s="159"/>
    </row>
    <row r="340" spans="2:2" ht="15.6">
      <c r="B340" s="159"/>
    </row>
    <row r="341" spans="2:2" ht="15.6">
      <c r="B341" s="159"/>
    </row>
    <row r="342" spans="2:2" ht="15.6">
      <c r="B342" s="159"/>
    </row>
    <row r="343" spans="2:2" ht="15.6">
      <c r="B343" s="159"/>
    </row>
    <row r="344" spans="2:2" ht="15.6">
      <c r="B344" s="159"/>
    </row>
    <row r="345" spans="2:2" ht="15.6">
      <c r="B345" s="159"/>
    </row>
    <row r="346" spans="2:2" ht="15.6">
      <c r="B346" s="159"/>
    </row>
    <row r="347" spans="2:2" ht="15.6">
      <c r="B347" s="159"/>
    </row>
    <row r="348" spans="2:2" ht="15.6">
      <c r="B348" s="159"/>
    </row>
    <row r="349" spans="2:2" ht="15.6">
      <c r="B349" s="159"/>
    </row>
    <row r="350" spans="2:2" ht="15.6">
      <c r="B350" s="159"/>
    </row>
    <row r="351" spans="2:2" ht="15.6">
      <c r="B351" s="159"/>
    </row>
    <row r="352" spans="2:2" ht="15.6">
      <c r="B352" s="159"/>
    </row>
    <row r="353" spans="2:2" ht="15.6">
      <c r="B353" s="159"/>
    </row>
    <row r="354" spans="2:2" ht="15.6">
      <c r="B354" s="159"/>
    </row>
    <row r="355" spans="2:2" ht="15.6">
      <c r="B355" s="159"/>
    </row>
    <row r="356" spans="2:2" ht="15.6">
      <c r="B356" s="159"/>
    </row>
    <row r="357" spans="2:2" ht="15.6">
      <c r="B357" s="159"/>
    </row>
    <row r="358" spans="2:2" ht="15.6">
      <c r="B358" s="159"/>
    </row>
    <row r="359" spans="2:2" ht="15.6">
      <c r="B359" s="159"/>
    </row>
    <row r="360" spans="2:2" ht="15.6">
      <c r="B360" s="159"/>
    </row>
    <row r="361" spans="2:2" ht="15.6">
      <c r="B361" s="159"/>
    </row>
    <row r="362" spans="2:2" ht="15.6">
      <c r="B362" s="159"/>
    </row>
    <row r="363" spans="2:2" ht="15.6">
      <c r="B363" s="159"/>
    </row>
    <row r="364" spans="2:2" ht="15.6">
      <c r="B364" s="159"/>
    </row>
    <row r="365" spans="2:2" ht="15.6">
      <c r="B365" s="159"/>
    </row>
    <row r="366" spans="2:2" ht="15.6">
      <c r="B366" s="159"/>
    </row>
    <row r="367" spans="2:2" ht="15.6">
      <c r="B367" s="159"/>
    </row>
    <row r="368" spans="2:2" ht="15.6">
      <c r="B368" s="159"/>
    </row>
    <row r="369" spans="2:2" ht="15.6">
      <c r="B369" s="159"/>
    </row>
    <row r="370" spans="2:2" ht="15.6">
      <c r="B370" s="159"/>
    </row>
    <row r="371" spans="2:2" ht="15.6">
      <c r="B371" s="159"/>
    </row>
    <row r="372" spans="2:2" ht="15.6">
      <c r="B372" s="159"/>
    </row>
    <row r="373" spans="2:2" ht="15.6">
      <c r="B373" s="159"/>
    </row>
    <row r="374" spans="2:2" ht="15.6">
      <c r="B374" s="159"/>
    </row>
    <row r="375" spans="2:2" ht="15.6">
      <c r="B375" s="159"/>
    </row>
    <row r="376" spans="2:2" ht="15.6">
      <c r="B376" s="159"/>
    </row>
    <row r="377" spans="2:2" ht="15.6">
      <c r="B377" s="159"/>
    </row>
    <row r="378" spans="2:2" ht="15.6">
      <c r="B378" s="159"/>
    </row>
    <row r="379" spans="2:2" ht="15.6">
      <c r="B379" s="159"/>
    </row>
    <row r="380" spans="2:2" ht="15.6">
      <c r="B380" s="159"/>
    </row>
    <row r="381" spans="2:2" ht="15.6">
      <c r="B381" s="159"/>
    </row>
    <row r="382" spans="2:2" ht="15.6">
      <c r="B382" s="159"/>
    </row>
    <row r="383" spans="2:2" ht="15.6">
      <c r="B383" s="159"/>
    </row>
    <row r="384" spans="2:2" ht="15.6">
      <c r="B384" s="159"/>
    </row>
    <row r="385" spans="2:2" ht="15.6">
      <c r="B385" s="159"/>
    </row>
    <row r="386" spans="2:2" ht="15.6">
      <c r="B386" s="159"/>
    </row>
    <row r="387" spans="2:2" ht="15.6">
      <c r="B387" s="159"/>
    </row>
    <row r="388" spans="2:2" ht="15.6">
      <c r="B388" s="159"/>
    </row>
    <row r="389" spans="2:2" ht="15.6">
      <c r="B389" s="159"/>
    </row>
    <row r="390" spans="2:2" ht="15.6">
      <c r="B390" s="159"/>
    </row>
    <row r="391" spans="2:2" ht="15.6">
      <c r="B391" s="159"/>
    </row>
    <row r="392" spans="2:2" ht="15.6">
      <c r="B392" s="159"/>
    </row>
    <row r="393" spans="2:2" ht="15.6">
      <c r="B393" s="159"/>
    </row>
    <row r="394" spans="2:2" ht="15.6">
      <c r="B394" s="159"/>
    </row>
    <row r="395" spans="2:2" ht="15.6">
      <c r="B395" s="159"/>
    </row>
    <row r="396" spans="2:2" ht="15.6">
      <c r="B396" s="159"/>
    </row>
    <row r="397" spans="2:2" ht="15.6">
      <c r="B397" s="159"/>
    </row>
    <row r="398" spans="2:2" ht="15.6">
      <c r="B398" s="159"/>
    </row>
    <row r="399" spans="2:2" ht="15.6">
      <c r="B399" s="159"/>
    </row>
    <row r="400" spans="2:2" ht="15.6">
      <c r="B400" s="159"/>
    </row>
    <row r="401" spans="2:2" ht="15.6">
      <c r="B401" s="159"/>
    </row>
    <row r="402" spans="2:2" ht="15.6">
      <c r="B402" s="159"/>
    </row>
    <row r="403" spans="2:2" ht="15.6">
      <c r="B403" s="159"/>
    </row>
    <row r="404" spans="2:2" ht="15.6">
      <c r="B404" s="159"/>
    </row>
    <row r="405" spans="2:2" ht="15.6">
      <c r="B405" s="159"/>
    </row>
    <row r="406" spans="2:2" ht="15.6">
      <c r="B406" s="159"/>
    </row>
    <row r="407" spans="2:2" ht="15.6">
      <c r="B407" s="159"/>
    </row>
    <row r="408" spans="2:2" ht="15.6">
      <c r="B408" s="159"/>
    </row>
    <row r="409" spans="2:2" ht="15.6">
      <c r="B409" s="159"/>
    </row>
    <row r="410" spans="2:2" ht="15.6">
      <c r="B410" s="159"/>
    </row>
    <row r="411" spans="2:2" ht="15.6">
      <c r="B411" s="159"/>
    </row>
    <row r="412" spans="2:2" ht="15.6">
      <c r="B412" s="159"/>
    </row>
    <row r="413" spans="2:2" ht="15.6">
      <c r="B413" s="159"/>
    </row>
    <row r="414" spans="2:2" ht="15.6">
      <c r="B414" s="159"/>
    </row>
    <row r="415" spans="2:2" ht="15.6">
      <c r="B415" s="159"/>
    </row>
    <row r="416" spans="2:2" ht="15.6">
      <c r="B416" s="159"/>
    </row>
    <row r="417" spans="2:2" ht="15.6">
      <c r="B417" s="159"/>
    </row>
    <row r="418" spans="2:2" ht="15.6">
      <c r="B418" s="159"/>
    </row>
    <row r="419" spans="2:2" ht="15.6">
      <c r="B419" s="159"/>
    </row>
    <row r="420" spans="2:2" ht="15.6">
      <c r="B420" s="159"/>
    </row>
    <row r="421" spans="2:2" ht="15.6">
      <c r="B421" s="159"/>
    </row>
    <row r="422" spans="2:2" ht="15.6">
      <c r="B422" s="159"/>
    </row>
    <row r="423" spans="2:2" ht="15.6">
      <c r="B423" s="159"/>
    </row>
    <row r="424" spans="2:2" ht="15.6">
      <c r="B424" s="159"/>
    </row>
    <row r="425" spans="2:2" ht="15.6">
      <c r="B425" s="159"/>
    </row>
    <row r="426" spans="2:2" ht="15.6">
      <c r="B426" s="159"/>
    </row>
    <row r="427" spans="2:2" ht="15.6">
      <c r="B427" s="159"/>
    </row>
    <row r="428" spans="2:2" ht="15.6">
      <c r="B428" s="159"/>
    </row>
    <row r="429" spans="2:2" ht="15.6">
      <c r="B429" s="159"/>
    </row>
    <row r="430" spans="2:2" ht="15.6">
      <c r="B430" s="159"/>
    </row>
    <row r="431" spans="2:2" ht="15.6">
      <c r="B431" s="159"/>
    </row>
    <row r="432" spans="2:2" ht="15.6">
      <c r="B432" s="159"/>
    </row>
    <row r="433" spans="2:2" ht="15.6">
      <c r="B433" s="159"/>
    </row>
    <row r="434" spans="2:2" ht="15.6">
      <c r="B434" s="159"/>
    </row>
    <row r="435" spans="2:2" ht="15.6">
      <c r="B435" s="159"/>
    </row>
    <row r="436" spans="2:2" ht="15.6">
      <c r="B436" s="159"/>
    </row>
    <row r="437" spans="2:2" ht="15.6">
      <c r="B437" s="159"/>
    </row>
    <row r="438" spans="2:2" ht="15.6">
      <c r="B438" s="159"/>
    </row>
    <row r="439" spans="2:2" ht="15.6">
      <c r="B439" s="159"/>
    </row>
    <row r="440" spans="2:2" ht="15.6">
      <c r="B440" s="159"/>
    </row>
    <row r="441" spans="2:2" ht="15.6">
      <c r="B441" s="159"/>
    </row>
    <row r="442" spans="2:2" ht="15.6">
      <c r="B442" s="159"/>
    </row>
    <row r="443" spans="2:2" ht="15.6">
      <c r="B443" s="159"/>
    </row>
    <row r="444" spans="2:2" ht="15.6">
      <c r="B444" s="159"/>
    </row>
    <row r="445" spans="2:2" ht="15.6">
      <c r="B445" s="159"/>
    </row>
    <row r="446" spans="2:2" ht="15.6">
      <c r="B446" s="159"/>
    </row>
    <row r="447" spans="2:2" ht="15.6">
      <c r="B447" s="159"/>
    </row>
    <row r="448" spans="2:2" ht="15.6">
      <c r="B448" s="159"/>
    </row>
    <row r="449" spans="2:2" ht="15.6">
      <c r="B449" s="159"/>
    </row>
    <row r="450" spans="2:2" ht="15.6">
      <c r="B450" s="159"/>
    </row>
    <row r="451" spans="2:2" ht="15.6">
      <c r="B451" s="159"/>
    </row>
    <row r="452" spans="2:2" ht="15.6">
      <c r="B452" s="159"/>
    </row>
    <row r="453" spans="2:2" ht="15.6">
      <c r="B453" s="159"/>
    </row>
    <row r="454" spans="2:2" ht="15.6">
      <c r="B454" s="159"/>
    </row>
    <row r="455" spans="2:2" ht="15.6">
      <c r="B455" s="159"/>
    </row>
    <row r="456" spans="2:2" ht="15.6">
      <c r="B456" s="159"/>
    </row>
    <row r="457" spans="2:2" ht="15.6">
      <c r="B457" s="159"/>
    </row>
    <row r="458" spans="2:2" ht="15.6">
      <c r="B458" s="159"/>
    </row>
    <row r="459" spans="2:2" ht="15.6">
      <c r="B459" s="159"/>
    </row>
    <row r="460" spans="2:2" ht="15.6">
      <c r="B460" s="159"/>
    </row>
    <row r="461" spans="2:2" ht="15.6">
      <c r="B461" s="159"/>
    </row>
    <row r="462" spans="2:2" ht="15.6">
      <c r="B462" s="159"/>
    </row>
    <row r="463" spans="2:2" ht="15.6">
      <c r="B463" s="159"/>
    </row>
    <row r="464" spans="2:2" ht="15.6">
      <c r="B464" s="159"/>
    </row>
    <row r="465" spans="2:2" ht="15.6">
      <c r="B465" s="159"/>
    </row>
    <row r="466" spans="2:2" ht="15.6">
      <c r="B466" s="159"/>
    </row>
    <row r="467" spans="2:2" ht="15.6">
      <c r="B467" s="159"/>
    </row>
    <row r="468" spans="2:2" ht="15.6">
      <c r="B468" s="159"/>
    </row>
    <row r="469" spans="2:2" ht="15.6">
      <c r="B469" s="159"/>
    </row>
    <row r="470" spans="2:2" ht="15.6">
      <c r="B470" s="159"/>
    </row>
    <row r="471" spans="2:2" ht="15.6">
      <c r="B471" s="159"/>
    </row>
    <row r="472" spans="2:2" ht="15.6">
      <c r="B472" s="159"/>
    </row>
    <row r="473" spans="2:2" ht="15.6">
      <c r="B473" s="159"/>
    </row>
    <row r="474" spans="2:2" ht="15.6">
      <c r="B474" s="159"/>
    </row>
    <row r="475" spans="2:2" ht="15.6">
      <c r="B475" s="159"/>
    </row>
    <row r="476" spans="2:2" ht="15.6">
      <c r="B476" s="159"/>
    </row>
    <row r="477" spans="2:2" ht="15.6">
      <c r="B477" s="159"/>
    </row>
    <row r="478" spans="2:2" ht="15.6">
      <c r="B478" s="159"/>
    </row>
    <row r="479" spans="2:2" ht="15.6">
      <c r="B479" s="159"/>
    </row>
    <row r="480" spans="2:2" ht="15.6">
      <c r="B480" s="159"/>
    </row>
    <row r="481" spans="2:2" ht="15.6">
      <c r="B481" s="159"/>
    </row>
    <row r="482" spans="2:2" ht="15.6">
      <c r="B482" s="159"/>
    </row>
    <row r="483" spans="2:2" ht="15.6">
      <c r="B483" s="159"/>
    </row>
    <row r="484" spans="2:2" ht="15.6">
      <c r="B484" s="159"/>
    </row>
    <row r="485" spans="2:2" ht="15.6">
      <c r="B485" s="159"/>
    </row>
    <row r="486" spans="2:2" ht="15.6">
      <c r="B486" s="159"/>
    </row>
    <row r="487" spans="2:2" ht="15.6">
      <c r="B487" s="159"/>
    </row>
    <row r="488" spans="2:2" ht="15.6">
      <c r="B488" s="159"/>
    </row>
    <row r="489" spans="2:2" ht="15.6">
      <c r="B489" s="159"/>
    </row>
    <row r="490" spans="2:2" ht="15.6">
      <c r="B490" s="159"/>
    </row>
    <row r="491" spans="2:2" ht="15.6">
      <c r="B491" s="159"/>
    </row>
    <row r="492" spans="2:2" ht="15.6">
      <c r="B492" s="159"/>
    </row>
    <row r="493" spans="2:2" ht="15.6">
      <c r="B493" s="159"/>
    </row>
    <row r="494" spans="2:2" ht="15.6">
      <c r="B494" s="159"/>
    </row>
    <row r="495" spans="2:2" ht="15.6">
      <c r="B495" s="159"/>
    </row>
    <row r="496" spans="2:2" ht="15.6">
      <c r="B496" s="159"/>
    </row>
    <row r="497" spans="2:2" ht="15.6">
      <c r="B497" s="159"/>
    </row>
    <row r="498" spans="2:2" ht="15.6">
      <c r="B498" s="159"/>
    </row>
    <row r="499" spans="2:2" ht="15.6">
      <c r="B499" s="159"/>
    </row>
    <row r="500" spans="2:2" ht="15.6">
      <c r="B500" s="159"/>
    </row>
    <row r="501" spans="2:2" ht="15.6">
      <c r="B501" s="159"/>
    </row>
    <row r="502" spans="2:2" ht="15.6">
      <c r="B502" s="159"/>
    </row>
    <row r="503" spans="2:2" ht="15.6">
      <c r="B503" s="159"/>
    </row>
    <row r="504" spans="2:2" ht="15.6">
      <c r="B504" s="159"/>
    </row>
    <row r="505" spans="2:2" ht="15.6">
      <c r="B505" s="159"/>
    </row>
    <row r="506" spans="2:2" ht="15.6">
      <c r="B506" s="159"/>
    </row>
    <row r="507" spans="2:2" ht="15.6">
      <c r="B507" s="159"/>
    </row>
    <row r="508" spans="2:2" ht="15.6">
      <c r="B508" s="159"/>
    </row>
    <row r="509" spans="2:2" ht="15.6">
      <c r="B509" s="159"/>
    </row>
    <row r="510" spans="2:2" ht="15.6">
      <c r="B510" s="159"/>
    </row>
    <row r="511" spans="2:2" ht="15.6">
      <c r="B511" s="159"/>
    </row>
    <row r="512" spans="2:2" ht="15.6">
      <c r="B512" s="159"/>
    </row>
    <row r="513" spans="2:2" ht="15.6">
      <c r="B513" s="159"/>
    </row>
    <row r="514" spans="2:2" ht="15.6">
      <c r="B514" s="159"/>
    </row>
    <row r="515" spans="2:2" ht="15.6">
      <c r="B515" s="159"/>
    </row>
    <row r="516" spans="2:2" ht="15.6">
      <c r="B516" s="159"/>
    </row>
    <row r="517" spans="2:2" ht="15.6">
      <c r="B517" s="159"/>
    </row>
    <row r="518" spans="2:2" ht="15.6">
      <c r="B518" s="159"/>
    </row>
    <row r="519" spans="2:2" ht="15.6">
      <c r="B519" s="159"/>
    </row>
    <row r="520" spans="2:2" ht="15.6">
      <c r="B520" s="159"/>
    </row>
    <row r="521" spans="2:2" ht="15.6">
      <c r="B521" s="159"/>
    </row>
    <row r="522" spans="2:2" ht="15.6">
      <c r="B522" s="159"/>
    </row>
    <row r="523" spans="2:2" ht="15.6">
      <c r="B523" s="159"/>
    </row>
    <row r="524" spans="2:2" ht="15.6">
      <c r="B524" s="159"/>
    </row>
    <row r="525" spans="2:2" ht="15.6">
      <c r="B525" s="159"/>
    </row>
    <row r="526" spans="2:2" ht="15.6">
      <c r="B526" s="159"/>
    </row>
    <row r="527" spans="2:2" ht="15.6">
      <c r="B527" s="159"/>
    </row>
    <row r="528" spans="2:2" ht="15.6">
      <c r="B528" s="159"/>
    </row>
    <row r="529" spans="2:2" ht="15.6">
      <c r="B529" s="159"/>
    </row>
    <row r="530" spans="2:2" ht="15.6">
      <c r="B530" s="159"/>
    </row>
    <row r="531" spans="2:2" ht="15.6">
      <c r="B531" s="159"/>
    </row>
    <row r="532" spans="2:2" ht="15.6">
      <c r="B532" s="159"/>
    </row>
    <row r="533" spans="2:2" ht="15.6">
      <c r="B533" s="159"/>
    </row>
    <row r="534" spans="2:2" ht="15.6">
      <c r="B534" s="159"/>
    </row>
    <row r="535" spans="2:2" ht="15.6">
      <c r="B535" s="159"/>
    </row>
    <row r="536" spans="2:2" ht="15.6">
      <c r="B536" s="159"/>
    </row>
    <row r="537" spans="2:2" ht="15.6">
      <c r="B537" s="159"/>
    </row>
    <row r="538" spans="2:2" ht="15.6">
      <c r="B538" s="159"/>
    </row>
    <row r="539" spans="2:2" ht="15.6">
      <c r="B539" s="159"/>
    </row>
    <row r="540" spans="2:2" ht="15.6">
      <c r="B540" s="159"/>
    </row>
    <row r="541" spans="2:2" ht="15.6">
      <c r="B541" s="159"/>
    </row>
    <row r="542" spans="2:2" ht="15.6">
      <c r="B542" s="159"/>
    </row>
    <row r="543" spans="2:2" ht="15.6">
      <c r="B543" s="159"/>
    </row>
    <row r="544" spans="2:2" ht="15.6">
      <c r="B544" s="159"/>
    </row>
    <row r="545" spans="2:2" ht="15.6">
      <c r="B545" s="159"/>
    </row>
    <row r="546" spans="2:2" ht="15.6">
      <c r="B546" s="159"/>
    </row>
    <row r="547" spans="2:2" ht="15.6">
      <c r="B547" s="159"/>
    </row>
    <row r="548" spans="2:2" ht="15.6">
      <c r="B548" s="159"/>
    </row>
    <row r="549" spans="2:2" ht="15.6">
      <c r="B549" s="159"/>
    </row>
    <row r="550" spans="2:2" ht="15.6">
      <c r="B550" s="159"/>
    </row>
    <row r="551" spans="2:2" ht="15.6">
      <c r="B551" s="159"/>
    </row>
    <row r="552" spans="2:2" ht="15.6">
      <c r="B552" s="159"/>
    </row>
    <row r="553" spans="2:2" ht="15.6">
      <c r="B553" s="159"/>
    </row>
    <row r="554" spans="2:2" ht="15.6">
      <c r="B554" s="159"/>
    </row>
    <row r="555" spans="2:2" ht="15.6">
      <c r="B555" s="159"/>
    </row>
    <row r="556" spans="2:2" ht="15.6">
      <c r="B556" s="159"/>
    </row>
    <row r="557" spans="2:2" ht="15.6">
      <c r="B557" s="159"/>
    </row>
    <row r="558" spans="2:2" ht="15.6">
      <c r="B558" s="159"/>
    </row>
    <row r="559" spans="2:2" ht="15.6">
      <c r="B559" s="159"/>
    </row>
    <row r="560" spans="2:2" ht="15.6">
      <c r="B560" s="159"/>
    </row>
    <row r="561" spans="2:2" ht="15.6">
      <c r="B561" s="159"/>
    </row>
    <row r="562" spans="2:2" ht="15.6">
      <c r="B562" s="159"/>
    </row>
    <row r="563" spans="2:2" ht="15.6">
      <c r="B563" s="159"/>
    </row>
    <row r="564" spans="2:2" ht="15.6">
      <c r="B564" s="159"/>
    </row>
    <row r="565" spans="2:2" ht="15.6">
      <c r="B565" s="159"/>
    </row>
    <row r="566" spans="2:2" ht="15.6">
      <c r="B566" s="159"/>
    </row>
    <row r="567" spans="2:2" ht="15.6">
      <c r="B567" s="159"/>
    </row>
    <row r="568" spans="2:2" ht="15.6">
      <c r="B568" s="159"/>
    </row>
    <row r="569" spans="2:2" ht="15.6">
      <c r="B569" s="159"/>
    </row>
    <row r="570" spans="2:2" ht="15.6">
      <c r="B570" s="159"/>
    </row>
    <row r="571" spans="2:2" ht="15.6">
      <c r="B571" s="159"/>
    </row>
    <row r="572" spans="2:2" ht="15.6">
      <c r="B572" s="159"/>
    </row>
    <row r="573" spans="2:2" ht="15.6">
      <c r="B573" s="159"/>
    </row>
    <row r="574" spans="2:2" ht="15.6">
      <c r="B574" s="159"/>
    </row>
    <row r="575" spans="2:2" ht="15.6">
      <c r="B575" s="159"/>
    </row>
    <row r="576" spans="2:2" ht="15.6">
      <c r="B576" s="159"/>
    </row>
    <row r="577" spans="2:2" ht="15.6">
      <c r="B577" s="159"/>
    </row>
    <row r="578" spans="2:2" ht="15.6">
      <c r="B578" s="159"/>
    </row>
    <row r="579" spans="2:2" ht="15.6">
      <c r="B579" s="159"/>
    </row>
    <row r="580" spans="2:2" ht="15.6">
      <c r="B580" s="159"/>
    </row>
    <row r="581" spans="2:2" ht="15.6">
      <c r="B581" s="159"/>
    </row>
    <row r="582" spans="2:2" ht="15.6">
      <c r="B582" s="159"/>
    </row>
    <row r="583" spans="2:2" ht="15.6">
      <c r="B583" s="159"/>
    </row>
    <row r="584" spans="2:2" ht="15.6">
      <c r="B584" s="159"/>
    </row>
    <row r="585" spans="2:2" ht="15.6">
      <c r="B585" s="159"/>
    </row>
    <row r="586" spans="2:2" ht="15.6">
      <c r="B586" s="159"/>
    </row>
    <row r="587" spans="2:2" ht="15.6">
      <c r="B587" s="159"/>
    </row>
    <row r="588" spans="2:2" ht="15.6">
      <c r="B588" s="159"/>
    </row>
    <row r="589" spans="2:2" ht="15.6">
      <c r="B589" s="159"/>
    </row>
    <row r="590" spans="2:2" ht="15.6">
      <c r="B590" s="159"/>
    </row>
    <row r="591" spans="2:2" ht="15.6">
      <c r="B591" s="159"/>
    </row>
    <row r="592" spans="2:2" ht="15.6">
      <c r="B592" s="159"/>
    </row>
    <row r="593" spans="2:2" ht="15.6">
      <c r="B593" s="159"/>
    </row>
    <row r="594" spans="2:2" ht="15.6">
      <c r="B594" s="159"/>
    </row>
    <row r="595" spans="2:2" ht="15.6">
      <c r="B595" s="159"/>
    </row>
    <row r="596" spans="2:2" ht="15.6">
      <c r="B596" s="159"/>
    </row>
    <row r="597" spans="2:2" ht="15.6">
      <c r="B597" s="159"/>
    </row>
    <row r="598" spans="2:2" ht="15.6">
      <c r="B598" s="159"/>
    </row>
    <row r="599" spans="2:2" ht="15.6">
      <c r="B599" s="159"/>
    </row>
    <row r="600" spans="2:2" ht="15.6">
      <c r="B600" s="159"/>
    </row>
    <row r="601" spans="2:2" ht="15.6">
      <c r="B601" s="159"/>
    </row>
    <row r="602" spans="2:2" ht="15.6">
      <c r="B602" s="159"/>
    </row>
    <row r="603" spans="2:2" ht="15.6">
      <c r="B603" s="159"/>
    </row>
    <row r="604" spans="2:2" ht="15.6">
      <c r="B604" s="159"/>
    </row>
    <row r="605" spans="2:2" ht="15.6">
      <c r="B605" s="159"/>
    </row>
    <row r="606" spans="2:2" ht="15.6">
      <c r="B606" s="159"/>
    </row>
    <row r="607" spans="2:2" ht="15.6">
      <c r="B607" s="159"/>
    </row>
    <row r="608" spans="2:2" ht="15.6">
      <c r="B608" s="159"/>
    </row>
    <row r="609" spans="2:2" ht="15.6">
      <c r="B609" s="159"/>
    </row>
    <row r="610" spans="2:2" ht="15.6">
      <c r="B610" s="159"/>
    </row>
    <row r="611" spans="2:2" ht="15.6">
      <c r="B611" s="159"/>
    </row>
    <row r="612" spans="2:2" ht="15.6">
      <c r="B612" s="159"/>
    </row>
    <row r="613" spans="2:2" ht="15.6">
      <c r="B613" s="159"/>
    </row>
    <row r="614" spans="2:2" ht="15.6">
      <c r="B614" s="159"/>
    </row>
    <row r="615" spans="2:2" ht="15.6">
      <c r="B615" s="159"/>
    </row>
    <row r="616" spans="2:2" ht="15.6">
      <c r="B616" s="159"/>
    </row>
    <row r="617" spans="2:2" ht="15.6">
      <c r="B617" s="159"/>
    </row>
    <row r="618" spans="2:2" ht="15.6">
      <c r="B618" s="159"/>
    </row>
    <row r="619" spans="2:2" ht="15.6">
      <c r="B619" s="159"/>
    </row>
    <row r="620" spans="2:2" ht="15.6">
      <c r="B620" s="159"/>
    </row>
    <row r="621" spans="2:2" ht="15.6">
      <c r="B621" s="159"/>
    </row>
    <row r="622" spans="2:2" ht="15.6">
      <c r="B622" s="159"/>
    </row>
    <row r="623" spans="2:2" ht="15.6">
      <c r="B623" s="159"/>
    </row>
    <row r="624" spans="2:2" ht="15.6">
      <c r="B624" s="159"/>
    </row>
    <row r="625" spans="2:2" ht="15.6">
      <c r="B625" s="159"/>
    </row>
    <row r="626" spans="2:2" ht="15.6">
      <c r="B626" s="159"/>
    </row>
    <row r="627" spans="2:2" ht="15.6">
      <c r="B627" s="159"/>
    </row>
    <row r="628" spans="2:2" ht="15.6">
      <c r="B628" s="159"/>
    </row>
    <row r="629" spans="2:2" ht="15.6">
      <c r="B629" s="159"/>
    </row>
    <row r="630" spans="2:2" ht="15.6">
      <c r="B630" s="159"/>
    </row>
    <row r="631" spans="2:2" ht="15.6">
      <c r="B631" s="159"/>
    </row>
    <row r="632" spans="2:2" ht="15.6">
      <c r="B632" s="159"/>
    </row>
    <row r="633" spans="2:2" ht="15.6">
      <c r="B633" s="159"/>
    </row>
    <row r="634" spans="2:2" ht="15.6">
      <c r="B634" s="159"/>
    </row>
    <row r="635" spans="2:2" ht="15.6">
      <c r="B635" s="159"/>
    </row>
    <row r="636" spans="2:2" ht="15.6">
      <c r="B636" s="159"/>
    </row>
    <row r="637" spans="2:2" ht="15.6">
      <c r="B637" s="159"/>
    </row>
    <row r="638" spans="2:2" ht="15.6">
      <c r="B638" s="159"/>
    </row>
    <row r="639" spans="2:2" ht="15.6">
      <c r="B639" s="159"/>
    </row>
    <row r="640" spans="2:2" ht="15.6">
      <c r="B640" s="159"/>
    </row>
    <row r="641" spans="2:2" ht="15.6">
      <c r="B641" s="159"/>
    </row>
    <row r="642" spans="2:2" ht="15.6">
      <c r="B642" s="159"/>
    </row>
    <row r="643" spans="2:2" ht="15.6">
      <c r="B643" s="159"/>
    </row>
    <row r="644" spans="2:2" ht="15.6">
      <c r="B644" s="159"/>
    </row>
    <row r="645" spans="2:2" ht="15.6">
      <c r="B645" s="159"/>
    </row>
    <row r="646" spans="2:2" ht="15.6">
      <c r="B646" s="159"/>
    </row>
    <row r="647" spans="2:2" ht="15.6">
      <c r="B647" s="159"/>
    </row>
    <row r="648" spans="2:2" ht="15.6">
      <c r="B648" s="159"/>
    </row>
    <row r="649" spans="2:2" ht="15.6">
      <c r="B649" s="159"/>
    </row>
    <row r="650" spans="2:2" ht="15.6">
      <c r="B650" s="159"/>
    </row>
    <row r="651" spans="2:2" ht="15.6">
      <c r="B651" s="159"/>
    </row>
    <row r="652" spans="2:2" ht="15.6">
      <c r="B652" s="159"/>
    </row>
    <row r="653" spans="2:2" ht="15.6">
      <c r="B653" s="159"/>
    </row>
    <row r="654" spans="2:2" ht="15.6">
      <c r="B654" s="159"/>
    </row>
    <row r="655" spans="2:2" ht="15.6">
      <c r="B655" s="159"/>
    </row>
    <row r="656" spans="2:2" ht="15.6">
      <c r="B656" s="159"/>
    </row>
    <row r="657" spans="2:2" ht="15.6">
      <c r="B657" s="159"/>
    </row>
    <row r="658" spans="2:2" ht="15.6">
      <c r="B658" s="159"/>
    </row>
    <row r="659" spans="2:2" ht="15.6">
      <c r="B659" s="159"/>
    </row>
    <row r="660" spans="2:2" ht="15.6">
      <c r="B660" s="159"/>
    </row>
    <row r="661" spans="2:2" ht="15.6">
      <c r="B661" s="159"/>
    </row>
    <row r="662" spans="2:2" ht="15.6">
      <c r="B662" s="159"/>
    </row>
    <row r="663" spans="2:2" ht="15.6">
      <c r="B663" s="159"/>
    </row>
    <row r="664" spans="2:2" ht="15.6">
      <c r="B664" s="159"/>
    </row>
    <row r="665" spans="2:2" ht="15.6">
      <c r="B665" s="159"/>
    </row>
    <row r="666" spans="2:2" ht="15.6">
      <c r="B666" s="159"/>
    </row>
    <row r="667" spans="2:2" ht="15.6">
      <c r="B667" s="159"/>
    </row>
    <row r="668" spans="2:2" ht="15.6">
      <c r="B668" s="159"/>
    </row>
    <row r="669" spans="2:2" ht="15.6">
      <c r="B669" s="159"/>
    </row>
    <row r="670" spans="2:2" ht="15.6">
      <c r="B670" s="159"/>
    </row>
    <row r="671" spans="2:2" ht="15.6">
      <c r="B671" s="159"/>
    </row>
    <row r="672" spans="2:2" ht="15.6">
      <c r="B672" s="159"/>
    </row>
    <row r="673" spans="2:2" ht="15.6">
      <c r="B673" s="159"/>
    </row>
    <row r="674" spans="2:2" ht="15.6">
      <c r="B674" s="159"/>
    </row>
    <row r="675" spans="2:2" ht="15.6">
      <c r="B675" s="159"/>
    </row>
    <row r="676" spans="2:2" ht="15.6">
      <c r="B676" s="159"/>
    </row>
    <row r="677" spans="2:2" ht="15.6">
      <c r="B677" s="159"/>
    </row>
    <row r="678" spans="2:2" ht="15.6">
      <c r="B678" s="159"/>
    </row>
    <row r="679" spans="2:2" ht="15.6">
      <c r="B679" s="159"/>
    </row>
    <row r="680" spans="2:2" ht="15.6">
      <c r="B680" s="159"/>
    </row>
    <row r="681" spans="2:2" ht="15.6">
      <c r="B681" s="159"/>
    </row>
    <row r="682" spans="2:2" ht="15.6">
      <c r="B682" s="159"/>
    </row>
    <row r="683" spans="2:2" ht="15.6">
      <c r="B683" s="159"/>
    </row>
    <row r="684" spans="2:2" ht="15.6">
      <c r="B684" s="159"/>
    </row>
    <row r="685" spans="2:2" ht="15.6">
      <c r="B685" s="159"/>
    </row>
    <row r="686" spans="2:2" ht="15.6">
      <c r="B686" s="159"/>
    </row>
    <row r="687" spans="2:2" ht="15.6">
      <c r="B687" s="159"/>
    </row>
    <row r="688" spans="2:2" ht="15.6">
      <c r="B688" s="159"/>
    </row>
    <row r="689" spans="2:2" ht="15.6">
      <c r="B689" s="159"/>
    </row>
    <row r="690" spans="2:2" ht="15.6">
      <c r="B690" s="159"/>
    </row>
    <row r="691" spans="2:2" ht="15.6">
      <c r="B691" s="159"/>
    </row>
    <row r="692" spans="2:2" ht="15.6">
      <c r="B692" s="159"/>
    </row>
    <row r="693" spans="2:2" ht="15.6">
      <c r="B693" s="159"/>
    </row>
    <row r="694" spans="2:2" ht="15.6">
      <c r="B694" s="159"/>
    </row>
    <row r="695" spans="2:2" ht="15.6">
      <c r="B695" s="159"/>
    </row>
    <row r="696" spans="2:2" ht="15.6">
      <c r="B696" s="159"/>
    </row>
    <row r="697" spans="2:2" ht="15.6">
      <c r="B697" s="159"/>
    </row>
    <row r="698" spans="2:2" ht="15.6">
      <c r="B698" s="159"/>
    </row>
    <row r="699" spans="2:2" ht="15.6">
      <c r="B699" s="159"/>
    </row>
    <row r="700" spans="2:2" ht="15.6">
      <c r="B700" s="159"/>
    </row>
    <row r="701" spans="2:2" ht="15.6">
      <c r="B701" s="159"/>
    </row>
    <row r="702" spans="2:2" ht="15.6">
      <c r="B702" s="159"/>
    </row>
    <row r="703" spans="2:2" ht="15.6">
      <c r="B703" s="159"/>
    </row>
    <row r="704" spans="2:2" ht="15.6">
      <c r="B704" s="159"/>
    </row>
    <row r="705" spans="2:2" ht="15.6">
      <c r="B705" s="159"/>
    </row>
    <row r="706" spans="2:2" ht="15.6">
      <c r="B706" s="159"/>
    </row>
    <row r="707" spans="2:2" ht="15.6">
      <c r="B707" s="159"/>
    </row>
    <row r="708" spans="2:2" ht="15.6">
      <c r="B708" s="159"/>
    </row>
    <row r="709" spans="2:2" ht="15.6">
      <c r="B709" s="159"/>
    </row>
    <row r="710" spans="2:2" ht="15.6">
      <c r="B710" s="159"/>
    </row>
    <row r="711" spans="2:2" ht="15.6">
      <c r="B711" s="159"/>
    </row>
    <row r="712" spans="2:2" ht="15.6">
      <c r="B712" s="159"/>
    </row>
    <row r="713" spans="2:2" ht="15.6">
      <c r="B713" s="159"/>
    </row>
    <row r="714" spans="2:2" ht="15.6">
      <c r="B714" s="159"/>
    </row>
    <row r="715" spans="2:2" ht="15.6">
      <c r="B715" s="159"/>
    </row>
    <row r="716" spans="2:2" ht="15.6">
      <c r="B716" s="159"/>
    </row>
    <row r="717" spans="2:2" ht="15.6">
      <c r="B717" s="159"/>
    </row>
    <row r="718" spans="2:2" ht="15.6">
      <c r="B718" s="159"/>
    </row>
    <row r="719" spans="2:2" ht="15.6">
      <c r="B719" s="159"/>
    </row>
    <row r="720" spans="2:2" ht="15.6">
      <c r="B720" s="159"/>
    </row>
    <row r="721" spans="2:2" ht="15.6">
      <c r="B721" s="159"/>
    </row>
    <row r="722" spans="2:2" ht="15.6">
      <c r="B722" s="159"/>
    </row>
    <row r="723" spans="2:2" ht="15.6">
      <c r="B723" s="159"/>
    </row>
    <row r="724" spans="2:2" ht="15.6">
      <c r="B724" s="159"/>
    </row>
    <row r="725" spans="2:2" ht="15.6">
      <c r="B725" s="159"/>
    </row>
    <row r="726" spans="2:2" ht="15.6">
      <c r="B726" s="159"/>
    </row>
    <row r="727" spans="2:2" ht="15.6">
      <c r="B727" s="159"/>
    </row>
    <row r="728" spans="2:2" ht="15.6">
      <c r="B728" s="159"/>
    </row>
    <row r="729" spans="2:2" ht="15.6">
      <c r="B729" s="159"/>
    </row>
    <row r="730" spans="2:2" ht="15.6">
      <c r="B730" s="159"/>
    </row>
    <row r="731" spans="2:2" ht="15.6">
      <c r="B731" s="159"/>
    </row>
    <row r="732" spans="2:2" ht="15.6">
      <c r="B732" s="159"/>
    </row>
    <row r="733" spans="2:2" ht="15.6">
      <c r="B733" s="159"/>
    </row>
    <row r="734" spans="2:2" ht="15.6">
      <c r="B734" s="159"/>
    </row>
    <row r="735" spans="2:2" ht="15.6">
      <c r="B735" s="159"/>
    </row>
    <row r="736" spans="2:2" ht="15.6">
      <c r="B736" s="159"/>
    </row>
    <row r="737" spans="2:2" ht="15.6">
      <c r="B737" s="159"/>
    </row>
    <row r="738" spans="2:2" ht="15.6">
      <c r="B738" s="159"/>
    </row>
    <row r="739" spans="2:2" ht="15.6">
      <c r="B739" s="159"/>
    </row>
    <row r="740" spans="2:2" ht="15.6">
      <c r="B740" s="159"/>
    </row>
    <row r="741" spans="2:2" ht="15.6">
      <c r="B741" s="159"/>
    </row>
    <row r="742" spans="2:2" ht="15.6">
      <c r="B742" s="159"/>
    </row>
    <row r="743" spans="2:2" ht="15.6">
      <c r="B743" s="159"/>
    </row>
    <row r="744" spans="2:2" ht="15.6">
      <c r="B744" s="159"/>
    </row>
    <row r="745" spans="2:2" ht="15.6">
      <c r="B745" s="159"/>
    </row>
    <row r="746" spans="2:2" ht="15.6">
      <c r="B746" s="159"/>
    </row>
    <row r="747" spans="2:2" ht="15.6">
      <c r="B747" s="159"/>
    </row>
    <row r="748" spans="2:2" ht="15.6">
      <c r="B748" s="159"/>
    </row>
    <row r="749" spans="2:2" ht="15.6">
      <c r="B749" s="159"/>
    </row>
    <row r="750" spans="2:2" ht="15.6">
      <c r="B750" s="159"/>
    </row>
    <row r="751" spans="2:2" ht="15.6">
      <c r="B751" s="159"/>
    </row>
    <row r="752" spans="2:2" ht="15.6">
      <c r="B752" s="159"/>
    </row>
    <row r="753" spans="2:2" ht="15.6">
      <c r="B753" s="159"/>
    </row>
    <row r="754" spans="2:2" ht="15.6">
      <c r="B754" s="159"/>
    </row>
    <row r="755" spans="2:2" ht="15.6">
      <c r="B755" s="159"/>
    </row>
    <row r="756" spans="2:2" ht="15.6">
      <c r="B756" s="159"/>
    </row>
    <row r="757" spans="2:2" ht="15.6">
      <c r="B757" s="159"/>
    </row>
    <row r="758" spans="2:2" ht="15.6">
      <c r="B758" s="159"/>
    </row>
    <row r="759" spans="2:2" ht="15.6">
      <c r="B759" s="159"/>
    </row>
    <row r="760" spans="2:2" ht="15.6">
      <c r="B760" s="159"/>
    </row>
    <row r="761" spans="2:2" ht="15.6">
      <c r="B761" s="159"/>
    </row>
    <row r="762" spans="2:2" ht="15.6">
      <c r="B762" s="159"/>
    </row>
    <row r="763" spans="2:2" ht="15.6">
      <c r="B763" s="159"/>
    </row>
    <row r="764" spans="2:2" ht="15.6">
      <c r="B764" s="159"/>
    </row>
    <row r="765" spans="2:2" ht="15.6">
      <c r="B765" s="159"/>
    </row>
    <row r="766" spans="2:2" ht="15.6">
      <c r="B766" s="159"/>
    </row>
    <row r="767" spans="2:2" ht="15.6">
      <c r="B767" s="159"/>
    </row>
    <row r="768" spans="2:2" ht="15.6">
      <c r="B768" s="159"/>
    </row>
    <row r="769" spans="2:2" ht="15.6">
      <c r="B769" s="159"/>
    </row>
    <row r="770" spans="2:2" ht="15.6">
      <c r="B770" s="159"/>
    </row>
    <row r="771" spans="2:2" ht="15.6">
      <c r="B771" s="159"/>
    </row>
    <row r="772" spans="2:2" ht="15.6">
      <c r="B772" s="159"/>
    </row>
    <row r="773" spans="2:2" ht="15.6">
      <c r="B773" s="159"/>
    </row>
    <row r="774" spans="2:2" ht="15.6">
      <c r="B774" s="159"/>
    </row>
    <row r="775" spans="2:2" ht="15.6">
      <c r="B775" s="159"/>
    </row>
    <row r="776" spans="2:2" ht="15.6">
      <c r="B776" s="159"/>
    </row>
    <row r="777" spans="2:2" ht="15.6">
      <c r="B777" s="159"/>
    </row>
    <row r="778" spans="2:2" ht="15.6">
      <c r="B778" s="159"/>
    </row>
    <row r="779" spans="2:2" ht="15.6">
      <c r="B779" s="159"/>
    </row>
    <row r="780" spans="2:2" ht="15.6">
      <c r="B780" s="159"/>
    </row>
    <row r="781" spans="2:2" ht="15.6">
      <c r="B781" s="159"/>
    </row>
    <row r="782" spans="2:2" ht="15.6">
      <c r="B782" s="159"/>
    </row>
    <row r="783" spans="2:2" ht="15.6">
      <c r="B783" s="159"/>
    </row>
    <row r="784" spans="2:2" ht="15.6">
      <c r="B784" s="159"/>
    </row>
    <row r="785" spans="2:2" ht="15.6">
      <c r="B785" s="159"/>
    </row>
    <row r="786" spans="2:2" ht="15.6">
      <c r="B786" s="159"/>
    </row>
    <row r="787" spans="2:2" ht="15.6">
      <c r="B787" s="159"/>
    </row>
    <row r="788" spans="2:2" ht="15.6">
      <c r="B788" s="159"/>
    </row>
    <row r="789" spans="2:2" ht="15.6">
      <c r="B789" s="159"/>
    </row>
    <row r="790" spans="2:2" ht="15.6">
      <c r="B790" s="159"/>
    </row>
    <row r="791" spans="2:2" ht="15.6">
      <c r="B791" s="159"/>
    </row>
    <row r="792" spans="2:2" ht="15.6">
      <c r="B792" s="159"/>
    </row>
    <row r="793" spans="2:2" ht="15.6">
      <c r="B793" s="159"/>
    </row>
    <row r="794" spans="2:2" ht="15.6">
      <c r="B794" s="159"/>
    </row>
    <row r="795" spans="2:2" ht="15.6">
      <c r="B795" s="159"/>
    </row>
    <row r="796" spans="2:2" ht="15.6">
      <c r="B796" s="159"/>
    </row>
    <row r="797" spans="2:2" ht="15.6">
      <c r="B797" s="159"/>
    </row>
    <row r="798" spans="2:2" ht="15.6">
      <c r="B798" s="159"/>
    </row>
    <row r="799" spans="2:2" ht="15.6">
      <c r="B799" s="159"/>
    </row>
    <row r="800" spans="2:2" ht="15.6">
      <c r="B800" s="159"/>
    </row>
    <row r="801" spans="2:2" ht="15.6">
      <c r="B801" s="159"/>
    </row>
    <row r="802" spans="2:2" ht="15.6">
      <c r="B802" s="159"/>
    </row>
    <row r="803" spans="2:2" ht="15.6">
      <c r="B803" s="159"/>
    </row>
    <row r="804" spans="2:2" ht="15.6">
      <c r="B804" s="159"/>
    </row>
    <row r="805" spans="2:2" ht="15.6">
      <c r="B805" s="159"/>
    </row>
    <row r="806" spans="2:2" ht="15.6">
      <c r="B806" s="159"/>
    </row>
    <row r="807" spans="2:2" ht="15.6">
      <c r="B807" s="159"/>
    </row>
    <row r="808" spans="2:2" ht="15.6">
      <c r="B808" s="159"/>
    </row>
    <row r="809" spans="2:2" ht="15.6">
      <c r="B809" s="159"/>
    </row>
    <row r="810" spans="2:2" ht="15.6">
      <c r="B810" s="159"/>
    </row>
    <row r="811" spans="2:2" ht="15.6">
      <c r="B811" s="159"/>
    </row>
    <row r="812" spans="2:2" ht="15.6">
      <c r="B812" s="159"/>
    </row>
    <row r="813" spans="2:2" ht="15.6">
      <c r="B813" s="159"/>
    </row>
    <row r="814" spans="2:2" ht="15.6">
      <c r="B814" s="159"/>
    </row>
    <row r="815" spans="2:2" ht="15.6">
      <c r="B815" s="159"/>
    </row>
    <row r="816" spans="2:2" ht="15.6">
      <c r="B816" s="159"/>
    </row>
    <row r="817" spans="2:2" ht="15.6">
      <c r="B817" s="159"/>
    </row>
    <row r="818" spans="2:2" ht="15.6">
      <c r="B818" s="159"/>
    </row>
    <row r="819" spans="2:2" ht="15.6">
      <c r="B819" s="159"/>
    </row>
    <row r="820" spans="2:2" ht="15.6">
      <c r="B820" s="159"/>
    </row>
    <row r="821" spans="2:2" ht="15.6">
      <c r="B821" s="159"/>
    </row>
    <row r="822" spans="2:2" ht="15.6">
      <c r="B822" s="159"/>
    </row>
    <row r="823" spans="2:2" ht="15.6">
      <c r="B823" s="159"/>
    </row>
    <row r="824" spans="2:2" ht="15.6">
      <c r="B824" s="159"/>
    </row>
    <row r="825" spans="2:2" ht="15.6">
      <c r="B825" s="159"/>
    </row>
    <row r="826" spans="2:2" ht="15.6">
      <c r="B826" s="159"/>
    </row>
    <row r="827" spans="2:2" ht="15.6">
      <c r="B827" s="159"/>
    </row>
    <row r="828" spans="2:2" ht="15.6">
      <c r="B828" s="159"/>
    </row>
    <row r="829" spans="2:2" ht="15.6">
      <c r="B829" s="159"/>
    </row>
    <row r="830" spans="2:2" ht="15.6">
      <c r="B830" s="159"/>
    </row>
    <row r="831" spans="2:2" ht="15.6">
      <c r="B831" s="159"/>
    </row>
    <row r="832" spans="2:2" ht="15.6">
      <c r="B832" s="159"/>
    </row>
    <row r="833" spans="2:2" ht="15.6">
      <c r="B833" s="159"/>
    </row>
    <row r="834" spans="2:2" ht="15.6">
      <c r="B834" s="159"/>
    </row>
    <row r="835" spans="2:2" ht="15.6">
      <c r="B835" s="159"/>
    </row>
    <row r="836" spans="2:2" ht="15.6">
      <c r="B836" s="159"/>
    </row>
    <row r="837" spans="2:2" ht="15.6">
      <c r="B837" s="159"/>
    </row>
    <row r="838" spans="2:2" ht="15.6">
      <c r="B838" s="159"/>
    </row>
    <row r="839" spans="2:2" ht="15.6">
      <c r="B839" s="159"/>
    </row>
    <row r="840" spans="2:2" ht="15.6">
      <c r="B840" s="159"/>
    </row>
    <row r="841" spans="2:2" ht="15.6">
      <c r="B841" s="159"/>
    </row>
    <row r="842" spans="2:2" ht="15.6">
      <c r="B842" s="159"/>
    </row>
    <row r="843" spans="2:2" ht="15.6">
      <c r="B843" s="159"/>
    </row>
    <row r="844" spans="2:2" ht="15.6">
      <c r="B844" s="159"/>
    </row>
    <row r="845" spans="2:2" ht="15.6">
      <c r="B845" s="159"/>
    </row>
    <row r="846" spans="2:2" ht="15.6">
      <c r="B846" s="159"/>
    </row>
    <row r="847" spans="2:2" ht="15.6">
      <c r="B847" s="159"/>
    </row>
    <row r="848" spans="2:2" ht="15.6">
      <c r="B848" s="159"/>
    </row>
    <row r="849" spans="2:2" ht="15.6">
      <c r="B849" s="159"/>
    </row>
    <row r="850" spans="2:2" ht="15.6">
      <c r="B850" s="159"/>
    </row>
    <row r="851" spans="2:2" ht="15.6">
      <c r="B851" s="159"/>
    </row>
    <row r="852" spans="2:2" ht="15.6">
      <c r="B852" s="159"/>
    </row>
    <row r="853" spans="2:2" ht="15.6">
      <c r="B853" s="159"/>
    </row>
    <row r="854" spans="2:2" ht="15.6">
      <c r="B854" s="159"/>
    </row>
    <row r="855" spans="2:2" ht="15.6">
      <c r="B855" s="159"/>
    </row>
    <row r="856" spans="2:2" ht="15.6">
      <c r="B856" s="159"/>
    </row>
    <row r="857" spans="2:2" ht="15.6">
      <c r="B857" s="159"/>
    </row>
    <row r="858" spans="2:2" ht="15.6">
      <c r="B858" s="159"/>
    </row>
    <row r="859" spans="2:2" ht="15.6">
      <c r="B859" s="159"/>
    </row>
    <row r="860" spans="2:2" ht="15.6">
      <c r="B860" s="159"/>
    </row>
    <row r="861" spans="2:2" ht="15.6">
      <c r="B861" s="159"/>
    </row>
    <row r="862" spans="2:2" ht="15.6">
      <c r="B862" s="159"/>
    </row>
    <row r="863" spans="2:2" ht="15.6">
      <c r="B863" s="159"/>
    </row>
    <row r="864" spans="2:2" ht="15.6">
      <c r="B864" s="159"/>
    </row>
    <row r="865" spans="2:2" ht="15.6">
      <c r="B865" s="159"/>
    </row>
    <row r="866" spans="2:2" ht="15.6">
      <c r="B866" s="159"/>
    </row>
    <row r="867" spans="2:2" ht="15.6">
      <c r="B867" s="159"/>
    </row>
    <row r="868" spans="2:2" ht="15.6">
      <c r="B868" s="159"/>
    </row>
    <row r="869" spans="2:2" ht="15.6">
      <c r="B869" s="159"/>
    </row>
    <row r="870" spans="2:2" ht="15.6">
      <c r="B870" s="159"/>
    </row>
    <row r="871" spans="2:2" ht="15.6">
      <c r="B871" s="159"/>
    </row>
    <row r="872" spans="2:2" ht="15.6">
      <c r="B872" s="159"/>
    </row>
    <row r="873" spans="2:2" ht="15.6">
      <c r="B873" s="159"/>
    </row>
    <row r="874" spans="2:2" ht="15.6">
      <c r="B874" s="159"/>
    </row>
    <row r="875" spans="2:2" ht="15.6">
      <c r="B875" s="159"/>
    </row>
    <row r="876" spans="2:2" ht="15.6">
      <c r="B876" s="159"/>
    </row>
    <row r="877" spans="2:2" ht="15.6">
      <c r="B877" s="159"/>
    </row>
    <row r="878" spans="2:2" ht="15.6">
      <c r="B878" s="159"/>
    </row>
    <row r="879" spans="2:2" ht="15.6">
      <c r="B879" s="159"/>
    </row>
    <row r="880" spans="2:2" ht="15.6">
      <c r="B880" s="159"/>
    </row>
    <row r="881" spans="2:2" ht="15.6">
      <c r="B881" s="159"/>
    </row>
    <row r="882" spans="2:2" ht="15.6">
      <c r="B882" s="159"/>
    </row>
    <row r="883" spans="2:2" ht="15.6">
      <c r="B883" s="159"/>
    </row>
    <row r="884" spans="2:2" ht="15.6">
      <c r="B884" s="159"/>
    </row>
    <row r="885" spans="2:2" ht="15.6">
      <c r="B885" s="159"/>
    </row>
    <row r="886" spans="2:2" ht="15.6">
      <c r="B886" s="159"/>
    </row>
    <row r="887" spans="2:2" ht="15.6">
      <c r="B887" s="159"/>
    </row>
    <row r="888" spans="2:2" ht="15.6">
      <c r="B888" s="159"/>
    </row>
    <row r="889" spans="2:2" ht="15.6">
      <c r="B889" s="159"/>
    </row>
    <row r="890" spans="2:2" ht="15.6">
      <c r="B890" s="159"/>
    </row>
    <row r="891" spans="2:2" ht="15.6">
      <c r="B891" s="159"/>
    </row>
    <row r="892" spans="2:2" ht="15.6">
      <c r="B892" s="159"/>
    </row>
    <row r="893" spans="2:2" ht="15.6">
      <c r="B893" s="159"/>
    </row>
    <row r="894" spans="2:2" ht="15.6">
      <c r="B894" s="159"/>
    </row>
    <row r="895" spans="2:2" ht="15.6">
      <c r="B895" s="159"/>
    </row>
    <row r="896" spans="2:2" ht="15.6">
      <c r="B896" s="159"/>
    </row>
    <row r="897" spans="2:2" ht="15.6">
      <c r="B897" s="159"/>
    </row>
    <row r="898" spans="2:2" ht="15.6">
      <c r="B898" s="159"/>
    </row>
    <row r="899" spans="2:2" ht="15.6">
      <c r="B899" s="159"/>
    </row>
    <row r="900" spans="2:2" ht="15.6">
      <c r="B900" s="159"/>
    </row>
    <row r="901" spans="2:2" ht="15.6">
      <c r="B901" s="159"/>
    </row>
    <row r="902" spans="2:2" ht="15.6">
      <c r="B902" s="159"/>
    </row>
    <row r="903" spans="2:2" ht="15.6">
      <c r="B903" s="159"/>
    </row>
    <row r="904" spans="2:2" ht="15.6">
      <c r="B904" s="159"/>
    </row>
    <row r="905" spans="2:2" ht="15.6">
      <c r="B905" s="159"/>
    </row>
    <row r="906" spans="2:2" ht="15.6">
      <c r="B906" s="159"/>
    </row>
    <row r="907" spans="2:2" ht="15.6">
      <c r="B907" s="159"/>
    </row>
    <row r="908" spans="2:2" ht="15.6">
      <c r="B908" s="159"/>
    </row>
    <row r="909" spans="2:2" ht="15.6">
      <c r="B909" s="159"/>
    </row>
    <row r="910" spans="2:2" ht="15.6">
      <c r="B910" s="159"/>
    </row>
    <row r="911" spans="2:2" ht="15.6">
      <c r="B911" s="159"/>
    </row>
    <row r="912" spans="2:2" ht="15.6">
      <c r="B912" s="159"/>
    </row>
    <row r="913" spans="2:2" ht="15.6">
      <c r="B913" s="159"/>
    </row>
    <row r="914" spans="2:2" ht="15.6">
      <c r="B914" s="159"/>
    </row>
    <row r="915" spans="2:2" ht="15.6">
      <c r="B915" s="159"/>
    </row>
    <row r="916" spans="2:2" ht="15.6">
      <c r="B916" s="159"/>
    </row>
    <row r="917" spans="2:2" ht="15.6">
      <c r="B917" s="159"/>
    </row>
    <row r="918" spans="2:2" ht="15.6">
      <c r="B918" s="159"/>
    </row>
    <row r="919" spans="2:2" ht="15.6">
      <c r="B919" s="159"/>
    </row>
    <row r="920" spans="2:2" ht="15.6">
      <c r="B920" s="159"/>
    </row>
    <row r="921" spans="2:2" ht="15.6">
      <c r="B921" s="159"/>
    </row>
    <row r="922" spans="2:2" ht="15.6">
      <c r="B922" s="159"/>
    </row>
    <row r="923" spans="2:2" ht="15.6">
      <c r="B923" s="159"/>
    </row>
    <row r="924" spans="2:2" ht="15.6">
      <c r="B924" s="159"/>
    </row>
    <row r="925" spans="2:2" ht="15.6">
      <c r="B925" s="159"/>
    </row>
    <row r="926" spans="2:2" ht="15.6">
      <c r="B926" s="159"/>
    </row>
    <row r="927" spans="2:2" ht="15.6">
      <c r="B927" s="159"/>
    </row>
    <row r="928" spans="2:2" ht="15.6">
      <c r="B928" s="159"/>
    </row>
    <row r="929" spans="2:2" ht="15.6">
      <c r="B929" s="159"/>
    </row>
    <row r="930" spans="2:2" ht="15.6">
      <c r="B930" s="159"/>
    </row>
    <row r="931" spans="2:2" ht="15.6">
      <c r="B931" s="159"/>
    </row>
    <row r="932" spans="2:2" ht="15.6">
      <c r="B932" s="159"/>
    </row>
    <row r="933" spans="2:2" ht="15.6">
      <c r="B933" s="159"/>
    </row>
    <row r="934" spans="2:2" ht="15.6">
      <c r="B934" s="159"/>
    </row>
    <row r="935" spans="2:2" ht="15.6">
      <c r="B935" s="159"/>
    </row>
    <row r="936" spans="2:2" ht="15.6">
      <c r="B936" s="159"/>
    </row>
    <row r="937" spans="2:2" ht="15.6">
      <c r="B937" s="159"/>
    </row>
    <row r="938" spans="2:2" ht="15.6">
      <c r="B938" s="159"/>
    </row>
    <row r="939" spans="2:2" ht="15.6">
      <c r="B939" s="159"/>
    </row>
    <row r="940" spans="2:2" ht="15.6">
      <c r="B940" s="159"/>
    </row>
    <row r="941" spans="2:2" ht="15.6">
      <c r="B941" s="159"/>
    </row>
    <row r="942" spans="2:2" ht="15.6">
      <c r="B942" s="159"/>
    </row>
    <row r="943" spans="2:2" ht="15.6">
      <c r="B943" s="159"/>
    </row>
    <row r="944" spans="2:2" ht="15.6">
      <c r="B944" s="159"/>
    </row>
    <row r="945" spans="2:2" ht="15.6">
      <c r="B945" s="159"/>
    </row>
    <row r="946" spans="2:2" ht="15.6">
      <c r="B946" s="159"/>
    </row>
    <row r="947" spans="2:2" ht="15.6">
      <c r="B947" s="159"/>
    </row>
    <row r="948" spans="2:2" ht="15.6">
      <c r="B948" s="159"/>
    </row>
    <row r="949" spans="2:2" ht="15.6">
      <c r="B949" s="159"/>
    </row>
    <row r="950" spans="2:2" ht="15.6">
      <c r="B950" s="159"/>
    </row>
    <row r="951" spans="2:2" ht="15.6">
      <c r="B951" s="159"/>
    </row>
    <row r="952" spans="2:2" ht="15.6">
      <c r="B952" s="159"/>
    </row>
    <row r="953" spans="2:2" ht="15.6">
      <c r="B953" s="159"/>
    </row>
    <row r="954" spans="2:2" ht="15.6">
      <c r="B954" s="159"/>
    </row>
    <row r="955" spans="2:2" ht="15.6">
      <c r="B955" s="159"/>
    </row>
    <row r="956" spans="2:2" ht="15.6">
      <c r="B956" s="159"/>
    </row>
    <row r="957" spans="2:2" ht="15.6">
      <c r="B957" s="159"/>
    </row>
    <row r="958" spans="2:2" ht="15.6">
      <c r="B958" s="159"/>
    </row>
    <row r="959" spans="2:2" ht="15.6">
      <c r="B959" s="159"/>
    </row>
    <row r="960" spans="2:2" ht="15.6">
      <c r="B960" s="159"/>
    </row>
    <row r="961" spans="2:2" ht="15.6">
      <c r="B961" s="159"/>
    </row>
    <row r="962" spans="2:2" ht="15.6">
      <c r="B962" s="159"/>
    </row>
    <row r="963" spans="2:2" ht="15.6">
      <c r="B963" s="159"/>
    </row>
    <row r="964" spans="2:2" ht="15.6">
      <c r="B964" s="159"/>
    </row>
    <row r="965" spans="2:2" ht="15.6">
      <c r="B965" s="159"/>
    </row>
    <row r="966" spans="2:2" ht="15.6">
      <c r="B966" s="159"/>
    </row>
    <row r="967" spans="2:2" ht="15.6">
      <c r="B967" s="159"/>
    </row>
    <row r="968" spans="2:2" ht="15.6">
      <c r="B968" s="159"/>
    </row>
    <row r="969" spans="2:2" ht="15.6">
      <c r="B969" s="159"/>
    </row>
    <row r="970" spans="2:2" ht="15.6">
      <c r="B970" s="159"/>
    </row>
    <row r="971" spans="2:2" ht="15.6">
      <c r="B971" s="159"/>
    </row>
    <row r="972" spans="2:2" ht="15.6">
      <c r="B972" s="159"/>
    </row>
    <row r="973" spans="2:2" ht="15.6">
      <c r="B973" s="159"/>
    </row>
    <row r="974" spans="2:2" ht="15.6">
      <c r="B974" s="159"/>
    </row>
    <row r="975" spans="2:2" ht="15.6">
      <c r="B975" s="159"/>
    </row>
    <row r="976" spans="2:2" ht="15.6">
      <c r="B976" s="159"/>
    </row>
    <row r="977" spans="2:2" ht="15.6">
      <c r="B977" s="159"/>
    </row>
    <row r="978" spans="2:2" ht="15.6">
      <c r="B978" s="159"/>
    </row>
    <row r="979" spans="2:2" ht="15.6">
      <c r="B979" s="159"/>
    </row>
    <row r="980" spans="2:2" ht="15.6">
      <c r="B980" s="159"/>
    </row>
    <row r="981" spans="2:2" ht="15.6">
      <c r="B981" s="159"/>
    </row>
    <row r="982" spans="2:2" ht="15.6">
      <c r="B982" s="159"/>
    </row>
    <row r="983" spans="2:2" ht="15.6">
      <c r="B983" s="159"/>
    </row>
    <row r="984" spans="2:2" ht="15.6">
      <c r="B984" s="159"/>
    </row>
    <row r="985" spans="2:2" ht="15.6">
      <c r="B985" s="159"/>
    </row>
    <row r="986" spans="2:2" ht="15.6">
      <c r="B986" s="159"/>
    </row>
    <row r="987" spans="2:2" ht="15.6">
      <c r="B987" s="159"/>
    </row>
    <row r="988" spans="2:2" ht="15.6">
      <c r="B988" s="159"/>
    </row>
    <row r="989" spans="2:2" ht="15.6">
      <c r="B989" s="159"/>
    </row>
    <row r="990" spans="2:2" ht="15.6">
      <c r="B990" s="159"/>
    </row>
    <row r="991" spans="2:2" ht="15.6">
      <c r="B991" s="159"/>
    </row>
    <row r="992" spans="2:2" ht="15.6">
      <c r="B992" s="159"/>
    </row>
    <row r="993" spans="2:2" ht="15.6">
      <c r="B993" s="159"/>
    </row>
    <row r="994" spans="2:2" ht="15.6">
      <c r="B994" s="159"/>
    </row>
    <row r="995" spans="2:2" ht="15.6">
      <c r="B995" s="159"/>
    </row>
    <row r="996" spans="2:2" ht="15.6">
      <c r="B996" s="159"/>
    </row>
    <row r="997" spans="2:2" ht="15.6">
      <c r="B997" s="159"/>
    </row>
    <row r="998" spans="2:2" ht="15.6">
      <c r="B998" s="159"/>
    </row>
    <row r="999" spans="2:2" ht="15.6">
      <c r="B999" s="159"/>
    </row>
    <row r="1000" spans="2:2" ht="15.6">
      <c r="B1000" s="159"/>
    </row>
    <row r="1001" spans="2:2" ht="15.6">
      <c r="B1001" s="159"/>
    </row>
    <row r="1002" spans="2:2" ht="15.6">
      <c r="B1002" s="159"/>
    </row>
    <row r="1003" spans="2:2" ht="15.6">
      <c r="B1003" s="159"/>
    </row>
    <row r="1004" spans="2:2" ht="15.6">
      <c r="B1004" s="159"/>
    </row>
    <row r="1005" spans="2:2" ht="15.6">
      <c r="B1005" s="159"/>
    </row>
    <row r="1006" spans="2:2" ht="15.6">
      <c r="B1006" s="159"/>
    </row>
    <row r="1007" spans="2:2" ht="15.6">
      <c r="B1007" s="159"/>
    </row>
    <row r="1008" spans="2:2" ht="15.6">
      <c r="B1008" s="159"/>
    </row>
    <row r="1009" spans="2:2" ht="15.6">
      <c r="B1009" s="159"/>
    </row>
    <row r="1010" spans="2:2" ht="15.6">
      <c r="B1010" s="159"/>
    </row>
    <row r="1011" spans="2:2" ht="15.6">
      <c r="B1011" s="159"/>
    </row>
    <row r="1012" spans="2:2" ht="15.6">
      <c r="B1012" s="159"/>
    </row>
    <row r="1013" spans="2:2" ht="15.6">
      <c r="B1013" s="159"/>
    </row>
    <row r="1014" spans="2:2" ht="15.6">
      <c r="B1014" s="159"/>
    </row>
    <row r="1015" spans="2:2" ht="15.6">
      <c r="B1015" s="159"/>
    </row>
    <row r="1016" spans="2:2" ht="15.6">
      <c r="B1016" s="159"/>
    </row>
    <row r="1017" spans="2:2" ht="15.6">
      <c r="B1017" s="159"/>
    </row>
    <row r="1018" spans="2:2" ht="15.6">
      <c r="B1018" s="159"/>
    </row>
    <row r="1019" spans="2:2" ht="15.6">
      <c r="B1019" s="159"/>
    </row>
    <row r="1020" spans="2:2" ht="15.6">
      <c r="B1020" s="159"/>
    </row>
    <row r="1021" spans="2:2" ht="15.6">
      <c r="B1021" s="159"/>
    </row>
    <row r="1022" spans="2:2" ht="15.6">
      <c r="B1022" s="159"/>
    </row>
    <row r="1023" spans="2:2" ht="15.6">
      <c r="B1023" s="159"/>
    </row>
    <row r="1024" spans="2:2" ht="15.6">
      <c r="B1024" s="159"/>
    </row>
    <row r="1025" spans="2:2" ht="15.6">
      <c r="B1025" s="159"/>
    </row>
    <row r="1026" spans="2:2" ht="15.6">
      <c r="B1026" s="159"/>
    </row>
    <row r="1027" spans="2:2" ht="15.6">
      <c r="B1027" s="159"/>
    </row>
    <row r="1028" spans="2:2" ht="15.6">
      <c r="B1028" s="159"/>
    </row>
    <row r="1029" spans="2:2" ht="15.6">
      <c r="B1029" s="159"/>
    </row>
    <row r="1030" spans="2:2" ht="15.6">
      <c r="B1030" s="159"/>
    </row>
    <row r="1031" spans="2:2" ht="15.6">
      <c r="B1031" s="159"/>
    </row>
    <row r="1032" spans="2:2" ht="15.6">
      <c r="B1032" s="159"/>
    </row>
    <row r="1033" spans="2:2" ht="15.6">
      <c r="B1033" s="159"/>
    </row>
    <row r="1034" spans="2:2" ht="15.6">
      <c r="B1034" s="159"/>
    </row>
    <row r="1035" spans="2:2" ht="15.6">
      <c r="B1035" s="159"/>
    </row>
    <row r="1036" spans="2:2" ht="15.6">
      <c r="B1036" s="159"/>
    </row>
    <row r="1037" spans="2:2" ht="15.6">
      <c r="B1037" s="159"/>
    </row>
    <row r="1038" spans="2:2" ht="15.6">
      <c r="B1038" s="159"/>
    </row>
    <row r="1039" spans="2:2" ht="15.6">
      <c r="B1039" s="159"/>
    </row>
    <row r="1040" spans="2:2" ht="15.6">
      <c r="B1040" s="159"/>
    </row>
    <row r="1041" spans="2:2" ht="15.6">
      <c r="B1041" s="159"/>
    </row>
    <row r="1042" spans="2:2" ht="15.6">
      <c r="B1042" s="159"/>
    </row>
    <row r="1043" spans="2:2" ht="15.6">
      <c r="B1043" s="159"/>
    </row>
    <row r="1044" spans="2:2" ht="15.6">
      <c r="B1044" s="159"/>
    </row>
    <row r="1045" spans="2:2" ht="15.6">
      <c r="B1045" s="159"/>
    </row>
    <row r="1046" spans="2:2" ht="15.6">
      <c r="B1046" s="159"/>
    </row>
    <row r="1047" spans="2:2" ht="15.6">
      <c r="B1047" s="159"/>
    </row>
    <row r="1048" spans="2:2" ht="15.6">
      <c r="B1048" s="159"/>
    </row>
    <row r="1049" spans="2:2" ht="15.6">
      <c r="B1049" s="159"/>
    </row>
    <row r="1050" spans="2:2" ht="15.6">
      <c r="B1050" s="159"/>
    </row>
    <row r="1051" spans="2:2" ht="15.6">
      <c r="B1051" s="159"/>
    </row>
    <row r="1052" spans="2:2" ht="15.6">
      <c r="B1052" s="159"/>
    </row>
    <row r="1053" spans="2:2" ht="15.6">
      <c r="B1053" s="159"/>
    </row>
    <row r="1054" spans="2:2" ht="15.6">
      <c r="B1054" s="159"/>
    </row>
    <row r="1055" spans="2:2" ht="15.6">
      <c r="B1055" s="159"/>
    </row>
    <row r="1056" spans="2:2" ht="15.6">
      <c r="B1056" s="159"/>
    </row>
    <row r="1057" spans="2:2" ht="15.6">
      <c r="B1057" s="159"/>
    </row>
    <row r="1058" spans="2:2" ht="15.6">
      <c r="B1058" s="159"/>
    </row>
    <row r="1059" spans="2:2" ht="15.6">
      <c r="B1059" s="159"/>
    </row>
    <row r="1060" spans="2:2" ht="15.6">
      <c r="B1060" s="159"/>
    </row>
    <row r="1061" spans="2:2" ht="15.6">
      <c r="B1061" s="159"/>
    </row>
    <row r="1062" spans="2:2" ht="15.6">
      <c r="B1062" s="159"/>
    </row>
    <row r="1063" spans="2:2" ht="15.6">
      <c r="B1063" s="159"/>
    </row>
    <row r="1064" spans="2:2" ht="15.6">
      <c r="B1064" s="159"/>
    </row>
    <row r="1065" spans="2:2" ht="15.6">
      <c r="B1065" s="159"/>
    </row>
    <row r="1066" spans="2:2" ht="15.6">
      <c r="B1066" s="159"/>
    </row>
    <row r="1067" spans="2:2" ht="15.6">
      <c r="B1067" s="159"/>
    </row>
    <row r="1068" spans="2:2" ht="15.6">
      <c r="B1068" s="159"/>
    </row>
    <row r="1069" spans="2:2" ht="15.6">
      <c r="B1069" s="159"/>
    </row>
    <row r="1070" spans="2:2" ht="15.6">
      <c r="B1070" s="159"/>
    </row>
    <row r="1071" spans="2:2" ht="15.6">
      <c r="B1071" s="159"/>
    </row>
    <row r="1072" spans="2:2" ht="15.6">
      <c r="B1072" s="159"/>
    </row>
    <row r="1073" spans="2:2" ht="15.6">
      <c r="B1073" s="159"/>
    </row>
    <row r="1074" spans="2:2" ht="15.6">
      <c r="B1074" s="159"/>
    </row>
    <row r="1075" spans="2:2" ht="15.6">
      <c r="B1075" s="159"/>
    </row>
    <row r="1076" spans="2:2" ht="15.6">
      <c r="B1076" s="159"/>
    </row>
    <row r="1077" spans="2:2" ht="15.6">
      <c r="B1077" s="159"/>
    </row>
    <row r="1078" spans="2:2" ht="15.6">
      <c r="B1078" s="159"/>
    </row>
    <row r="1079" spans="2:2" ht="15.6">
      <c r="B1079" s="159"/>
    </row>
    <row r="1080" spans="2:2" ht="15.6">
      <c r="B1080" s="159"/>
    </row>
    <row r="1081" spans="2:2" ht="15.6">
      <c r="B1081" s="159"/>
    </row>
    <row r="1082" spans="2:2" ht="15.6">
      <c r="B1082" s="159"/>
    </row>
    <row r="1083" spans="2:2" ht="15.6">
      <c r="B1083" s="159"/>
    </row>
    <row r="1084" spans="2:2" ht="15.6">
      <c r="B1084" s="159"/>
    </row>
    <row r="1085" spans="2:2" ht="15.6">
      <c r="B1085" s="159"/>
    </row>
    <row r="1086" spans="2:2" ht="15.6">
      <c r="B1086" s="159"/>
    </row>
    <row r="1087" spans="2:2" ht="15.6">
      <c r="B1087" s="159"/>
    </row>
    <row r="1088" spans="2:2" ht="15.6">
      <c r="B1088" s="159"/>
    </row>
    <row r="1089" spans="2:2" ht="15.6">
      <c r="B1089" s="159"/>
    </row>
    <row r="1090" spans="2:2" ht="15.6">
      <c r="B1090" s="159"/>
    </row>
    <row r="1091" spans="2:2" ht="15.6">
      <c r="B1091" s="159"/>
    </row>
    <row r="1092" spans="2:2" ht="15.6">
      <c r="B1092" s="159"/>
    </row>
    <row r="1093" spans="2:2" ht="15.6">
      <c r="B1093" s="159"/>
    </row>
    <row r="1094" spans="2:2" ht="15.6">
      <c r="B1094" s="159"/>
    </row>
    <row r="1095" spans="2:2" ht="15.6">
      <c r="B1095" s="159"/>
    </row>
    <row r="1096" spans="2:2" ht="15.6">
      <c r="B1096" s="159"/>
    </row>
    <row r="1097" spans="2:2" ht="15.6">
      <c r="B1097" s="159"/>
    </row>
    <row r="1098" spans="2:2" ht="15.6">
      <c r="B1098" s="159"/>
    </row>
    <row r="1099" spans="2:2" ht="15.6">
      <c r="B1099" s="159"/>
    </row>
    <row r="1100" spans="2:2" ht="15.6">
      <c r="B1100" s="159"/>
    </row>
    <row r="1101" spans="2:2" ht="15.6">
      <c r="B1101" s="159"/>
    </row>
    <row r="1102" spans="2:2" ht="15.6">
      <c r="B1102" s="159"/>
    </row>
    <row r="1103" spans="2:2" ht="15.6">
      <c r="B1103" s="159"/>
    </row>
    <row r="1104" spans="2:2" ht="15.6">
      <c r="B1104" s="159"/>
    </row>
    <row r="1105" spans="2:2" ht="15.6">
      <c r="B1105" s="159"/>
    </row>
    <row r="1106" spans="2:2" ht="15.6">
      <c r="B1106" s="159"/>
    </row>
    <row r="1107" spans="2:2" ht="15.6">
      <c r="B1107" s="159"/>
    </row>
    <row r="1108" spans="2:2" ht="15.6">
      <c r="B1108" s="159"/>
    </row>
    <row r="1109" spans="2:2" ht="15.6">
      <c r="B1109" s="159"/>
    </row>
    <row r="1110" spans="2:2" ht="15.6">
      <c r="B1110" s="159"/>
    </row>
    <row r="1111" spans="2:2" ht="15.6">
      <c r="B1111" s="159"/>
    </row>
    <row r="1112" spans="2:2" ht="15.6">
      <c r="B1112" s="159"/>
    </row>
    <row r="1113" spans="2:2" ht="15.6">
      <c r="B1113" s="159"/>
    </row>
    <row r="1114" spans="2:2" ht="15.6">
      <c r="B1114" s="159"/>
    </row>
    <row r="1115" spans="2:2" ht="15.6">
      <c r="B1115" s="159"/>
    </row>
    <row r="1116" spans="2:2" ht="15.6">
      <c r="B1116" s="159"/>
    </row>
    <row r="1117" spans="2:2" ht="15.6">
      <c r="B1117" s="159"/>
    </row>
    <row r="1118" spans="2:2" ht="15.6">
      <c r="B1118" s="159"/>
    </row>
    <row r="1119" spans="2:2" ht="15.6">
      <c r="B1119" s="159"/>
    </row>
    <row r="1120" spans="2:2" ht="15.6">
      <c r="B1120" s="159"/>
    </row>
    <row r="1121" spans="2:2" ht="15.6">
      <c r="B1121" s="159"/>
    </row>
    <row r="1122" spans="2:2" ht="15.6">
      <c r="B1122" s="159"/>
    </row>
    <row r="1123" spans="2:2" ht="15.6">
      <c r="B1123" s="159"/>
    </row>
    <row r="1124" spans="2:2" ht="15.6">
      <c r="B1124" s="159"/>
    </row>
    <row r="1125" spans="2:2" ht="15.6">
      <c r="B1125" s="159"/>
    </row>
    <row r="1126" spans="2:2" ht="15.6">
      <c r="B1126" s="159"/>
    </row>
    <row r="1127" spans="2:2" ht="15.6">
      <c r="B1127" s="159"/>
    </row>
    <row r="1128" spans="2:2" ht="15.6">
      <c r="B1128" s="159"/>
    </row>
    <row r="1129" spans="2:2" ht="15.6">
      <c r="B1129" s="159"/>
    </row>
    <row r="1130" spans="2:2" ht="15.6">
      <c r="B1130" s="159"/>
    </row>
    <row r="1131" spans="2:2" ht="15.6">
      <c r="B1131" s="159"/>
    </row>
    <row r="1132" spans="2:2" ht="15.6">
      <c r="B1132" s="159"/>
    </row>
    <row r="1133" spans="2:2" ht="15.6">
      <c r="B1133" s="159"/>
    </row>
    <row r="1134" spans="2:2" ht="15.6">
      <c r="B1134" s="159"/>
    </row>
    <row r="1135" spans="2:2" ht="15.6">
      <c r="B1135" s="159"/>
    </row>
    <row r="1136" spans="2:2" ht="15.6">
      <c r="B1136" s="159"/>
    </row>
    <row r="1137" spans="2:2" ht="15.6">
      <c r="B1137" s="159"/>
    </row>
    <row r="1138" spans="2:2" ht="15.6">
      <c r="B1138" s="159"/>
    </row>
    <row r="1139" spans="2:2" ht="15.6">
      <c r="B1139" s="159"/>
    </row>
    <row r="1140" spans="2:2" ht="15.6">
      <c r="B1140" s="159"/>
    </row>
    <row r="1141" spans="2:2" ht="15.6">
      <c r="B1141" s="159"/>
    </row>
    <row r="1142" spans="2:2" ht="15.6">
      <c r="B1142" s="159"/>
    </row>
    <row r="1143" spans="2:2" ht="15.6">
      <c r="B1143" s="159"/>
    </row>
    <row r="1144" spans="2:2" ht="15.6">
      <c r="B1144" s="159"/>
    </row>
    <row r="1145" spans="2:2" ht="15.6">
      <c r="B1145" s="159"/>
    </row>
    <row r="1146" spans="2:2" ht="15.6">
      <c r="B1146" s="159"/>
    </row>
    <row r="1147" spans="2:2" ht="15.6">
      <c r="B1147" s="159"/>
    </row>
    <row r="1148" spans="2:2" ht="15.6">
      <c r="B1148" s="159"/>
    </row>
    <row r="1149" spans="2:2" ht="15.6">
      <c r="B1149" s="159"/>
    </row>
    <row r="1150" spans="2:2" ht="15.6">
      <c r="B1150" s="159"/>
    </row>
    <row r="1151" spans="2:2" ht="15.6">
      <c r="B1151" s="159"/>
    </row>
    <row r="1152" spans="2:2" ht="15.6">
      <c r="B1152" s="159"/>
    </row>
    <row r="1153" spans="2:2" ht="15.6">
      <c r="B1153" s="159"/>
    </row>
    <row r="1154" spans="2:2" ht="15.6">
      <c r="B1154" s="159"/>
    </row>
    <row r="1155" spans="2:2" ht="15.6">
      <c r="B1155" s="159"/>
    </row>
    <row r="1156" spans="2:2" ht="15.6">
      <c r="B1156" s="159"/>
    </row>
    <row r="1157" spans="2:2" ht="15.6">
      <c r="B1157" s="159"/>
    </row>
    <row r="1158" spans="2:2" ht="15.6">
      <c r="B1158" s="159"/>
    </row>
    <row r="1159" spans="2:2" ht="15.6">
      <c r="B1159" s="159"/>
    </row>
    <row r="1160" spans="2:2" ht="15.6">
      <c r="B1160" s="159"/>
    </row>
    <row r="1161" spans="2:2" ht="15.6">
      <c r="B1161" s="159"/>
    </row>
    <row r="1162" spans="2:2" ht="15.6">
      <c r="B1162" s="159"/>
    </row>
    <row r="1163" spans="2:2" ht="15.6">
      <c r="B1163" s="159"/>
    </row>
    <row r="1164" spans="2:2" ht="15.6">
      <c r="B1164" s="159"/>
    </row>
    <row r="1165" spans="2:2" ht="15.6">
      <c r="B1165" s="159"/>
    </row>
    <row r="1166" spans="2:2" ht="15.6">
      <c r="B1166" s="159"/>
    </row>
    <row r="1167" spans="2:2" ht="15.6">
      <c r="B1167" s="159"/>
    </row>
    <row r="1168" spans="2:2" ht="15.6">
      <c r="B1168" s="159"/>
    </row>
    <row r="1169" spans="2:2" ht="15.6">
      <c r="B1169" s="159"/>
    </row>
    <row r="1170" spans="2:2" ht="15.6">
      <c r="B1170" s="159"/>
    </row>
    <row r="1171" spans="2:2" ht="15.6">
      <c r="B1171" s="159"/>
    </row>
    <row r="1172" spans="2:2" ht="15.6">
      <c r="B1172" s="159"/>
    </row>
    <row r="1173" spans="2:2" ht="15.6">
      <c r="B1173" s="159"/>
    </row>
    <row r="1174" spans="2:2" ht="15.6">
      <c r="B1174" s="159"/>
    </row>
    <row r="1175" spans="2:2" ht="15.6">
      <c r="B1175" s="159"/>
    </row>
    <row r="1176" spans="2:2" ht="15.6">
      <c r="B1176" s="159"/>
    </row>
    <row r="1177" spans="2:2" ht="15.6">
      <c r="B1177" s="159"/>
    </row>
    <row r="1178" spans="2:2" ht="15.6">
      <c r="B1178" s="159"/>
    </row>
    <row r="1179" spans="2:2" ht="15.6">
      <c r="B1179" s="159"/>
    </row>
    <row r="1180" spans="2:2" ht="15.6">
      <c r="B1180" s="159"/>
    </row>
    <row r="1181" spans="2:2" ht="15.6">
      <c r="B1181" s="159"/>
    </row>
    <row r="1182" spans="2:2" ht="15.6">
      <c r="B1182" s="159"/>
    </row>
    <row r="1183" spans="2:2" ht="15.6">
      <c r="B1183" s="159"/>
    </row>
    <row r="1184" spans="2:2" ht="15.6">
      <c r="B1184" s="159"/>
    </row>
    <row r="1185" spans="2:2" ht="15.6">
      <c r="B1185" s="159"/>
    </row>
    <row r="1186" spans="2:2" ht="15.6">
      <c r="B1186" s="159"/>
    </row>
    <row r="1187" spans="2:2" ht="15.6">
      <c r="B1187" s="159"/>
    </row>
    <row r="1188" spans="2:2" ht="15.6">
      <c r="B1188" s="159"/>
    </row>
    <row r="1189" spans="2:2" ht="15.6">
      <c r="B1189" s="159"/>
    </row>
    <row r="1190" spans="2:2" ht="15.6">
      <c r="B1190" s="159"/>
    </row>
    <row r="1191" spans="2:2" ht="15.6">
      <c r="B1191" s="159"/>
    </row>
    <row r="1192" spans="2:2" ht="15.6">
      <c r="B1192" s="159"/>
    </row>
    <row r="1193" spans="2:2" ht="15.6">
      <c r="B1193" s="159"/>
    </row>
    <row r="1194" spans="2:2" ht="15.6">
      <c r="B1194" s="159"/>
    </row>
    <row r="1195" spans="2:2" ht="15.6">
      <c r="B1195" s="159"/>
    </row>
    <row r="1196" spans="2:2" ht="15.6">
      <c r="B1196" s="159"/>
    </row>
    <row r="1197" spans="2:2" ht="15.6">
      <c r="B1197" s="159"/>
    </row>
    <row r="1198" spans="2:2" ht="15.6">
      <c r="B1198" s="159"/>
    </row>
    <row r="1199" spans="2:2" ht="15.6">
      <c r="B1199" s="159"/>
    </row>
    <row r="1200" spans="2:2" ht="15.6">
      <c r="B1200" s="159"/>
    </row>
    <row r="1201" spans="2:2" ht="15.6">
      <c r="B1201" s="159"/>
    </row>
    <row r="1202" spans="2:2" ht="15.6">
      <c r="B1202" s="159"/>
    </row>
    <row r="1203" spans="2:2" ht="15.6">
      <c r="B1203" s="159"/>
    </row>
    <row r="1204" spans="2:2" ht="15.6">
      <c r="B1204" s="159"/>
    </row>
    <row r="1205" spans="2:2" ht="15.6">
      <c r="B1205" s="159"/>
    </row>
    <row r="1206" spans="2:2" ht="15.6">
      <c r="B1206" s="159"/>
    </row>
    <row r="1207" spans="2:2" ht="15.6">
      <c r="B1207" s="159"/>
    </row>
    <row r="1208" spans="2:2" ht="15.6">
      <c r="B1208" s="159"/>
    </row>
    <row r="1209" spans="2:2" ht="15.6">
      <c r="B1209" s="159"/>
    </row>
    <row r="1210" spans="2:2" ht="15.6">
      <c r="B1210" s="159"/>
    </row>
    <row r="1211" spans="2:2" ht="15.6">
      <c r="B1211" s="159"/>
    </row>
    <row r="1212" spans="2:2" ht="15.6">
      <c r="B1212" s="159"/>
    </row>
    <row r="1213" spans="2:2" ht="15.6">
      <c r="B1213" s="159"/>
    </row>
    <row r="1214" spans="2:2" ht="15.6">
      <c r="B1214" s="159"/>
    </row>
    <row r="1215" spans="2:2" ht="15.6">
      <c r="B1215" s="159"/>
    </row>
    <row r="1216" spans="2:2" ht="15.6">
      <c r="B1216" s="159"/>
    </row>
    <row r="1217" spans="2:2" ht="15.6">
      <c r="B1217" s="159"/>
    </row>
    <row r="1218" spans="2:2" ht="15.6">
      <c r="B1218" s="159"/>
    </row>
    <row r="1219" spans="2:2" ht="15.6">
      <c r="B1219" s="159"/>
    </row>
    <row r="1220" spans="2:2" ht="15.6">
      <c r="B1220" s="159"/>
    </row>
    <row r="1221" spans="2:2" ht="15.6">
      <c r="B1221" s="159"/>
    </row>
    <row r="1222" spans="2:2" ht="15.6">
      <c r="B1222" s="159"/>
    </row>
    <row r="1223" spans="2:2" ht="15.6">
      <c r="B1223" s="159"/>
    </row>
    <row r="1224" spans="2:2" ht="15.6">
      <c r="B1224" s="159"/>
    </row>
    <row r="1225" spans="2:2" ht="15.6">
      <c r="B1225" s="159"/>
    </row>
    <row r="1226" spans="2:2" ht="15.6">
      <c r="B1226" s="159"/>
    </row>
    <row r="1227" spans="2:2" ht="15.6">
      <c r="B1227" s="159"/>
    </row>
    <row r="1228" spans="2:2" ht="15.6">
      <c r="B1228" s="159"/>
    </row>
    <row r="1229" spans="2:2" ht="15.6">
      <c r="B1229" s="159"/>
    </row>
    <row r="1230" spans="2:2" ht="15.6">
      <c r="B1230" s="159"/>
    </row>
    <row r="1231" spans="2:2" ht="15.6">
      <c r="B1231" s="159"/>
    </row>
    <row r="1232" spans="2:2" ht="15.6">
      <c r="B1232" s="159"/>
    </row>
    <row r="1233" spans="2:2" ht="15.6">
      <c r="B1233" s="159"/>
    </row>
    <row r="1234" spans="2:2" ht="15.6">
      <c r="B1234" s="159"/>
    </row>
    <row r="1235" spans="2:2" ht="15.6">
      <c r="B1235" s="159"/>
    </row>
    <row r="1236" spans="2:2" ht="15.6">
      <c r="B1236" s="159"/>
    </row>
    <row r="1237" spans="2:2" ht="15.6">
      <c r="B1237" s="159"/>
    </row>
    <row r="1238" spans="2:2" ht="15.6">
      <c r="B1238" s="159"/>
    </row>
    <row r="1239" spans="2:2" ht="15.6">
      <c r="B1239" s="159"/>
    </row>
    <row r="1240" spans="2:2" ht="15.6">
      <c r="B1240" s="159"/>
    </row>
    <row r="1241" spans="2:2" ht="15.6">
      <c r="B1241" s="159"/>
    </row>
    <row r="1242" spans="2:2" ht="15.6">
      <c r="B1242" s="159"/>
    </row>
    <row r="1243" spans="2:2" ht="15.6">
      <c r="B1243" s="159"/>
    </row>
    <row r="1244" spans="2:2" ht="15.6">
      <c r="B1244" s="159"/>
    </row>
    <row r="1245" spans="2:2" ht="15.6">
      <c r="B1245" s="159"/>
    </row>
    <row r="1246" spans="2:2" ht="15.6">
      <c r="B1246" s="159"/>
    </row>
    <row r="1247" spans="2:2" ht="15.6">
      <c r="B1247" s="159"/>
    </row>
    <row r="1248" spans="2:2" ht="15.6">
      <c r="B1248" s="159"/>
    </row>
    <row r="1249" spans="2:2" ht="15.6">
      <c r="B1249" s="159"/>
    </row>
    <row r="1250" spans="2:2" ht="15.6">
      <c r="B1250" s="159"/>
    </row>
    <row r="1251" spans="2:2" ht="15.6">
      <c r="B1251" s="159"/>
    </row>
    <row r="1252" spans="2:2" ht="15.6">
      <c r="B1252" s="159"/>
    </row>
    <row r="1253" spans="2:2" ht="15.6">
      <c r="B1253" s="159"/>
    </row>
    <row r="1254" spans="2:2" ht="15.6">
      <c r="B1254" s="159"/>
    </row>
    <row r="1255" spans="2:2" ht="15.6">
      <c r="B1255" s="159"/>
    </row>
    <row r="1256" spans="2:2" ht="15.6">
      <c r="B1256" s="159"/>
    </row>
    <row r="1257" spans="2:2" ht="15.6">
      <c r="B1257" s="159"/>
    </row>
    <row r="1258" spans="2:2" ht="15.6">
      <c r="B1258" s="159"/>
    </row>
    <row r="1259" spans="2:2" ht="15.6">
      <c r="B1259" s="159"/>
    </row>
    <row r="1260" spans="2:2" ht="15.6">
      <c r="B1260" s="159"/>
    </row>
    <row r="1261" spans="2:2" ht="15.6">
      <c r="B1261" s="159"/>
    </row>
    <row r="1262" spans="2:2" ht="15.6">
      <c r="B1262" s="159"/>
    </row>
    <row r="1263" spans="2:2" ht="15.6">
      <c r="B1263" s="159"/>
    </row>
    <row r="1264" spans="2:2" ht="15.6">
      <c r="B1264" s="159"/>
    </row>
    <row r="1265" spans="2:2" ht="15.6">
      <c r="B1265" s="159"/>
    </row>
    <row r="1266" spans="2:2" ht="15.6">
      <c r="B1266" s="159"/>
    </row>
    <row r="1267" spans="2:2" ht="15.6">
      <c r="B1267" s="159"/>
    </row>
    <row r="1268" spans="2:2" ht="15.6">
      <c r="B1268" s="159"/>
    </row>
    <row r="1269" spans="2:2" ht="15.6">
      <c r="B1269" s="159"/>
    </row>
    <row r="1270" spans="2:2" ht="15.6">
      <c r="B1270" s="159"/>
    </row>
    <row r="1271" spans="2:2" ht="15.6">
      <c r="B1271" s="159"/>
    </row>
    <row r="1272" spans="2:2" ht="15.6">
      <c r="B1272" s="159"/>
    </row>
    <row r="1273" spans="2:2" ht="15.6">
      <c r="B1273" s="159"/>
    </row>
    <row r="1274" spans="2:2" ht="15.6">
      <c r="B1274" s="159"/>
    </row>
    <row r="1275" spans="2:2" ht="15.6">
      <c r="B1275" s="159"/>
    </row>
    <row r="1276" spans="2:2" ht="15.6">
      <c r="B1276" s="159"/>
    </row>
    <row r="1277" spans="2:2" ht="15.6">
      <c r="B1277" s="159"/>
    </row>
    <row r="1278" spans="2:2" ht="15.6">
      <c r="B1278" s="159"/>
    </row>
    <row r="1279" spans="2:2" ht="15.6">
      <c r="B1279" s="159"/>
    </row>
    <row r="1280" spans="2:2" ht="15.6">
      <c r="B1280" s="159"/>
    </row>
    <row r="1281" spans="2:2" ht="15.6">
      <c r="B1281" s="159"/>
    </row>
    <row r="1282" spans="2:2" ht="15.6">
      <c r="B1282" s="159"/>
    </row>
    <row r="1283" spans="2:2" ht="15.6">
      <c r="B1283" s="159"/>
    </row>
    <row r="1284" spans="2:2" ht="15.6">
      <c r="B1284" s="159"/>
    </row>
    <row r="1285" spans="2:2" ht="15.6">
      <c r="B1285" s="159"/>
    </row>
    <row r="1286" spans="2:2" ht="15.6">
      <c r="B1286" s="159"/>
    </row>
    <row r="1287" spans="2:2" ht="15.6">
      <c r="B1287" s="159"/>
    </row>
    <row r="1288" spans="2:2" ht="15.6">
      <c r="B1288" s="159"/>
    </row>
    <row r="1289" spans="2:2" ht="15.6">
      <c r="B1289" s="159"/>
    </row>
    <row r="1290" spans="2:2" ht="15.6">
      <c r="B1290" s="159"/>
    </row>
    <row r="1291" spans="2:2" ht="15.6">
      <c r="B1291" s="159"/>
    </row>
    <row r="1292" spans="2:2" ht="15.6">
      <c r="B1292" s="159"/>
    </row>
    <row r="1293" spans="2:2" ht="15.6">
      <c r="B1293" s="159"/>
    </row>
    <row r="1294" spans="2:2" ht="15.6">
      <c r="B1294" s="159"/>
    </row>
    <row r="1295" spans="2:2" ht="15.6">
      <c r="B1295" s="159"/>
    </row>
    <row r="1296" spans="2:2" ht="15.6">
      <c r="B1296" s="159"/>
    </row>
    <row r="1297" spans="2:2" ht="15.6">
      <c r="B1297" s="159"/>
    </row>
    <row r="1298" spans="2:2" ht="15.6">
      <c r="B1298" s="159"/>
    </row>
    <row r="1299" spans="2:2" ht="15.6">
      <c r="B1299" s="159"/>
    </row>
    <row r="1300" spans="2:2" ht="15.6">
      <c r="B1300" s="159"/>
    </row>
    <row r="1301" spans="2:2" ht="15.6">
      <c r="B1301" s="159"/>
    </row>
    <row r="1302" spans="2:2" ht="15.6">
      <c r="B1302" s="159"/>
    </row>
    <row r="1303" spans="2:2" ht="15.6">
      <c r="B1303" s="159"/>
    </row>
    <row r="1304" spans="2:2" ht="15.6">
      <c r="B1304" s="159"/>
    </row>
    <row r="1305" spans="2:2" ht="15.6">
      <c r="B1305" s="159"/>
    </row>
    <row r="1306" spans="2:2" ht="15.6">
      <c r="B1306" s="159"/>
    </row>
    <row r="1307" spans="2:2" ht="15.6">
      <c r="B1307" s="159"/>
    </row>
    <row r="1308" spans="2:2" ht="15.6">
      <c r="B1308" s="159"/>
    </row>
    <row r="1309" spans="2:2" ht="15.6">
      <c r="B1309" s="159"/>
    </row>
    <row r="1310" spans="2:2" ht="15.6">
      <c r="B1310" s="159"/>
    </row>
    <row r="1311" spans="2:2" ht="15.6">
      <c r="B1311" s="159"/>
    </row>
    <row r="1312" spans="2:2" ht="15.6">
      <c r="B1312" s="159"/>
    </row>
    <row r="1313" spans="2:2" ht="15.6">
      <c r="B1313" s="159"/>
    </row>
    <row r="1314" spans="2:2" ht="15.6">
      <c r="B1314" s="159"/>
    </row>
    <row r="1315" spans="2:2" ht="15.6">
      <c r="B1315" s="159"/>
    </row>
    <row r="1316" spans="2:2" ht="15.6">
      <c r="B1316" s="159"/>
    </row>
    <row r="1317" spans="2:2" ht="15.6">
      <c r="B1317" s="159"/>
    </row>
    <row r="1318" spans="2:2" ht="15.6">
      <c r="B1318" s="159"/>
    </row>
    <row r="1319" spans="2:2" ht="15.6">
      <c r="B1319" s="159"/>
    </row>
    <row r="1320" spans="2:2" ht="15.6">
      <c r="B1320" s="159"/>
    </row>
    <row r="1321" spans="2:2" ht="15.6">
      <c r="B1321" s="159"/>
    </row>
    <row r="1322" spans="2:2" ht="15.6">
      <c r="B1322" s="159"/>
    </row>
    <row r="1323" spans="2:2" ht="15.6">
      <c r="B1323" s="159"/>
    </row>
    <row r="1324" spans="2:2" ht="15.6">
      <c r="B1324" s="159"/>
    </row>
    <row r="1325" spans="2:2" ht="15.6">
      <c r="B1325" s="159"/>
    </row>
    <row r="1326" spans="2:2" ht="15.6">
      <c r="B1326" s="159"/>
    </row>
    <row r="1327" spans="2:2" ht="15.6">
      <c r="B1327" s="159"/>
    </row>
    <row r="1328" spans="2:2" ht="15.6">
      <c r="B1328" s="159"/>
    </row>
    <row r="1329" spans="2:2" ht="15.6">
      <c r="B1329" s="159"/>
    </row>
    <row r="1330" spans="2:2" ht="15.6">
      <c r="B1330" s="159"/>
    </row>
    <row r="1331" spans="2:2" ht="15.6">
      <c r="B1331" s="159"/>
    </row>
    <row r="1332" spans="2:2" ht="15.6">
      <c r="B1332" s="159"/>
    </row>
    <row r="1333" spans="2:2" ht="15.6">
      <c r="B1333" s="159"/>
    </row>
    <row r="1334" spans="2:2" ht="15.6">
      <c r="B1334" s="159"/>
    </row>
    <row r="1335" spans="2:2" ht="15.6">
      <c r="B1335" s="159"/>
    </row>
    <row r="1336" spans="2:2" ht="15.6">
      <c r="B1336" s="159"/>
    </row>
    <row r="1337" spans="2:2" ht="15.6">
      <c r="B1337" s="159"/>
    </row>
    <row r="1338" spans="2:2" ht="15.6">
      <c r="B1338" s="159"/>
    </row>
    <row r="1339" spans="2:2" ht="15.6">
      <c r="B1339" s="159"/>
    </row>
    <row r="1340" spans="2:2" ht="15.6">
      <c r="B1340" s="159"/>
    </row>
    <row r="1341" spans="2:2" ht="15.6">
      <c r="B1341" s="159"/>
    </row>
    <row r="1342" spans="2:2" ht="15.6">
      <c r="B1342" s="159"/>
    </row>
    <row r="1343" spans="2:2" ht="15.6">
      <c r="B1343" s="159"/>
    </row>
    <row r="1344" spans="2:2" ht="15.6">
      <c r="B1344" s="159"/>
    </row>
    <row r="1345" spans="2:2" ht="15.6">
      <c r="B1345" s="159"/>
    </row>
    <row r="1346" spans="2:2" ht="15.6">
      <c r="B1346" s="159"/>
    </row>
    <row r="1347" spans="2:2" ht="15.6">
      <c r="B1347" s="159"/>
    </row>
    <row r="1348" spans="2:2" ht="15.6">
      <c r="B1348" s="159"/>
    </row>
    <row r="1349" spans="2:2" ht="15.6">
      <c r="B1349" s="159"/>
    </row>
    <row r="1350" spans="2:2" ht="15.6">
      <c r="B1350" s="159"/>
    </row>
    <row r="1351" spans="2:2" ht="15.6">
      <c r="B1351" s="159"/>
    </row>
    <row r="1352" spans="2:2" ht="15.6">
      <c r="B1352" s="159"/>
    </row>
    <row r="1353" spans="2:2" ht="15.6">
      <c r="B1353" s="159"/>
    </row>
    <row r="1354" spans="2:2" ht="15.6">
      <c r="B1354" s="159"/>
    </row>
    <row r="1355" spans="2:2" ht="15.6">
      <c r="B1355" s="159"/>
    </row>
    <row r="1356" spans="2:2" ht="15.6">
      <c r="B1356" s="159"/>
    </row>
    <row r="1357" spans="2:2" ht="15.6">
      <c r="B1357" s="159"/>
    </row>
    <row r="1358" spans="2:2" ht="15.6">
      <c r="B1358" s="159"/>
    </row>
    <row r="1359" spans="2:2" ht="15.6">
      <c r="B1359" s="159"/>
    </row>
    <row r="1360" spans="2:2" ht="15.6">
      <c r="B1360" s="159"/>
    </row>
    <row r="1361" spans="2:2" ht="15.6">
      <c r="B1361" s="159"/>
    </row>
    <row r="1362" spans="2:2" ht="15.6">
      <c r="B1362" s="159"/>
    </row>
    <row r="1363" spans="2:2" ht="15.6">
      <c r="B1363" s="159"/>
    </row>
    <row r="1364" spans="2:2" ht="15.6">
      <c r="B1364" s="159"/>
    </row>
    <row r="1365" spans="2:2" ht="15.6">
      <c r="B1365" s="159"/>
    </row>
    <row r="1366" spans="2:2" ht="15.6">
      <c r="B1366" s="159"/>
    </row>
    <row r="1367" spans="2:2" ht="15.6">
      <c r="B1367" s="159"/>
    </row>
    <row r="1368" spans="2:2" ht="15.6">
      <c r="B1368" s="159"/>
    </row>
    <row r="1369" spans="2:2" ht="15.6">
      <c r="B1369" s="159"/>
    </row>
    <row r="1370" spans="2:2" ht="15.6">
      <c r="B1370" s="159"/>
    </row>
    <row r="1371" spans="2:2" ht="15.6">
      <c r="B1371" s="159"/>
    </row>
    <row r="1372" spans="2:2" ht="15.6">
      <c r="B1372" s="159"/>
    </row>
    <row r="1373" spans="2:2" ht="15.6">
      <c r="B1373" s="159"/>
    </row>
    <row r="1374" spans="2:2" ht="15.6">
      <c r="B1374" s="159"/>
    </row>
    <row r="1375" spans="2:2" ht="15.6">
      <c r="B1375" s="159"/>
    </row>
    <row r="1376" spans="2:2" ht="15.6">
      <c r="B1376" s="159"/>
    </row>
    <row r="1377" spans="2:2" ht="15.6">
      <c r="B1377" s="159"/>
    </row>
    <row r="1378" spans="2:2" ht="15.6">
      <c r="B1378" s="159"/>
    </row>
    <row r="1379" spans="2:2" ht="15.6">
      <c r="B1379" s="159"/>
    </row>
    <row r="1380" spans="2:2" ht="15.6">
      <c r="B1380" s="159"/>
    </row>
    <row r="1381" spans="2:2" ht="15.6">
      <c r="B1381" s="159"/>
    </row>
    <row r="1382" spans="2:2" ht="15.6">
      <c r="B1382" s="159"/>
    </row>
    <row r="1383" spans="2:2" ht="15.6">
      <c r="B1383" s="159"/>
    </row>
    <row r="1384" spans="2:2" ht="15.6">
      <c r="B1384" s="159"/>
    </row>
    <row r="1385" spans="2:2" ht="15.6">
      <c r="B1385" s="159"/>
    </row>
    <row r="1386" spans="2:2" ht="15.6">
      <c r="B1386" s="159"/>
    </row>
    <row r="1387" spans="2:2" ht="15.6">
      <c r="B1387" s="159"/>
    </row>
    <row r="1388" spans="2:2" ht="15.6">
      <c r="B1388" s="159"/>
    </row>
    <row r="1389" spans="2:2" ht="15.6">
      <c r="B1389" s="159"/>
    </row>
    <row r="1390" spans="2:2" ht="15.6">
      <c r="B1390" s="159"/>
    </row>
    <row r="1391" spans="2:2" ht="15.6">
      <c r="B1391" s="159"/>
    </row>
    <row r="1392" spans="2:2" ht="15.6">
      <c r="B1392" s="159"/>
    </row>
    <row r="1393" spans="2:2" ht="15.6">
      <c r="B1393" s="159"/>
    </row>
    <row r="1394" spans="2:2" ht="15.6">
      <c r="B1394" s="159"/>
    </row>
    <row r="1395" spans="2:2" ht="15.6">
      <c r="B1395" s="159"/>
    </row>
    <row r="1396" spans="2:2" ht="15.6">
      <c r="B1396" s="159"/>
    </row>
    <row r="1397" spans="2:2" ht="15.6">
      <c r="B1397" s="159"/>
    </row>
    <row r="1398" spans="2:2" ht="15.6">
      <c r="B1398" s="159"/>
    </row>
    <row r="1399" spans="2:2" ht="15.6">
      <c r="B1399" s="159"/>
    </row>
    <row r="1400" spans="2:2" ht="15.6">
      <c r="B1400" s="159"/>
    </row>
    <row r="1401" spans="2:2" ht="15.6">
      <c r="B1401" s="159"/>
    </row>
    <row r="1402" spans="2:2" ht="15.6">
      <c r="B1402" s="159"/>
    </row>
    <row r="1403" spans="2:2" ht="15.6">
      <c r="B1403" s="159"/>
    </row>
    <row r="1404" spans="2:2" ht="15.6">
      <c r="B1404" s="159"/>
    </row>
    <row r="1405" spans="2:2" ht="15.6">
      <c r="B1405" s="159"/>
    </row>
    <row r="1406" spans="2:2" ht="15.6">
      <c r="B1406" s="159"/>
    </row>
    <row r="1407" spans="2:2" ht="15.6">
      <c r="B1407" s="159"/>
    </row>
    <row r="1408" spans="2:2" ht="15.6">
      <c r="B1408" s="159"/>
    </row>
    <row r="1409" spans="2:2" ht="15.6">
      <c r="B1409" s="159"/>
    </row>
    <row r="1410" spans="2:2" ht="15.6">
      <c r="B1410" s="159"/>
    </row>
    <row r="1411" spans="2:2" ht="15.6">
      <c r="B1411" s="159"/>
    </row>
    <row r="1412" spans="2:2" ht="15.6">
      <c r="B1412" s="159"/>
    </row>
    <row r="1413" spans="2:2" ht="15.6">
      <c r="B1413" s="159"/>
    </row>
    <row r="1414" spans="2:2" ht="15.6">
      <c r="B1414" s="159"/>
    </row>
    <row r="1415" spans="2:2" ht="15.6">
      <c r="B1415" s="159"/>
    </row>
    <row r="1416" spans="2:2" ht="15.6">
      <c r="B1416" s="159"/>
    </row>
    <row r="1417" spans="2:2" ht="15.6">
      <c r="B1417" s="159"/>
    </row>
    <row r="1418" spans="2:2" ht="15.6">
      <c r="B1418" s="159"/>
    </row>
    <row r="1419" spans="2:2" ht="15.6">
      <c r="B1419" s="159"/>
    </row>
    <row r="1420" spans="2:2" ht="15.6">
      <c r="B1420" s="159"/>
    </row>
    <row r="1421" spans="2:2" ht="15.6">
      <c r="B1421" s="159"/>
    </row>
    <row r="1422" spans="2:2" ht="15.6">
      <c r="B1422" s="159"/>
    </row>
    <row r="1423" spans="2:2" ht="15.6">
      <c r="B1423" s="159"/>
    </row>
    <row r="1424" spans="2:2" ht="15.6">
      <c r="B1424" s="159"/>
    </row>
    <row r="1425" spans="2:2" ht="15.6">
      <c r="B1425" s="159"/>
    </row>
    <row r="1426" spans="2:2" ht="15.6">
      <c r="B1426" s="159"/>
    </row>
    <row r="1427" spans="2:2" ht="15.6">
      <c r="B1427" s="159"/>
    </row>
    <row r="1428" spans="2:2" ht="15.6">
      <c r="B1428" s="159"/>
    </row>
    <row r="1429" spans="2:2" ht="15.6">
      <c r="B1429" s="159"/>
    </row>
    <row r="1430" spans="2:2" ht="15.6">
      <c r="B1430" s="159"/>
    </row>
    <row r="1431" spans="2:2" ht="15.6">
      <c r="B1431" s="159"/>
    </row>
    <row r="1432" spans="2:2" ht="15.6">
      <c r="B1432" s="159"/>
    </row>
    <row r="1433" spans="2:2" ht="15.6">
      <c r="B1433" s="159"/>
    </row>
    <row r="1434" spans="2:2" ht="15.6">
      <c r="B1434" s="159"/>
    </row>
    <row r="1435" spans="2:2" ht="15.6">
      <c r="B1435" s="159"/>
    </row>
    <row r="1436" spans="2:2" ht="15.6">
      <c r="B1436" s="159"/>
    </row>
    <row r="1437" spans="2:2" ht="15.6">
      <c r="B1437" s="159"/>
    </row>
    <row r="1438" spans="2:2" ht="15.6">
      <c r="B1438" s="159"/>
    </row>
    <row r="1439" spans="2:2" ht="15.6">
      <c r="B1439" s="159"/>
    </row>
    <row r="1440" spans="2:2" ht="15.6">
      <c r="B1440" s="159"/>
    </row>
    <row r="1441" spans="2:2" ht="15.6">
      <c r="B1441" s="159"/>
    </row>
    <row r="1442" spans="2:2" ht="15.6">
      <c r="B1442" s="159"/>
    </row>
    <row r="1443" spans="2:2" ht="15.6">
      <c r="B1443" s="159"/>
    </row>
    <row r="1444" spans="2:2" ht="15.6">
      <c r="B1444" s="159"/>
    </row>
    <row r="1445" spans="2:2" ht="15.6">
      <c r="B1445" s="159"/>
    </row>
    <row r="1446" spans="2:2" ht="15.6">
      <c r="B1446" s="159"/>
    </row>
    <row r="1447" spans="2:2" ht="15.6">
      <c r="B1447" s="159"/>
    </row>
    <row r="1448" spans="2:2" ht="15.6">
      <c r="B1448" s="159"/>
    </row>
    <row r="1449" spans="2:2" ht="15.6">
      <c r="B1449" s="159"/>
    </row>
    <row r="1450" spans="2:2" ht="15.6">
      <c r="B1450" s="159"/>
    </row>
    <row r="1451" spans="2:2" ht="15.6">
      <c r="B1451" s="159"/>
    </row>
    <row r="1452" spans="2:2" ht="15.6">
      <c r="B1452" s="159"/>
    </row>
    <row r="1453" spans="2:2" ht="15.6">
      <c r="B1453" s="159"/>
    </row>
    <row r="1454" spans="2:2" ht="15.6">
      <c r="B1454" s="159"/>
    </row>
    <row r="1455" spans="2:2" ht="15.6">
      <c r="B1455" s="159"/>
    </row>
    <row r="1456" spans="2:2" ht="15.6">
      <c r="B1456" s="159"/>
    </row>
    <row r="1457" spans="2:2" ht="15.6">
      <c r="B1457" s="159"/>
    </row>
    <row r="1458" spans="2:2" ht="15.6">
      <c r="B1458" s="159"/>
    </row>
    <row r="1459" spans="2:2" ht="15.6">
      <c r="B1459" s="159"/>
    </row>
    <row r="1460" spans="2:2" ht="15.6">
      <c r="B1460" s="159"/>
    </row>
    <row r="1461" spans="2:2" ht="15.6">
      <c r="B1461" s="159"/>
    </row>
    <row r="1462" spans="2:2" ht="15.6">
      <c r="B1462" s="159"/>
    </row>
    <row r="1463" spans="2:2" ht="15.6">
      <c r="B1463" s="159"/>
    </row>
    <row r="1464" spans="2:2" ht="15.6">
      <c r="B1464" s="159"/>
    </row>
    <row r="1465" spans="2:2" ht="15.6">
      <c r="B1465" s="159"/>
    </row>
    <row r="1466" spans="2:2" ht="15.6">
      <c r="B1466" s="159"/>
    </row>
    <row r="1467" spans="2:2" ht="15.6">
      <c r="B1467" s="159"/>
    </row>
    <row r="1468" spans="2:2" ht="15.6">
      <c r="B1468" s="159"/>
    </row>
    <row r="1469" spans="2:2" ht="15.6">
      <c r="B1469" s="159"/>
    </row>
    <row r="1470" spans="2:2" ht="15.6">
      <c r="B1470" s="159"/>
    </row>
    <row r="1471" spans="2:2" ht="15.6">
      <c r="B1471" s="159"/>
    </row>
    <row r="1472" spans="2:2" ht="15.6">
      <c r="B1472" s="159"/>
    </row>
    <row r="1473" spans="2:2" ht="15.6">
      <c r="B1473" s="159"/>
    </row>
    <row r="1474" spans="2:2" ht="15.6">
      <c r="B1474" s="159"/>
    </row>
    <row r="1475" spans="2:2" ht="15.6">
      <c r="B1475" s="159"/>
    </row>
    <row r="1476" spans="2:2" ht="15.6">
      <c r="B1476" s="159"/>
    </row>
    <row r="1477" spans="2:2" ht="15.6">
      <c r="B1477" s="159"/>
    </row>
    <row r="1478" spans="2:2" ht="15.6">
      <c r="B1478" s="159"/>
    </row>
    <row r="1479" spans="2:2" ht="15.6">
      <c r="B1479" s="159"/>
    </row>
    <row r="1480" spans="2:2" ht="15.6">
      <c r="B1480" s="159"/>
    </row>
    <row r="1481" spans="2:2" ht="15.6">
      <c r="B1481" s="159"/>
    </row>
    <row r="1482" spans="2:2" ht="15.6">
      <c r="B1482" s="159"/>
    </row>
    <row r="1483" spans="2:2" ht="15.6">
      <c r="B1483" s="159"/>
    </row>
    <row r="1484" spans="2:2" ht="15.6">
      <c r="B1484" s="159"/>
    </row>
    <row r="1485" spans="2:2" ht="15.6">
      <c r="B1485" s="159"/>
    </row>
    <row r="1486" spans="2:2" ht="15.6">
      <c r="B1486" s="159"/>
    </row>
    <row r="1487" spans="2:2" ht="15.6">
      <c r="B1487" s="159"/>
    </row>
    <row r="1488" spans="2:2" ht="15.6">
      <c r="B1488" s="159"/>
    </row>
    <row r="1489" spans="2:2" ht="15.6">
      <c r="B1489" s="159"/>
    </row>
    <row r="1490" spans="2:2" ht="15.6">
      <c r="B1490" s="159"/>
    </row>
    <row r="1491" spans="2:2" ht="15.6">
      <c r="B1491" s="159"/>
    </row>
    <row r="1492" spans="2:2" ht="15.6">
      <c r="B1492" s="159"/>
    </row>
    <row r="1493" spans="2:2" ht="15.6">
      <c r="B1493" s="159"/>
    </row>
    <row r="1494" spans="2:2" ht="15.6">
      <c r="B1494" s="159"/>
    </row>
    <row r="1495" spans="2:2" ht="15.6">
      <c r="B1495" s="159"/>
    </row>
    <row r="1496" spans="2:2" ht="15.6">
      <c r="B1496" s="159"/>
    </row>
    <row r="1497" spans="2:2" ht="15.6">
      <c r="B1497" s="159"/>
    </row>
    <row r="1498" spans="2:2" ht="15.6">
      <c r="B1498" s="159"/>
    </row>
    <row r="1499" spans="2:2" ht="15.6">
      <c r="B1499" s="159"/>
    </row>
    <row r="1500" spans="2:2" ht="15.6">
      <c r="B1500" s="159"/>
    </row>
    <row r="1501" spans="2:2" ht="15.6">
      <c r="B1501" s="159"/>
    </row>
    <row r="1502" spans="2:2" ht="15.6">
      <c r="B1502" s="159"/>
    </row>
    <row r="1503" spans="2:2" ht="15.6">
      <c r="B1503" s="159"/>
    </row>
    <row r="1504" spans="2:2" ht="15.6">
      <c r="B1504" s="159"/>
    </row>
    <row r="1505" spans="2:2" ht="15.6">
      <c r="B1505" s="159"/>
    </row>
    <row r="1506" spans="2:2" ht="15.6">
      <c r="B1506" s="159"/>
    </row>
    <row r="1507" spans="2:2" ht="15.6">
      <c r="B1507" s="159"/>
    </row>
    <row r="1508" spans="2:2" ht="15.6">
      <c r="B1508" s="159"/>
    </row>
    <row r="1509" spans="2:2" ht="15.6">
      <c r="B1509" s="159"/>
    </row>
    <row r="1510" spans="2:2" ht="15.6">
      <c r="B1510" s="159"/>
    </row>
    <row r="1511" spans="2:2" ht="15.6">
      <c r="B1511" s="159"/>
    </row>
    <row r="1512" spans="2:2" ht="15.6">
      <c r="B1512" s="159"/>
    </row>
    <row r="1513" spans="2:2" ht="15.6">
      <c r="B1513" s="159"/>
    </row>
    <row r="1514" spans="2:2" ht="15.6">
      <c r="B1514" s="159"/>
    </row>
    <row r="1515" spans="2:2" ht="15.6">
      <c r="B1515" s="159"/>
    </row>
    <row r="1516" spans="2:2" ht="15.6">
      <c r="B1516" s="159"/>
    </row>
    <row r="1517" spans="2:2" ht="15.6">
      <c r="B1517" s="159"/>
    </row>
    <row r="1518" spans="2:2" ht="15.6">
      <c r="B1518" s="159"/>
    </row>
    <row r="1519" spans="2:2" ht="15.6">
      <c r="B1519" s="159"/>
    </row>
    <row r="1520" spans="2:2" ht="15.6">
      <c r="B1520" s="159"/>
    </row>
    <row r="1521" spans="2:2" ht="15.6">
      <c r="B1521" s="159"/>
    </row>
    <row r="1522" spans="2:2" ht="15.6">
      <c r="B1522" s="159"/>
    </row>
    <row r="1523" spans="2:2" ht="15.6">
      <c r="B1523" s="159"/>
    </row>
    <row r="1524" spans="2:2" ht="15.6">
      <c r="B1524" s="159"/>
    </row>
    <row r="1525" spans="2:2" ht="15.6">
      <c r="B1525" s="159"/>
    </row>
    <row r="1526" spans="2:2" ht="15.6">
      <c r="B1526" s="159"/>
    </row>
    <row r="1527" spans="2:2" ht="15.6">
      <c r="B1527" s="159"/>
    </row>
    <row r="1528" spans="2:2" ht="15.6">
      <c r="B1528" s="159"/>
    </row>
    <row r="1529" spans="2:2" ht="15.6">
      <c r="B1529" s="159"/>
    </row>
    <row r="1530" spans="2:2" ht="15.6">
      <c r="B1530" s="159"/>
    </row>
    <row r="1531" spans="2:2" ht="15.6">
      <c r="B1531" s="159"/>
    </row>
    <row r="1532" spans="2:2" ht="15.6">
      <c r="B1532" s="159"/>
    </row>
    <row r="1533" spans="2:2" ht="15.6">
      <c r="B1533" s="159"/>
    </row>
    <row r="1534" spans="2:2" ht="15.6">
      <c r="B1534" s="159"/>
    </row>
    <row r="1535" spans="2:2" ht="15.6">
      <c r="B1535" s="159"/>
    </row>
    <row r="1536" spans="2:2" ht="15.6">
      <c r="B1536" s="159"/>
    </row>
    <row r="1537" spans="2:2" ht="15.6">
      <c r="B1537" s="159"/>
    </row>
    <row r="1538" spans="2:2" ht="15.6">
      <c r="B1538" s="159"/>
    </row>
    <row r="1539" spans="2:2" ht="15.6">
      <c r="B1539" s="159"/>
    </row>
    <row r="1540" spans="2:2" ht="15.6">
      <c r="B1540" s="159"/>
    </row>
    <row r="1541" spans="2:2" ht="15.6">
      <c r="B1541" s="159"/>
    </row>
    <row r="1542" spans="2:2" ht="15.6">
      <c r="B1542" s="159"/>
    </row>
    <row r="1543" spans="2:2" ht="15.6">
      <c r="B1543" s="159"/>
    </row>
    <row r="1544" spans="2:2" ht="15.6">
      <c r="B1544" s="159"/>
    </row>
    <row r="1545" spans="2:2" ht="15.6">
      <c r="B1545" s="159"/>
    </row>
    <row r="1546" spans="2:2" ht="15.6">
      <c r="B1546" s="159"/>
    </row>
    <row r="1547" spans="2:2" ht="15.6">
      <c r="B1547" s="159"/>
    </row>
    <row r="1548" spans="2:2" ht="15.6">
      <c r="B1548" s="159"/>
    </row>
    <row r="1549" spans="2:2" ht="15.6">
      <c r="B1549" s="159"/>
    </row>
    <row r="1550" spans="2:2" ht="15.6">
      <c r="B1550" s="159"/>
    </row>
    <row r="1551" spans="2:2" ht="15.6">
      <c r="B1551" s="159"/>
    </row>
    <row r="1552" spans="2:2" ht="15.6">
      <c r="B1552" s="159"/>
    </row>
    <row r="1553" spans="2:2" ht="15.6">
      <c r="B1553" s="159"/>
    </row>
    <row r="1554" spans="2:2" ht="15.6">
      <c r="B1554" s="159"/>
    </row>
    <row r="1555" spans="2:2" ht="15.6">
      <c r="B1555" s="159"/>
    </row>
    <row r="1556" spans="2:2" ht="15.6">
      <c r="B1556" s="159"/>
    </row>
    <row r="1557" spans="2:2" ht="15.6">
      <c r="B1557" s="159"/>
    </row>
    <row r="1558" spans="2:2" ht="15.6">
      <c r="B1558" s="159"/>
    </row>
    <row r="1559" spans="2:2" ht="15.6">
      <c r="B1559" s="159"/>
    </row>
    <row r="1560" spans="2:2" ht="15.6">
      <c r="B1560" s="159"/>
    </row>
    <row r="1561" spans="2:2" ht="15.6">
      <c r="B1561" s="159"/>
    </row>
    <row r="1562" spans="2:2" ht="15.6">
      <c r="B1562" s="159"/>
    </row>
    <row r="1563" spans="2:2" ht="15.6">
      <c r="B1563" s="159"/>
    </row>
    <row r="1564" spans="2:2" ht="15.6">
      <c r="B1564" s="159"/>
    </row>
    <row r="1565" spans="2:2" ht="15.6">
      <c r="B1565" s="159"/>
    </row>
    <row r="1566" spans="2:2" ht="15.6">
      <c r="B1566" s="159"/>
    </row>
    <row r="1567" spans="2:2" ht="15.6">
      <c r="B1567" s="159"/>
    </row>
    <row r="1568" spans="2:2" ht="15.6">
      <c r="B1568" s="159"/>
    </row>
    <row r="1569" spans="2:2" ht="15.6">
      <c r="B1569" s="159"/>
    </row>
    <row r="1570" spans="2:2" ht="15.6">
      <c r="B1570" s="159"/>
    </row>
    <row r="1571" spans="2:2" ht="15.6">
      <c r="B1571" s="159"/>
    </row>
    <row r="1572" spans="2:2" ht="15.6">
      <c r="B1572" s="159"/>
    </row>
    <row r="1573" spans="2:2" ht="15.6">
      <c r="B1573" s="159"/>
    </row>
    <row r="1574" spans="2:2" ht="15.6">
      <c r="B1574" s="159"/>
    </row>
    <row r="1575" spans="2:2" ht="15.6">
      <c r="B1575" s="159"/>
    </row>
    <row r="1576" spans="2:2" ht="15.6">
      <c r="B1576" s="159"/>
    </row>
    <row r="1577" spans="2:2" ht="15.6">
      <c r="B1577" s="159"/>
    </row>
    <row r="1578" spans="2:2" ht="15.6">
      <c r="B1578" s="159"/>
    </row>
    <row r="1579" spans="2:2" ht="15.6">
      <c r="B1579" s="159"/>
    </row>
    <row r="1580" spans="2:2" ht="15.6">
      <c r="B1580" s="159"/>
    </row>
    <row r="1581" spans="2:2" ht="15.6">
      <c r="B1581" s="159"/>
    </row>
    <row r="1582" spans="2:2" ht="15.6">
      <c r="B1582" s="159"/>
    </row>
    <row r="1583" spans="2:2" ht="15.6">
      <c r="B1583" s="159"/>
    </row>
    <row r="1584" spans="2:2" ht="15.6">
      <c r="B1584" s="159"/>
    </row>
    <row r="1585" spans="2:2" ht="15.6">
      <c r="B1585" s="159"/>
    </row>
    <row r="1586" spans="2:2" ht="15.6">
      <c r="B1586" s="159"/>
    </row>
    <row r="1587" spans="2:2" ht="15.6">
      <c r="B1587" s="159"/>
    </row>
    <row r="1588" spans="2:2" ht="15.6">
      <c r="B1588" s="159"/>
    </row>
    <row r="1589" spans="2:2" ht="15.6">
      <c r="B1589" s="159"/>
    </row>
    <row r="1590" spans="2:2" ht="15.6">
      <c r="B1590" s="159"/>
    </row>
    <row r="1591" spans="2:2" ht="15.6">
      <c r="B1591" s="159"/>
    </row>
    <row r="1592" spans="2:2" ht="15.6">
      <c r="B1592" s="159"/>
    </row>
    <row r="1593" spans="2:2" ht="15.6">
      <c r="B1593" s="159"/>
    </row>
    <row r="1594" spans="2:2" ht="15.6">
      <c r="B1594" s="159"/>
    </row>
    <row r="1595" spans="2:2" ht="15.6">
      <c r="B1595" s="159"/>
    </row>
    <row r="1596" spans="2:2" ht="15.6">
      <c r="B1596" s="159"/>
    </row>
    <row r="1597" spans="2:2" ht="15.6">
      <c r="B1597" s="159"/>
    </row>
    <row r="1598" spans="2:2" ht="15.6">
      <c r="B1598" s="159"/>
    </row>
    <row r="1599" spans="2:2" ht="15.6">
      <c r="B1599" s="159"/>
    </row>
    <row r="1600" spans="2:2" ht="15.6">
      <c r="B1600" s="159"/>
    </row>
    <row r="1601" spans="2:2" ht="15.6">
      <c r="B1601" s="159"/>
    </row>
    <row r="1602" spans="2:2" ht="15.6">
      <c r="B1602" s="159"/>
    </row>
    <row r="1603" spans="2:2" ht="15.6">
      <c r="B1603" s="159"/>
    </row>
    <row r="1604" spans="2:2" ht="15.6">
      <c r="B1604" s="159"/>
    </row>
    <row r="1605" spans="2:2" ht="15.6">
      <c r="B1605" s="159"/>
    </row>
    <row r="1606" spans="2:2" ht="15.6">
      <c r="B1606" s="159"/>
    </row>
    <row r="1607" spans="2:2" ht="15.6">
      <c r="B1607" s="159"/>
    </row>
    <row r="1608" spans="2:2" ht="15.6">
      <c r="B1608" s="159"/>
    </row>
    <row r="1609" spans="2:2" ht="15.6">
      <c r="B1609" s="159"/>
    </row>
    <row r="1610" spans="2:2" ht="15.6">
      <c r="B1610" s="159"/>
    </row>
    <row r="1611" spans="2:2" ht="15.6">
      <c r="B1611" s="159"/>
    </row>
    <row r="1612" spans="2:2" ht="15.6">
      <c r="B1612" s="159"/>
    </row>
    <row r="1613" spans="2:2" ht="15.6">
      <c r="B1613" s="159"/>
    </row>
    <row r="1614" spans="2:2" ht="15.6">
      <c r="B1614" s="159"/>
    </row>
    <row r="1615" spans="2:2" ht="15.6">
      <c r="B1615" s="159"/>
    </row>
    <row r="1616" spans="2:2" ht="15.6">
      <c r="B1616" s="159"/>
    </row>
    <row r="1617" spans="2:2" ht="15.6">
      <c r="B1617" s="159"/>
    </row>
    <row r="1618" spans="2:2" ht="15.6">
      <c r="B1618" s="159"/>
    </row>
    <row r="1619" spans="2:2" ht="15.6">
      <c r="B1619" s="159"/>
    </row>
    <row r="1620" spans="2:2" ht="15.6">
      <c r="B1620" s="159"/>
    </row>
    <row r="1621" spans="2:2" ht="15.6">
      <c r="B1621" s="159"/>
    </row>
    <row r="1622" spans="2:2" ht="15.6">
      <c r="B1622" s="159"/>
    </row>
    <row r="1623" spans="2:2" ht="15.6">
      <c r="B1623" s="159"/>
    </row>
    <row r="1624" spans="2:2" ht="15.6">
      <c r="B1624" s="159"/>
    </row>
    <row r="1625" spans="2:2" ht="15.6">
      <c r="B1625" s="159"/>
    </row>
    <row r="1626" spans="2:2" ht="15.6">
      <c r="B1626" s="159"/>
    </row>
    <row r="1627" spans="2:2" ht="15.6">
      <c r="B1627" s="159"/>
    </row>
    <row r="1628" spans="2:2" ht="15.6">
      <c r="B1628" s="159"/>
    </row>
    <row r="1629" spans="2:2" ht="15.6">
      <c r="B1629" s="159"/>
    </row>
    <row r="1630" spans="2:2" ht="15.6">
      <c r="B1630" s="159"/>
    </row>
    <row r="1631" spans="2:2" ht="15.6">
      <c r="B1631" s="159"/>
    </row>
    <row r="1632" spans="2:2" ht="15.6">
      <c r="B1632" s="159"/>
    </row>
    <row r="1633" spans="2:2" ht="15.6">
      <c r="B1633" s="159"/>
    </row>
    <row r="1634" spans="2:2" ht="15.6">
      <c r="B1634" s="159"/>
    </row>
    <row r="1635" spans="2:2" ht="15.6">
      <c r="B1635" s="159"/>
    </row>
    <row r="1636" spans="2:2" ht="15.6">
      <c r="B1636" s="159"/>
    </row>
    <row r="1637" spans="2:2" ht="15.6">
      <c r="B1637" s="159"/>
    </row>
    <row r="1638" spans="2:2" ht="15.6">
      <c r="B1638" s="159"/>
    </row>
    <row r="1639" spans="2:2" ht="15.6">
      <c r="B1639" s="159"/>
    </row>
    <row r="1640" spans="2:2" ht="15.6">
      <c r="B1640" s="159"/>
    </row>
    <row r="1641" spans="2:2" ht="15.6">
      <c r="B1641" s="159"/>
    </row>
    <row r="1642" spans="2:2" ht="15.6">
      <c r="B1642" s="159"/>
    </row>
    <row r="1643" spans="2:2" ht="15.6">
      <c r="B1643" s="159"/>
    </row>
    <row r="1644" spans="2:2" ht="15.6">
      <c r="B1644" s="159"/>
    </row>
    <row r="1645" spans="2:2" ht="15.6">
      <c r="B1645" s="159"/>
    </row>
    <row r="1646" spans="2:2" ht="15.6">
      <c r="B1646" s="159"/>
    </row>
    <row r="1647" spans="2:2" ht="15.6">
      <c r="B1647" s="159"/>
    </row>
    <row r="1648" spans="2:2" ht="15.6">
      <c r="B1648" s="159"/>
    </row>
    <row r="1649" spans="2:2" ht="15.6">
      <c r="B1649" s="159"/>
    </row>
    <row r="1650" spans="2:2" ht="15.6">
      <c r="B1650" s="159"/>
    </row>
    <row r="1651" spans="2:2" ht="15.6">
      <c r="B1651" s="159"/>
    </row>
    <row r="1652" spans="2:2" ht="15.6">
      <c r="B1652" s="159"/>
    </row>
    <row r="1653" spans="2:2" ht="15.6">
      <c r="B1653" s="159"/>
    </row>
    <row r="1654" spans="2:2" ht="15.6">
      <c r="B1654" s="159"/>
    </row>
    <row r="1655" spans="2:2" ht="15.6">
      <c r="B1655" s="159"/>
    </row>
    <row r="1656" spans="2:2" ht="15.6">
      <c r="B1656" s="159"/>
    </row>
    <row r="1657" spans="2:2" ht="15.6">
      <c r="B1657" s="159"/>
    </row>
    <row r="1658" spans="2:2" ht="15.6">
      <c r="B1658" s="159"/>
    </row>
    <row r="1659" spans="2:2" ht="15.6">
      <c r="B1659" s="159"/>
    </row>
    <row r="1660" spans="2:2" ht="15.6">
      <c r="B1660" s="159"/>
    </row>
    <row r="1661" spans="2:2" ht="15.6">
      <c r="B1661" s="159"/>
    </row>
    <row r="1662" spans="2:2" ht="15.6">
      <c r="B1662" s="159"/>
    </row>
    <row r="1663" spans="2:2" ht="15.6">
      <c r="B1663" s="159"/>
    </row>
    <row r="1664" spans="2:2" ht="15.6">
      <c r="B1664" s="159"/>
    </row>
    <row r="1665" spans="2:2" ht="15.6">
      <c r="B1665" s="159"/>
    </row>
    <row r="1666" spans="2:2" ht="15.6">
      <c r="B1666" s="159"/>
    </row>
    <row r="1667" spans="2:2" ht="15.6">
      <c r="B1667" s="159"/>
    </row>
    <row r="1668" spans="2:2" ht="15.6">
      <c r="B1668" s="159"/>
    </row>
    <row r="1669" spans="2:2" ht="15.6">
      <c r="B1669" s="159"/>
    </row>
    <row r="1670" spans="2:2" ht="15.6">
      <c r="B1670" s="159"/>
    </row>
    <row r="1671" spans="2:2" ht="15.6">
      <c r="B1671" s="159"/>
    </row>
    <row r="1672" spans="2:2" ht="15.6">
      <c r="B1672" s="159"/>
    </row>
    <row r="1673" spans="2:2" ht="15.6">
      <c r="B1673" s="159"/>
    </row>
    <row r="1674" spans="2:2" ht="15.6">
      <c r="B1674" s="159"/>
    </row>
    <row r="1675" spans="2:2" ht="15.6">
      <c r="B1675" s="159"/>
    </row>
    <row r="1676" spans="2:2" ht="15.6">
      <c r="B1676" s="159"/>
    </row>
    <row r="1677" spans="2:2" ht="15.6">
      <c r="B1677" s="159"/>
    </row>
    <row r="1678" spans="2:2" ht="15.6">
      <c r="B1678" s="159"/>
    </row>
    <row r="1679" spans="2:2" ht="15.6">
      <c r="B1679" s="159"/>
    </row>
    <row r="1680" spans="2:2" ht="15.6">
      <c r="B1680" s="159"/>
    </row>
    <row r="1681" spans="2:2" ht="15.6">
      <c r="B1681" s="159"/>
    </row>
    <row r="1682" spans="2:2" ht="15.6">
      <c r="B1682" s="159"/>
    </row>
    <row r="1683" spans="2:2" ht="15.6">
      <c r="B1683" s="159"/>
    </row>
    <row r="1684" spans="2:2" ht="15.6">
      <c r="B1684" s="159"/>
    </row>
    <row r="1685" spans="2:2" ht="15.6">
      <c r="B1685" s="159"/>
    </row>
    <row r="1686" spans="2:2" ht="15.6">
      <c r="B1686" s="159"/>
    </row>
    <row r="1687" spans="2:2" ht="15.6">
      <c r="B1687" s="159"/>
    </row>
    <row r="1688" spans="2:2" ht="15.6">
      <c r="B1688" s="159"/>
    </row>
    <row r="1689" spans="2:2" ht="15.6">
      <c r="B1689" s="159"/>
    </row>
    <row r="1690" spans="2:2" ht="15.6">
      <c r="B1690" s="159"/>
    </row>
    <row r="1691" spans="2:2" ht="15.6">
      <c r="B1691" s="159"/>
    </row>
    <row r="1692" spans="2:2" ht="15.6">
      <c r="B1692" s="159"/>
    </row>
    <row r="1693" spans="2:2" ht="15.6">
      <c r="B1693" s="159"/>
    </row>
    <row r="1694" spans="2:2" ht="15.6">
      <c r="B1694" s="159"/>
    </row>
    <row r="1695" spans="2:2" ht="15.6">
      <c r="B1695" s="159"/>
    </row>
    <row r="1696" spans="2:2" ht="15.6">
      <c r="B1696" s="159"/>
    </row>
    <row r="1697" spans="2:2" ht="15.6">
      <c r="B1697" s="159"/>
    </row>
    <row r="1698" spans="2:2" ht="15.6">
      <c r="B1698" s="159"/>
    </row>
    <row r="1699" spans="2:2" ht="15.6">
      <c r="B1699" s="159"/>
    </row>
    <row r="1700" spans="2:2" ht="15.6">
      <c r="B1700" s="159"/>
    </row>
    <row r="1701" spans="2:2" ht="15.6">
      <c r="B1701" s="159"/>
    </row>
    <row r="1702" spans="2:2" ht="15.6">
      <c r="B1702" s="159"/>
    </row>
    <row r="1703" spans="2:2" ht="15.6">
      <c r="B1703" s="159"/>
    </row>
    <row r="1704" spans="2:2" ht="15.6">
      <c r="B1704" s="159"/>
    </row>
    <row r="1705" spans="2:2" ht="15.6">
      <c r="B1705" s="159"/>
    </row>
    <row r="1706" spans="2:2" ht="15.6">
      <c r="B1706" s="159"/>
    </row>
    <row r="1707" spans="2:2" ht="15.6">
      <c r="B1707" s="159"/>
    </row>
    <row r="1708" spans="2:2" ht="15.6">
      <c r="B1708" s="159"/>
    </row>
    <row r="1709" spans="2:2" ht="15.6">
      <c r="B1709" s="159"/>
    </row>
    <row r="1710" spans="2:2" ht="15.6">
      <c r="B1710" s="159"/>
    </row>
    <row r="1711" spans="2:2" ht="15.6">
      <c r="B1711" s="159"/>
    </row>
    <row r="1712" spans="2:2" ht="15.6">
      <c r="B1712" s="159"/>
    </row>
    <row r="1713" spans="2:2" ht="15.6">
      <c r="B1713" s="159"/>
    </row>
    <row r="1714" spans="2:2" ht="15.6">
      <c r="B1714" s="159"/>
    </row>
    <row r="1715" spans="2:2" ht="15.6">
      <c r="B1715" s="159"/>
    </row>
    <row r="1716" spans="2:2" ht="15.6">
      <c r="B1716" s="159"/>
    </row>
    <row r="1717" spans="2:2" ht="15.6">
      <c r="B1717" s="159"/>
    </row>
    <row r="1718" spans="2:2" ht="15.6">
      <c r="B1718" s="159"/>
    </row>
    <row r="1719" spans="2:2" ht="15.6">
      <c r="B1719" s="159"/>
    </row>
    <row r="1720" spans="2:2" ht="15.6">
      <c r="B1720" s="159"/>
    </row>
    <row r="1721" spans="2:2" ht="15.6">
      <c r="B1721" s="159"/>
    </row>
    <row r="1722" spans="2:2" ht="15.6">
      <c r="B1722" s="159"/>
    </row>
    <row r="1723" spans="2:2" ht="15.6">
      <c r="B1723" s="159"/>
    </row>
    <row r="1724" spans="2:2" ht="15.6">
      <c r="B1724" s="159"/>
    </row>
    <row r="1725" spans="2:2" ht="15.6">
      <c r="B1725" s="159"/>
    </row>
    <row r="1726" spans="2:2" ht="15.6">
      <c r="B1726" s="159"/>
    </row>
    <row r="1727" spans="2:2" ht="15.6">
      <c r="B1727" s="159"/>
    </row>
    <row r="1728" spans="2:2" ht="15.6">
      <c r="B1728" s="159"/>
    </row>
    <row r="1729" spans="2:2" ht="15.6">
      <c r="B1729" s="159"/>
    </row>
    <row r="1730" spans="2:2" ht="15.6">
      <c r="B1730" s="159"/>
    </row>
    <row r="1731" spans="2:2" ht="15.6">
      <c r="B1731" s="159"/>
    </row>
    <row r="1732" spans="2:2" ht="15.6">
      <c r="B1732" s="159"/>
    </row>
    <row r="1733" spans="2:2" ht="15.6">
      <c r="B1733" s="159"/>
    </row>
    <row r="1734" spans="2:2" ht="15.6">
      <c r="B1734" s="159"/>
    </row>
    <row r="1735" spans="2:2" ht="15.6">
      <c r="B1735" s="159"/>
    </row>
    <row r="1736" spans="2:2" ht="15.6">
      <c r="B1736" s="159"/>
    </row>
    <row r="1737" spans="2:2" ht="15.6">
      <c r="B1737" s="159"/>
    </row>
    <row r="1738" spans="2:2" ht="15.6">
      <c r="B1738" s="159"/>
    </row>
    <row r="1739" spans="2:2" ht="15.6">
      <c r="B1739" s="159"/>
    </row>
    <row r="1740" spans="2:2" ht="15.6">
      <c r="B1740" s="159"/>
    </row>
    <row r="1741" spans="2:2" ht="15.6">
      <c r="B1741" s="159"/>
    </row>
    <row r="1742" spans="2:2" ht="15.6">
      <c r="B1742" s="159"/>
    </row>
    <row r="1743" spans="2:2" ht="15.6">
      <c r="B1743" s="159"/>
    </row>
    <row r="1744" spans="2:2" ht="15.6">
      <c r="B1744" s="159"/>
    </row>
    <row r="1745" spans="2:2" ht="15.6">
      <c r="B1745" s="159"/>
    </row>
    <row r="1746" spans="2:2" ht="15.6">
      <c r="B1746" s="159"/>
    </row>
    <row r="1747" spans="2:2" ht="15.6">
      <c r="B1747" s="159"/>
    </row>
    <row r="1748" spans="2:2" ht="15.6">
      <c r="B1748" s="159"/>
    </row>
    <row r="1749" spans="2:2" ht="15.6">
      <c r="B1749" s="159"/>
    </row>
    <row r="1750" spans="2:2" ht="15.6">
      <c r="B1750" s="159"/>
    </row>
    <row r="1751" spans="2:2" ht="15.6">
      <c r="B1751" s="159"/>
    </row>
    <row r="1752" spans="2:2" ht="15.6">
      <c r="B1752" s="159"/>
    </row>
    <row r="1753" spans="2:2" ht="15.6">
      <c r="B1753" s="159"/>
    </row>
    <row r="1754" spans="2:2" ht="15.6">
      <c r="B1754" s="159"/>
    </row>
    <row r="1755" spans="2:2" ht="15.6">
      <c r="B1755" s="159"/>
    </row>
    <row r="1756" spans="2:2" ht="15.6">
      <c r="B1756" s="159"/>
    </row>
    <row r="1757" spans="2:2" ht="15.6">
      <c r="B1757" s="159"/>
    </row>
    <row r="1758" spans="2:2" ht="15.6">
      <c r="B1758" s="159"/>
    </row>
    <row r="1759" spans="2:2" ht="15.6">
      <c r="B1759" s="159"/>
    </row>
    <row r="1760" spans="2:2" ht="15.6">
      <c r="B1760" s="159"/>
    </row>
    <row r="1761" spans="2:2" ht="15.6">
      <c r="B1761" s="159"/>
    </row>
    <row r="1762" spans="2:2" ht="15.6">
      <c r="B1762" s="159"/>
    </row>
    <row r="1763" spans="2:2" ht="15.6">
      <c r="B1763" s="159"/>
    </row>
    <row r="1764" spans="2:2" ht="15.6">
      <c r="B1764" s="159"/>
    </row>
    <row r="1765" spans="2:2" ht="15.6">
      <c r="B1765" s="159"/>
    </row>
    <row r="1766" spans="2:2" ht="15.6">
      <c r="B1766" s="159"/>
    </row>
    <row r="1767" spans="2:2" ht="15.6">
      <c r="B1767" s="159"/>
    </row>
    <row r="1768" spans="2:2" ht="15.6">
      <c r="B1768" s="159"/>
    </row>
    <row r="1769" spans="2:2" ht="15.6">
      <c r="B1769" s="159"/>
    </row>
    <row r="1770" spans="2:2" ht="15.6">
      <c r="B1770" s="159"/>
    </row>
    <row r="1771" spans="2:2" ht="15.6">
      <c r="B1771" s="159"/>
    </row>
    <row r="1772" spans="2:2" ht="15.6">
      <c r="B1772" s="159"/>
    </row>
    <row r="1773" spans="2:2" ht="15.6">
      <c r="B1773" s="159"/>
    </row>
    <row r="1774" spans="2:2" ht="15.6">
      <c r="B1774" s="159"/>
    </row>
    <row r="1775" spans="2:2" ht="15.6">
      <c r="B1775" s="159"/>
    </row>
    <row r="1776" spans="2:2" ht="15.6">
      <c r="B1776" s="159"/>
    </row>
    <row r="1777" spans="2:2" ht="15.6">
      <c r="B1777" s="159"/>
    </row>
    <row r="1778" spans="2:2" ht="15.6">
      <c r="B1778" s="159"/>
    </row>
    <row r="1779" spans="2:2" ht="15.6">
      <c r="B1779" s="159"/>
    </row>
    <row r="1780" spans="2:2" ht="15.6">
      <c r="B1780" s="159"/>
    </row>
    <row r="1781" spans="2:2" ht="15.6">
      <c r="B1781" s="159"/>
    </row>
    <row r="1782" spans="2:2" ht="15.6">
      <c r="B1782" s="159"/>
    </row>
    <row r="1783" spans="2:2" ht="15.6">
      <c r="B1783" s="159"/>
    </row>
    <row r="1784" spans="2:2" ht="15.6">
      <c r="B1784" s="159"/>
    </row>
    <row r="1785" spans="2:2" ht="15.6">
      <c r="B1785" s="159"/>
    </row>
    <row r="1786" spans="2:2" ht="15.6">
      <c r="B1786" s="159"/>
    </row>
    <row r="1787" spans="2:2" ht="15.6">
      <c r="B1787" s="159"/>
    </row>
    <row r="1788" spans="2:2" ht="15.6">
      <c r="B1788" s="159"/>
    </row>
    <row r="1789" spans="2:2" ht="15.6">
      <c r="B1789" s="159"/>
    </row>
    <row r="1790" spans="2:2" ht="15.6">
      <c r="B1790" s="159"/>
    </row>
    <row r="1791" spans="2:2" ht="15.6">
      <c r="B1791" s="159"/>
    </row>
    <row r="1792" spans="2:2" ht="15.6">
      <c r="B1792" s="159"/>
    </row>
    <row r="1793" spans="2:2" ht="15.6">
      <c r="B1793" s="159"/>
    </row>
    <row r="1794" spans="2:2" ht="15.6">
      <c r="B1794" s="159"/>
    </row>
    <row r="1795" spans="2:2" ht="15.6">
      <c r="B1795" s="159"/>
    </row>
    <row r="1796" spans="2:2" ht="15.6">
      <c r="B1796" s="159"/>
    </row>
    <row r="1797" spans="2:2" ht="15.6">
      <c r="B1797" s="159"/>
    </row>
    <row r="1798" spans="2:2" ht="15.6">
      <c r="B1798" s="159"/>
    </row>
    <row r="1799" spans="2:2" ht="15.6">
      <c r="B1799" s="159"/>
    </row>
    <row r="1800" spans="2:2" ht="15.6">
      <c r="B1800" s="159"/>
    </row>
    <row r="1801" spans="2:2" ht="15.6">
      <c r="B1801" s="159"/>
    </row>
    <row r="1802" spans="2:2" ht="15.6">
      <c r="B1802" s="159"/>
    </row>
    <row r="1803" spans="2:2" ht="15.6">
      <c r="B1803" s="159"/>
    </row>
    <row r="1804" spans="2:2" ht="15.6">
      <c r="B1804" s="159"/>
    </row>
    <row r="1805" spans="2:2" ht="15.6">
      <c r="B1805" s="159"/>
    </row>
    <row r="1806" spans="2:2" ht="15.6">
      <c r="B1806" s="159"/>
    </row>
    <row r="1807" spans="2:2" ht="15.6">
      <c r="B1807" s="159"/>
    </row>
    <row r="1808" spans="2:2" ht="15.6">
      <c r="B1808" s="159"/>
    </row>
    <row r="1809" spans="2:2" ht="15.6">
      <c r="B1809" s="159"/>
    </row>
    <row r="1810" spans="2:2" ht="15.6">
      <c r="B1810" s="159"/>
    </row>
    <row r="1811" spans="2:2" ht="15.6">
      <c r="B1811" s="159"/>
    </row>
    <row r="1812" spans="2:2" ht="15.6">
      <c r="B1812" s="159"/>
    </row>
    <row r="1813" spans="2:2" ht="15.6">
      <c r="B1813" s="159"/>
    </row>
    <row r="1814" spans="2:2" ht="15.6">
      <c r="B1814" s="159"/>
    </row>
    <row r="1815" spans="2:2" ht="15.6">
      <c r="B1815" s="159"/>
    </row>
    <row r="1816" spans="2:2" ht="15.6">
      <c r="B1816" s="159"/>
    </row>
    <row r="1817" spans="2:2" ht="15.6">
      <c r="B1817" s="159"/>
    </row>
    <row r="1818" spans="2:2" ht="15.6">
      <c r="B1818" s="159"/>
    </row>
    <row r="1819" spans="2:2" ht="15.6">
      <c r="B1819" s="159"/>
    </row>
    <row r="1820" spans="2:2" ht="15.6">
      <c r="B1820" s="159"/>
    </row>
    <row r="1821" spans="2:2" ht="15.6">
      <c r="B1821" s="159"/>
    </row>
    <row r="1822" spans="2:2" ht="15.6">
      <c r="B1822" s="159"/>
    </row>
    <row r="1823" spans="2:2" ht="15.6">
      <c r="B1823" s="159"/>
    </row>
    <row r="1824" spans="2:2" ht="15.6">
      <c r="B1824" s="159"/>
    </row>
    <row r="1825" spans="2:2" ht="15.6">
      <c r="B1825" s="159"/>
    </row>
    <row r="1826" spans="2:2" ht="15.6">
      <c r="B1826" s="159"/>
    </row>
    <row r="1827" spans="2:2" ht="15.6">
      <c r="B1827" s="159"/>
    </row>
    <row r="1828" spans="2:2" ht="15.6">
      <c r="B1828" s="159"/>
    </row>
    <row r="1829" spans="2:2" ht="15.6">
      <c r="B1829" s="159"/>
    </row>
    <row r="1830" spans="2:2" ht="15.6">
      <c r="B1830" s="159"/>
    </row>
    <row r="1831" spans="2:2" ht="15.6">
      <c r="B1831" s="159"/>
    </row>
    <row r="1832" spans="2:2" ht="15.6">
      <c r="B1832" s="159"/>
    </row>
    <row r="1833" spans="2:2" ht="15.6">
      <c r="B1833" s="159"/>
    </row>
    <row r="1834" spans="2:2" ht="15.6">
      <c r="B1834" s="159"/>
    </row>
    <row r="1835" spans="2:2" ht="15.6">
      <c r="B1835" s="159"/>
    </row>
    <row r="1836" spans="2:2" ht="15.6">
      <c r="B1836" s="159"/>
    </row>
    <row r="1837" spans="2:2" ht="15.6">
      <c r="B1837" s="159"/>
    </row>
    <row r="1838" spans="2:2" ht="15.6">
      <c r="B1838" s="159"/>
    </row>
    <row r="1839" spans="2:2" ht="15.6">
      <c r="B1839" s="159"/>
    </row>
    <row r="1840" spans="2:2" ht="15.6">
      <c r="B1840" s="159"/>
    </row>
    <row r="1841" spans="2:2" ht="15.6">
      <c r="B1841" s="159"/>
    </row>
    <row r="1842" spans="2:2" ht="15.6">
      <c r="B1842" s="159"/>
    </row>
    <row r="1843" spans="2:2" ht="15.6">
      <c r="B1843" s="159"/>
    </row>
    <row r="1844" spans="2:2" ht="15.6">
      <c r="B1844" s="159"/>
    </row>
    <row r="1845" spans="2:2" ht="15.6">
      <c r="B1845" s="159"/>
    </row>
    <row r="1846" spans="2:2" ht="15.6">
      <c r="B1846" s="159"/>
    </row>
    <row r="1847" spans="2:2" ht="15.6">
      <c r="B1847" s="159"/>
    </row>
    <row r="1848" spans="2:2" ht="15.6">
      <c r="B1848" s="159"/>
    </row>
    <row r="1849" spans="2:2" ht="15.6">
      <c r="B1849" s="159"/>
    </row>
    <row r="1850" spans="2:2" ht="15.6">
      <c r="B1850" s="159"/>
    </row>
    <row r="1851" spans="2:2" ht="15.6">
      <c r="B1851" s="159"/>
    </row>
    <row r="1852" spans="2:2" ht="15.6">
      <c r="B1852" s="159"/>
    </row>
    <row r="1853" spans="2:2" ht="15.6">
      <c r="B1853" s="159"/>
    </row>
    <row r="1854" spans="2:2" ht="15.6">
      <c r="B1854" s="159"/>
    </row>
    <row r="1855" spans="2:2" ht="15.6">
      <c r="B1855" s="159"/>
    </row>
    <row r="1856" spans="2:2" ht="15.6">
      <c r="B1856" s="159"/>
    </row>
    <row r="1857" spans="2:2" ht="15.6">
      <c r="B1857" s="159"/>
    </row>
    <row r="1858" spans="2:2" ht="15.6">
      <c r="B1858" s="159"/>
    </row>
    <row r="1859" spans="2:2" ht="15.6">
      <c r="B1859" s="159"/>
    </row>
    <row r="1860" spans="2:2" ht="15.6">
      <c r="B1860" s="159"/>
    </row>
    <row r="1861" spans="2:2" ht="15.6">
      <c r="B1861" s="159"/>
    </row>
    <row r="1862" spans="2:2" ht="15.6">
      <c r="B1862" s="159"/>
    </row>
    <row r="1863" spans="2:2" ht="15.6">
      <c r="B1863" s="159"/>
    </row>
    <row r="1864" spans="2:2" ht="15.6">
      <c r="B1864" s="159"/>
    </row>
    <row r="1865" spans="2:2" ht="15.6">
      <c r="B1865" s="159"/>
    </row>
    <row r="1866" spans="2:2" ht="15.6">
      <c r="B1866" s="159"/>
    </row>
    <row r="1867" spans="2:2" ht="15.6">
      <c r="B1867" s="159"/>
    </row>
    <row r="1868" spans="2:2" ht="15.6">
      <c r="B1868" s="159"/>
    </row>
    <row r="1869" spans="2:2" ht="15.6">
      <c r="B1869" s="159"/>
    </row>
    <row r="1870" spans="2:2" ht="15.6">
      <c r="B1870" s="159"/>
    </row>
    <row r="1871" spans="2:2" ht="15.6">
      <c r="B1871" s="159"/>
    </row>
    <row r="1872" spans="2:2" ht="15.6">
      <c r="B1872" s="159"/>
    </row>
    <row r="1873" spans="2:2" ht="15.6">
      <c r="B1873" s="159"/>
    </row>
    <row r="1874" spans="2:2" ht="15.6">
      <c r="B1874" s="159"/>
    </row>
    <row r="1875" spans="2:2" ht="15.6">
      <c r="B1875" s="159"/>
    </row>
    <row r="1876" spans="2:2" ht="15.6">
      <c r="B1876" s="159"/>
    </row>
    <row r="1877" spans="2:2" ht="15.6">
      <c r="B1877" s="159"/>
    </row>
    <row r="1878" spans="2:2" ht="15.6">
      <c r="B1878" s="159"/>
    </row>
    <row r="1879" spans="2:2" ht="15.6">
      <c r="B1879" s="159"/>
    </row>
    <row r="1880" spans="2:2" ht="15.6">
      <c r="B1880" s="159"/>
    </row>
    <row r="1881" spans="2:2" ht="15.6">
      <c r="B1881" s="159"/>
    </row>
    <row r="1882" spans="2:2" ht="15.6">
      <c r="B1882" s="159"/>
    </row>
    <row r="1883" spans="2:2" ht="15.6">
      <c r="B1883" s="159"/>
    </row>
    <row r="1884" spans="2:2" ht="15.6">
      <c r="B1884" s="159"/>
    </row>
    <row r="1885" spans="2:2" ht="15.6">
      <c r="B1885" s="159"/>
    </row>
    <row r="1886" spans="2:2" ht="15.6">
      <c r="B1886" s="159"/>
    </row>
    <row r="1887" spans="2:2" ht="15.6">
      <c r="B1887" s="159"/>
    </row>
    <row r="1888" spans="2:2" ht="15.6">
      <c r="B1888" s="159"/>
    </row>
    <row r="1889" spans="2:2" ht="15.6">
      <c r="B1889" s="159"/>
    </row>
    <row r="1890" spans="2:2" ht="15.6">
      <c r="B1890" s="159"/>
    </row>
    <row r="1891" spans="2:2" ht="15.6">
      <c r="B1891" s="159"/>
    </row>
    <row r="1892" spans="2:2" ht="15.6">
      <c r="B1892" s="159"/>
    </row>
    <row r="1893" spans="2:2" ht="15.6">
      <c r="B1893" s="159"/>
    </row>
    <row r="1894" spans="2:2" ht="15.6">
      <c r="B1894" s="159"/>
    </row>
    <row r="1895" spans="2:2" ht="15.6">
      <c r="B1895" s="159"/>
    </row>
    <row r="1896" spans="2:2" ht="15.6">
      <c r="B1896" s="159"/>
    </row>
    <row r="1897" spans="2:2" ht="15.6">
      <c r="B1897" s="159"/>
    </row>
    <row r="1898" spans="2:2" ht="15.6">
      <c r="B1898" s="159"/>
    </row>
    <row r="1899" spans="2:2" ht="15.6">
      <c r="B1899" s="159"/>
    </row>
    <row r="1900" spans="2:2" ht="15.6">
      <c r="B1900" s="159"/>
    </row>
    <row r="1901" spans="2:2" ht="15.6">
      <c r="B1901" s="159"/>
    </row>
    <row r="1902" spans="2:2" ht="15.6">
      <c r="B1902" s="159"/>
    </row>
    <row r="1903" spans="2:2" ht="15.6">
      <c r="B1903" s="159"/>
    </row>
    <row r="1904" spans="2:2" ht="15.6">
      <c r="B1904" s="159"/>
    </row>
    <row r="1905" spans="2:2" ht="15.6">
      <c r="B1905" s="159"/>
    </row>
    <row r="1906" spans="2:2" ht="15.6">
      <c r="B1906" s="159"/>
    </row>
    <row r="1907" spans="2:2" ht="15.6">
      <c r="B1907" s="159"/>
    </row>
    <row r="1908" spans="2:2" ht="15.6">
      <c r="B1908" s="159"/>
    </row>
    <row r="1909" spans="2:2" ht="15.6">
      <c r="B1909" s="159"/>
    </row>
    <row r="1910" spans="2:2" ht="15.6">
      <c r="B1910" s="159"/>
    </row>
    <row r="1911" spans="2:2" ht="15.6">
      <c r="B1911" s="159"/>
    </row>
    <row r="1912" spans="2:2" ht="15.6">
      <c r="B1912" s="159"/>
    </row>
    <row r="1913" spans="2:2" ht="15.6">
      <c r="B1913" s="159"/>
    </row>
    <row r="1914" spans="2:2" ht="15.6">
      <c r="B1914" s="159"/>
    </row>
    <row r="1915" spans="2:2" ht="15.6">
      <c r="B1915" s="159"/>
    </row>
    <row r="1916" spans="2:2" ht="15.6">
      <c r="B1916" s="159"/>
    </row>
    <row r="1917" spans="2:2" ht="15.6">
      <c r="B1917" s="159"/>
    </row>
    <row r="1918" spans="2:2" ht="15.6">
      <c r="B1918" s="159"/>
    </row>
    <row r="1919" spans="2:2" ht="15.6">
      <c r="B1919" s="159"/>
    </row>
    <row r="1920" spans="2:2" ht="15.6">
      <c r="B1920" s="159"/>
    </row>
    <row r="1921" spans="2:2" ht="15.6">
      <c r="B1921" s="159"/>
    </row>
    <row r="1922" spans="2:2" ht="15.6">
      <c r="B1922" s="159"/>
    </row>
    <row r="1923" spans="2:2" ht="15.6">
      <c r="B1923" s="159"/>
    </row>
    <row r="1924" spans="2:2" ht="15.6">
      <c r="B1924" s="159"/>
    </row>
    <row r="1925" spans="2:2" ht="15.6">
      <c r="B1925" s="159"/>
    </row>
    <row r="1926" spans="2:2" ht="15.6">
      <c r="B1926" s="159"/>
    </row>
    <row r="1927" spans="2:2" ht="15.6">
      <c r="B1927" s="159"/>
    </row>
    <row r="1928" spans="2:2" ht="15.6">
      <c r="B1928" s="159"/>
    </row>
    <row r="1929" spans="2:2" ht="15.6">
      <c r="B1929" s="159"/>
    </row>
    <row r="1930" spans="2:2" ht="15.6">
      <c r="B1930" s="159"/>
    </row>
    <row r="1931" spans="2:2" ht="15.6">
      <c r="B1931" s="159"/>
    </row>
    <row r="1932" spans="2:2" ht="15.6">
      <c r="B1932" s="159"/>
    </row>
    <row r="1933" spans="2:2" ht="15.6">
      <c r="B1933" s="159"/>
    </row>
    <row r="1934" spans="2:2" ht="15.6">
      <c r="B1934" s="159"/>
    </row>
    <row r="1935" spans="2:2" ht="15.6">
      <c r="B1935" s="159"/>
    </row>
    <row r="1936" spans="2:2" ht="15.6">
      <c r="B1936" s="159"/>
    </row>
    <row r="1937" spans="2:2" ht="15.6">
      <c r="B1937" s="159"/>
    </row>
    <row r="1938" spans="2:2" ht="15.6">
      <c r="B1938" s="159"/>
    </row>
    <row r="1939" spans="2:2" ht="15.6">
      <c r="B1939" s="159"/>
    </row>
    <row r="1940" spans="2:2" ht="15.6">
      <c r="B1940" s="159"/>
    </row>
    <row r="1941" spans="2:2" ht="15.6">
      <c r="B1941" s="159"/>
    </row>
    <row r="1942" spans="2:2" ht="15.6">
      <c r="B1942" s="159"/>
    </row>
    <row r="1943" spans="2:2" ht="15.6">
      <c r="B1943" s="159"/>
    </row>
    <row r="1944" spans="2:2" ht="15.6">
      <c r="B1944" s="159"/>
    </row>
    <row r="1945" spans="2:2" ht="15.6">
      <c r="B1945" s="159"/>
    </row>
    <row r="1946" spans="2:2" ht="15.6">
      <c r="B1946" s="159"/>
    </row>
    <row r="1947" spans="2:2" ht="15.6">
      <c r="B1947" s="159"/>
    </row>
    <row r="1948" spans="2:2" ht="15.6">
      <c r="B1948" s="159"/>
    </row>
    <row r="1949" spans="2:2" ht="15.6">
      <c r="B1949" s="159"/>
    </row>
    <row r="1950" spans="2:2" ht="15.6">
      <c r="B1950" s="159"/>
    </row>
    <row r="1951" spans="2:2" ht="15.6">
      <c r="B1951" s="159"/>
    </row>
    <row r="1952" spans="2:2" ht="15.6">
      <c r="B1952" s="159"/>
    </row>
    <row r="1953" spans="2:2" ht="15.6">
      <c r="B1953" s="159"/>
    </row>
    <row r="1954" spans="2:2" ht="15.6">
      <c r="B1954" s="159"/>
    </row>
    <row r="1955" spans="2:2" ht="15.6">
      <c r="B1955" s="159"/>
    </row>
    <row r="1956" spans="2:2" ht="15.6">
      <c r="B1956" s="159"/>
    </row>
    <row r="1957" spans="2:2" ht="15.6">
      <c r="B1957" s="159"/>
    </row>
    <row r="1958" spans="2:2" ht="15.6">
      <c r="B1958" s="159"/>
    </row>
    <row r="1959" spans="2:2" ht="15.6">
      <c r="B1959" s="159"/>
    </row>
    <row r="1960" spans="2:2" ht="15.6">
      <c r="B1960" s="159"/>
    </row>
    <row r="1961" spans="2:2" ht="15.6">
      <c r="B1961" s="159"/>
    </row>
    <row r="1962" spans="2:2" ht="15.6">
      <c r="B1962" s="159"/>
    </row>
    <row r="1963" spans="2:2" ht="15.6">
      <c r="B1963" s="159"/>
    </row>
    <row r="1964" spans="2:2" ht="15.6">
      <c r="B1964" s="159"/>
    </row>
    <row r="1965" spans="2:2" ht="15.6">
      <c r="B1965" s="159"/>
    </row>
    <row r="1966" spans="2:2" ht="15.6">
      <c r="B1966" s="159"/>
    </row>
    <row r="1967" spans="2:2" ht="15.6">
      <c r="B1967" s="159"/>
    </row>
    <row r="1968" spans="2:2" ht="15.6">
      <c r="B1968" s="159"/>
    </row>
    <row r="1969" spans="2:2" ht="15.6">
      <c r="B1969" s="159"/>
    </row>
    <row r="1970" spans="2:2" ht="15.6">
      <c r="B1970" s="159"/>
    </row>
    <row r="1971" spans="2:2" ht="15.6">
      <c r="B1971" s="159"/>
    </row>
    <row r="1972" spans="2:2" ht="15.6">
      <c r="B1972" s="159"/>
    </row>
    <row r="1973" spans="2:2" ht="15.6">
      <c r="B1973" s="159"/>
    </row>
    <row r="1974" spans="2:2" ht="15.6">
      <c r="B1974" s="159"/>
    </row>
    <row r="1975" spans="2:2" ht="15.6">
      <c r="B1975" s="159"/>
    </row>
    <row r="1976" spans="2:2" ht="15.6">
      <c r="B1976" s="159"/>
    </row>
    <row r="1977" spans="2:2" ht="15.6">
      <c r="B1977" s="159"/>
    </row>
    <row r="1978" spans="2:2" ht="15.6">
      <c r="B1978" s="159"/>
    </row>
    <row r="1979" spans="2:2" ht="15.6">
      <c r="B1979" s="159"/>
    </row>
    <row r="1980" spans="2:2" ht="15.6">
      <c r="B1980" s="159"/>
    </row>
    <row r="1981" spans="2:2" ht="15.6">
      <c r="B1981" s="159"/>
    </row>
    <row r="1982" spans="2:2" ht="15.6">
      <c r="B1982" s="159"/>
    </row>
    <row r="1983" spans="2:2" ht="15.6">
      <c r="B1983" s="159"/>
    </row>
    <row r="1984" spans="2:2" ht="15.6">
      <c r="B1984" s="159"/>
    </row>
    <row r="1985" spans="2:2" ht="15.6">
      <c r="B1985" s="159"/>
    </row>
    <row r="1986" spans="2:2" ht="15.6">
      <c r="B1986" s="159"/>
    </row>
    <row r="1987" spans="2:2" ht="15.6">
      <c r="B1987" s="159"/>
    </row>
    <row r="1988" spans="2:2" ht="15.6">
      <c r="B1988" s="159"/>
    </row>
    <row r="1989" spans="2:2" ht="15.6">
      <c r="B1989" s="159"/>
    </row>
    <row r="1990" spans="2:2" ht="15.6">
      <c r="B1990" s="159"/>
    </row>
    <row r="1991" spans="2:2" ht="15.6">
      <c r="B1991" s="159"/>
    </row>
    <row r="1992" spans="2:2" ht="15.6">
      <c r="B1992" s="159"/>
    </row>
    <row r="1993" spans="2:2" ht="15.6">
      <c r="B1993" s="159"/>
    </row>
    <row r="1994" spans="2:2" ht="15.6">
      <c r="B1994" s="159"/>
    </row>
    <row r="1995" spans="2:2" ht="15.6">
      <c r="B1995" s="159"/>
    </row>
    <row r="1996" spans="2:2" ht="15.6">
      <c r="B1996" s="159"/>
    </row>
    <row r="1997" spans="2:2" ht="15.6">
      <c r="B1997" s="159"/>
    </row>
    <row r="1998" spans="2:2" ht="15.6">
      <c r="B1998" s="159"/>
    </row>
    <row r="1999" spans="2:2" ht="15.6">
      <c r="B1999" s="159"/>
    </row>
    <row r="2000" spans="2:2" ht="15.6">
      <c r="B2000" s="159"/>
    </row>
    <row r="2001" spans="2:2" ht="15.6">
      <c r="B2001" s="159"/>
    </row>
    <row r="2002" spans="2:2" ht="15.6">
      <c r="B2002" s="159"/>
    </row>
    <row r="2003" spans="2:2" ht="15.6">
      <c r="B2003" s="159"/>
    </row>
    <row r="2004" spans="2:2" ht="15.6">
      <c r="B2004" s="159"/>
    </row>
    <row r="2005" spans="2:2" ht="15.6">
      <c r="B2005" s="159"/>
    </row>
    <row r="2006" spans="2:2" ht="15.6">
      <c r="B2006" s="159"/>
    </row>
    <row r="2007" spans="2:2" ht="15.6">
      <c r="B2007" s="159"/>
    </row>
    <row r="2008" spans="2:2" ht="15.6">
      <c r="B2008" s="159"/>
    </row>
    <row r="2009" spans="2:2" ht="15.6">
      <c r="B2009" s="159"/>
    </row>
    <row r="2010" spans="2:2" ht="15.6">
      <c r="B2010" s="159"/>
    </row>
    <row r="2011" spans="2:2" ht="15.6">
      <c r="B2011" s="159"/>
    </row>
    <row r="2012" spans="2:2" ht="15.6">
      <c r="B2012" s="159"/>
    </row>
    <row r="2013" spans="2:2" ht="15.6">
      <c r="B2013" s="159"/>
    </row>
    <row r="2014" spans="2:2" ht="15.6">
      <c r="B2014" s="159"/>
    </row>
    <row r="2015" spans="2:2" ht="15.6">
      <c r="B2015" s="159"/>
    </row>
    <row r="2016" spans="2:2" ht="15.6">
      <c r="B2016" s="159"/>
    </row>
    <row r="2017" spans="2:2" ht="15.6">
      <c r="B2017" s="159"/>
    </row>
    <row r="2018" spans="2:2" ht="15.6">
      <c r="B2018" s="159"/>
    </row>
    <row r="2019" spans="2:2" ht="15.6">
      <c r="B2019" s="159"/>
    </row>
    <row r="2020" spans="2:2" ht="15.6">
      <c r="B2020" s="159"/>
    </row>
    <row r="2021" spans="2:2" ht="15.6">
      <c r="B2021" s="159"/>
    </row>
    <row r="2022" spans="2:2" ht="15.6">
      <c r="B2022" s="159"/>
    </row>
    <row r="2023" spans="2:2" ht="15.6">
      <c r="B2023" s="159"/>
    </row>
    <row r="2024" spans="2:2" ht="15.6">
      <c r="B2024" s="159"/>
    </row>
    <row r="2025" spans="2:2" ht="15.6">
      <c r="B2025" s="159"/>
    </row>
    <row r="2026" spans="2:2" ht="15.6">
      <c r="B2026" s="159"/>
    </row>
    <row r="2027" spans="2:2" ht="15.6">
      <c r="B2027" s="159"/>
    </row>
    <row r="2028" spans="2:2" ht="15.6">
      <c r="B2028" s="159"/>
    </row>
    <row r="2029" spans="2:2" ht="15.6">
      <c r="B2029" s="159"/>
    </row>
    <row r="2030" spans="2:2" ht="15.6">
      <c r="B2030" s="159"/>
    </row>
    <row r="2031" spans="2:2" ht="15.6">
      <c r="B2031" s="159"/>
    </row>
    <row r="2032" spans="2:2" ht="15.6">
      <c r="B2032" s="159"/>
    </row>
    <row r="2033" spans="2:2" ht="15.6">
      <c r="B2033" s="159"/>
    </row>
    <row r="2034" spans="2:2" ht="15.6">
      <c r="B2034" s="159"/>
    </row>
    <row r="2035" spans="2:2" ht="15.6">
      <c r="B2035" s="159"/>
    </row>
    <row r="2036" spans="2:2" ht="15.6">
      <c r="B2036" s="159"/>
    </row>
    <row r="2037" spans="2:2" ht="15.6">
      <c r="B2037" s="159"/>
    </row>
    <row r="2038" spans="2:2" ht="15.6">
      <c r="B2038" s="159"/>
    </row>
    <row r="2039" spans="2:2" ht="15.6">
      <c r="B2039" s="159"/>
    </row>
    <row r="2040" spans="2:2" ht="15.6">
      <c r="B2040" s="159"/>
    </row>
    <row r="2041" spans="2:2" ht="15.6">
      <c r="B2041" s="159"/>
    </row>
    <row r="2042" spans="2:2" ht="15.6">
      <c r="B2042" s="159"/>
    </row>
    <row r="2043" spans="2:2" ht="15.6">
      <c r="B2043" s="159"/>
    </row>
    <row r="2044" spans="2:2" ht="15.6">
      <c r="B2044" s="159"/>
    </row>
    <row r="2045" spans="2:2" ht="15.6">
      <c r="B2045" s="159"/>
    </row>
    <row r="2046" spans="2:2" ht="15.6">
      <c r="B2046" s="159"/>
    </row>
    <row r="2047" spans="2:2" ht="15.6">
      <c r="B2047" s="159"/>
    </row>
    <row r="2048" spans="2:2" ht="15.6">
      <c r="B2048" s="159"/>
    </row>
    <row r="2049" spans="2:2" ht="15.6">
      <c r="B2049" s="159"/>
    </row>
    <row r="2050" spans="2:2" ht="15.6">
      <c r="B2050" s="159"/>
    </row>
    <row r="2051" spans="2:2" ht="15.6">
      <c r="B2051" s="159"/>
    </row>
    <row r="2052" spans="2:2" ht="15.6">
      <c r="B2052" s="159"/>
    </row>
    <row r="2053" spans="2:2" ht="15.6">
      <c r="B2053" s="159"/>
    </row>
    <row r="2054" spans="2:2" ht="15.6">
      <c r="B2054" s="159"/>
    </row>
    <row r="2055" spans="2:2" ht="15.6">
      <c r="B2055" s="159"/>
    </row>
    <row r="2056" spans="2:2" ht="15.6">
      <c r="B2056" s="159"/>
    </row>
    <row r="2057" spans="2:2" ht="15.6">
      <c r="B2057" s="159"/>
    </row>
    <row r="2058" spans="2:2" ht="15.6">
      <c r="B2058" s="159"/>
    </row>
    <row r="2059" spans="2:2" ht="15.6">
      <c r="B2059" s="159"/>
    </row>
    <row r="2060" spans="2:2" ht="15.6">
      <c r="B2060" s="159"/>
    </row>
    <row r="2061" spans="2:2" ht="15.6">
      <c r="B2061" s="159"/>
    </row>
    <row r="2062" spans="2:2" ht="15.6">
      <c r="B2062" s="159"/>
    </row>
    <row r="2063" spans="2:2" ht="15.6">
      <c r="B2063" s="159"/>
    </row>
    <row r="2064" spans="2:2" ht="15.6">
      <c r="B2064" s="159"/>
    </row>
    <row r="2065" spans="2:2" ht="15.6">
      <c r="B2065" s="159"/>
    </row>
    <row r="2066" spans="2:2" ht="15.6">
      <c r="B2066" s="159"/>
    </row>
    <row r="2067" spans="2:2" ht="15.6">
      <c r="B2067" s="159"/>
    </row>
    <row r="2068" spans="2:2" ht="15.6">
      <c r="B2068" s="159"/>
    </row>
    <row r="2069" spans="2:2" ht="15.6">
      <c r="B2069" s="159"/>
    </row>
    <row r="2070" spans="2:2" ht="15.6">
      <c r="B2070" s="159"/>
    </row>
    <row r="2071" spans="2:2" ht="15.6">
      <c r="B2071" s="159"/>
    </row>
    <row r="2072" spans="2:2" ht="15.6">
      <c r="B2072" s="159"/>
    </row>
    <row r="2073" spans="2:2" ht="15.6">
      <c r="B2073" s="159"/>
    </row>
    <row r="2074" spans="2:2" ht="15.6">
      <c r="B2074" s="159"/>
    </row>
    <row r="2075" spans="2:2" ht="15.6">
      <c r="B2075" s="159"/>
    </row>
    <row r="2076" spans="2:2" ht="15.6">
      <c r="B2076" s="159"/>
    </row>
    <row r="2077" spans="2:2" ht="15.6">
      <c r="B2077" s="159"/>
    </row>
    <row r="2078" spans="2:2" ht="15.6">
      <c r="B2078" s="159"/>
    </row>
    <row r="2079" spans="2:2" ht="15.6">
      <c r="B2079" s="159"/>
    </row>
    <row r="2080" spans="2:2" ht="15.6">
      <c r="B2080" s="159"/>
    </row>
    <row r="2081" spans="2:2" ht="15.6">
      <c r="B2081" s="159"/>
    </row>
    <row r="2082" spans="2:2" ht="15.6">
      <c r="B2082" s="159"/>
    </row>
    <row r="2083" spans="2:2" ht="15.6">
      <c r="B2083" s="159"/>
    </row>
    <row r="2084" spans="2:2" ht="15.6">
      <c r="B2084" s="159"/>
    </row>
    <row r="2085" spans="2:2" ht="15.6">
      <c r="B2085" s="159"/>
    </row>
    <row r="2086" spans="2:2" ht="15.6">
      <c r="B2086" s="159"/>
    </row>
    <row r="2087" spans="2:2" ht="15.6">
      <c r="B2087" s="159"/>
    </row>
    <row r="2088" spans="2:2" ht="15.6">
      <c r="B2088" s="159"/>
    </row>
    <row r="2089" spans="2:2" ht="15.6">
      <c r="B2089" s="159"/>
    </row>
    <row r="2090" spans="2:2" ht="15.6">
      <c r="B2090" s="159"/>
    </row>
    <row r="2091" spans="2:2" ht="15.6">
      <c r="B2091" s="159"/>
    </row>
    <row r="2092" spans="2:2" ht="15.6">
      <c r="B2092" s="159"/>
    </row>
    <row r="2093" spans="2:2" ht="15.6">
      <c r="B2093" s="159"/>
    </row>
    <row r="2094" spans="2:2" ht="15.6">
      <c r="B2094" s="159"/>
    </row>
    <row r="2095" spans="2:2" ht="15.6">
      <c r="B2095" s="159"/>
    </row>
    <row r="2096" spans="2:2" ht="15.6">
      <c r="B2096" s="159"/>
    </row>
    <row r="2097" spans="2:2" ht="15.6">
      <c r="B2097" s="159"/>
    </row>
    <row r="2098" spans="2:2" ht="15.6">
      <c r="B2098" s="159"/>
    </row>
    <row r="2099" spans="2:2" ht="15.6">
      <c r="B2099" s="159"/>
    </row>
    <row r="2100" spans="2:2" ht="15.6">
      <c r="B2100" s="159"/>
    </row>
    <row r="2101" spans="2:2" ht="15.6">
      <c r="B2101" s="159"/>
    </row>
    <row r="2102" spans="2:2" ht="15.6">
      <c r="B2102" s="159"/>
    </row>
    <row r="2103" spans="2:2" ht="15.6">
      <c r="B2103" s="159"/>
    </row>
    <row r="2104" spans="2:2" ht="15.6">
      <c r="B2104" s="159"/>
    </row>
    <row r="2105" spans="2:2" ht="15.6">
      <c r="B2105" s="159"/>
    </row>
    <row r="2106" spans="2:2" ht="15.6">
      <c r="B2106" s="159"/>
    </row>
    <row r="2107" spans="2:2" ht="15.6">
      <c r="B2107" s="159"/>
    </row>
    <row r="2108" spans="2:2" ht="15.6">
      <c r="B2108" s="159"/>
    </row>
    <row r="2109" spans="2:2" ht="15.6">
      <c r="B2109" s="159"/>
    </row>
    <row r="2110" spans="2:2" ht="15.6">
      <c r="B2110" s="159"/>
    </row>
    <row r="2111" spans="2:2" ht="15.6">
      <c r="B2111" s="159"/>
    </row>
    <row r="2112" spans="2:2" ht="15.6">
      <c r="B2112" s="159"/>
    </row>
    <row r="2113" spans="2:2" ht="15.6">
      <c r="B2113" s="159"/>
    </row>
    <row r="2114" spans="2:2" ht="15.6">
      <c r="B2114" s="159"/>
    </row>
    <row r="2115" spans="2:2" ht="15.6">
      <c r="B2115" s="159"/>
    </row>
    <row r="2116" spans="2:2" ht="15.6">
      <c r="B2116" s="159"/>
    </row>
    <row r="2117" spans="2:2" ht="15.6">
      <c r="B2117" s="159"/>
    </row>
    <row r="2118" spans="2:2" ht="15.6">
      <c r="B2118" s="159"/>
    </row>
    <row r="2119" spans="2:2" ht="15.6">
      <c r="B2119" s="159"/>
    </row>
    <row r="2120" spans="2:2" ht="15.6">
      <c r="B2120" s="159"/>
    </row>
    <row r="2121" spans="2:2" ht="15.6">
      <c r="B2121" s="159"/>
    </row>
    <row r="2122" spans="2:2" ht="15.6">
      <c r="B2122" s="159"/>
    </row>
    <row r="2123" spans="2:2" ht="15.6">
      <c r="B2123" s="159"/>
    </row>
    <row r="2124" spans="2:2" ht="15.6">
      <c r="B2124" s="159"/>
    </row>
    <row r="2125" spans="2:2" ht="15.6">
      <c r="B2125" s="159"/>
    </row>
    <row r="2126" spans="2:2" ht="15.6">
      <c r="B2126" s="159"/>
    </row>
    <row r="2127" spans="2:2" ht="15.6">
      <c r="B2127" s="159"/>
    </row>
    <row r="2128" spans="2:2" ht="15.6">
      <c r="B2128" s="159"/>
    </row>
    <row r="2129" spans="2:2" ht="15.6">
      <c r="B2129" s="159"/>
    </row>
    <row r="2130" spans="2:2" ht="15.6">
      <c r="B2130" s="159"/>
    </row>
    <row r="2131" spans="2:2" ht="15.6">
      <c r="B2131" s="159"/>
    </row>
    <row r="2132" spans="2:2" ht="15.6">
      <c r="B2132" s="159"/>
    </row>
    <row r="2133" spans="2:2" ht="15.6">
      <c r="B2133" s="159"/>
    </row>
    <row r="2134" spans="2:2" ht="15.6">
      <c r="B2134" s="159"/>
    </row>
    <row r="2135" spans="2:2" ht="15.6">
      <c r="B2135" s="159"/>
    </row>
    <row r="2136" spans="2:2" ht="15.6">
      <c r="B2136" s="159"/>
    </row>
    <row r="2137" spans="2:2" ht="15.6">
      <c r="B2137" s="159"/>
    </row>
    <row r="2138" spans="2:2" ht="15.6">
      <c r="B2138" s="159"/>
    </row>
    <row r="2139" spans="2:2" ht="15.6">
      <c r="B2139" s="159"/>
    </row>
    <row r="2140" spans="2:2" ht="15.6">
      <c r="B2140" s="159"/>
    </row>
    <row r="2141" spans="2:2" ht="15.6">
      <c r="B2141" s="159"/>
    </row>
    <row r="2142" spans="2:2" ht="15.6">
      <c r="B2142" s="159"/>
    </row>
    <row r="2143" spans="2:2" ht="15.6">
      <c r="B2143" s="159"/>
    </row>
    <row r="2144" spans="2:2" ht="15.6">
      <c r="B2144" s="159"/>
    </row>
    <row r="2145" spans="2:2" ht="15.6">
      <c r="B2145" s="159"/>
    </row>
    <row r="2146" spans="2:2" ht="15.6">
      <c r="B2146" s="159"/>
    </row>
    <row r="2147" spans="2:2" ht="15.6">
      <c r="B2147" s="159"/>
    </row>
    <row r="2148" spans="2:2" ht="15.6">
      <c r="B2148" s="159"/>
    </row>
    <row r="2149" spans="2:2" ht="15.6">
      <c r="B2149" s="159"/>
    </row>
    <row r="2150" spans="2:2" ht="15.6">
      <c r="B2150" s="159"/>
    </row>
    <row r="2151" spans="2:2" ht="15.6">
      <c r="B2151" s="159"/>
    </row>
    <row r="2152" spans="2:2" ht="15.6">
      <c r="B2152" s="159"/>
    </row>
    <row r="2153" spans="2:2" ht="15.6">
      <c r="B2153" s="159"/>
    </row>
    <row r="2154" spans="2:2" ht="15.6">
      <c r="B2154" s="159"/>
    </row>
    <row r="2155" spans="2:2" ht="15.6">
      <c r="B2155" s="159"/>
    </row>
    <row r="2156" spans="2:2" ht="15.6">
      <c r="B2156" s="159"/>
    </row>
    <row r="2157" spans="2:2" ht="15.6">
      <c r="B2157" s="159"/>
    </row>
    <row r="2158" spans="2:2" ht="15.6">
      <c r="B2158" s="159"/>
    </row>
    <row r="2159" spans="2:2" ht="15.6">
      <c r="B2159" s="159"/>
    </row>
    <row r="2160" spans="2:2" ht="15.6">
      <c r="B2160" s="159"/>
    </row>
    <row r="2161" spans="2:2" ht="15.6">
      <c r="B2161" s="159"/>
    </row>
    <row r="2162" spans="2:2" ht="15.6">
      <c r="B2162" s="159"/>
    </row>
    <row r="2163" spans="2:2" ht="15.6">
      <c r="B2163" s="159"/>
    </row>
    <row r="2164" spans="2:2" ht="15.6">
      <c r="B2164" s="159"/>
    </row>
    <row r="2165" spans="2:2" ht="15.6">
      <c r="B2165" s="159"/>
    </row>
    <row r="2166" spans="2:2" ht="15.6">
      <c r="B2166" s="159"/>
    </row>
    <row r="2167" spans="2:2" ht="15.6">
      <c r="B2167" s="159"/>
    </row>
    <row r="2168" spans="2:2" ht="15.6">
      <c r="B2168" s="159"/>
    </row>
    <row r="2169" spans="2:2" ht="15.6">
      <c r="B2169" s="159"/>
    </row>
    <row r="2170" spans="2:2" ht="15.6">
      <c r="B2170" s="159"/>
    </row>
    <row r="2171" spans="2:2" ht="15.6">
      <c r="B2171" s="159"/>
    </row>
    <row r="2172" spans="2:2" ht="15.6">
      <c r="B2172" s="159"/>
    </row>
    <row r="2173" spans="2:2" ht="15.6">
      <c r="B2173" s="159"/>
    </row>
    <row r="2174" spans="2:2" ht="15.6">
      <c r="B2174" s="159"/>
    </row>
    <row r="2175" spans="2:2" ht="15.6">
      <c r="B2175" s="159"/>
    </row>
    <row r="2176" spans="2:2" ht="15.6">
      <c r="B2176" s="159"/>
    </row>
    <row r="2177" spans="2:2" ht="15.6">
      <c r="B2177" s="159"/>
    </row>
    <row r="2178" spans="2:2" ht="15.6">
      <c r="B2178" s="159"/>
    </row>
    <row r="2179" spans="2:2" ht="15.6">
      <c r="B2179" s="159"/>
    </row>
    <row r="2180" spans="2:2" ht="15.6">
      <c r="B2180" s="159"/>
    </row>
    <row r="2181" spans="2:2" ht="15.6">
      <c r="B2181" s="159"/>
    </row>
    <row r="2182" spans="2:2" ht="15.6">
      <c r="B2182" s="159"/>
    </row>
    <row r="2183" spans="2:2" ht="15.6">
      <c r="B2183" s="159"/>
    </row>
    <row r="2184" spans="2:2" ht="15.6">
      <c r="B2184" s="159"/>
    </row>
    <row r="2185" spans="2:2" ht="15.6">
      <c r="B2185" s="159"/>
    </row>
    <row r="2186" spans="2:2" ht="15.6">
      <c r="B2186" s="159"/>
    </row>
    <row r="2187" spans="2:2" ht="15.6">
      <c r="B2187" s="159"/>
    </row>
    <row r="2188" spans="2:2" ht="15.6">
      <c r="B2188" s="159"/>
    </row>
    <row r="2189" spans="2:2" ht="15.6">
      <c r="B2189" s="159"/>
    </row>
    <row r="2190" spans="2:2" ht="15.6">
      <c r="B2190" s="159"/>
    </row>
    <row r="2191" spans="2:2" ht="15.6">
      <c r="B2191" s="159"/>
    </row>
    <row r="2192" spans="2:2" ht="15.6">
      <c r="B2192" s="159"/>
    </row>
    <row r="2193" spans="2:2" ht="15.6">
      <c r="B2193" s="159"/>
    </row>
    <row r="2194" spans="2:2" ht="15.6">
      <c r="B2194" s="159"/>
    </row>
    <row r="2195" spans="2:2" ht="15.6">
      <c r="B2195" s="159"/>
    </row>
    <row r="2196" spans="2:2" ht="15.6">
      <c r="B2196" s="159"/>
    </row>
    <row r="2197" spans="2:2" ht="15.6">
      <c r="B2197" s="159"/>
    </row>
    <row r="2198" spans="2:2" ht="15.6">
      <c r="B2198" s="159"/>
    </row>
    <row r="2199" spans="2:2" ht="15.6">
      <c r="B2199" s="159"/>
    </row>
    <row r="2200" spans="2:2" ht="15.6">
      <c r="B2200" s="159"/>
    </row>
    <row r="2201" spans="2:2" ht="15.6">
      <c r="B2201" s="159"/>
    </row>
    <row r="2202" spans="2:2" ht="15.6">
      <c r="B2202" s="159"/>
    </row>
    <row r="2203" spans="2:2" ht="15.6">
      <c r="B2203" s="159"/>
    </row>
    <row r="2204" spans="2:2" ht="15.6">
      <c r="B2204" s="159"/>
    </row>
    <row r="2205" spans="2:2" ht="15.6">
      <c r="B2205" s="159"/>
    </row>
    <row r="2206" spans="2:2" ht="15.6">
      <c r="B2206" s="159"/>
    </row>
    <row r="2207" spans="2:2" ht="15.6">
      <c r="B2207" s="159"/>
    </row>
    <row r="2208" spans="2:2" ht="15.6">
      <c r="B2208" s="159"/>
    </row>
    <row r="2209" spans="2:2" ht="15.6">
      <c r="B2209" s="159"/>
    </row>
    <row r="2210" spans="2:2" ht="15.6">
      <c r="B2210" s="159"/>
    </row>
    <row r="2211" spans="2:2" ht="15.6">
      <c r="B2211" s="159"/>
    </row>
    <row r="2212" spans="2:2" ht="15.6">
      <c r="B2212" s="159"/>
    </row>
    <row r="2213" spans="2:2" ht="15.6">
      <c r="B2213" s="159"/>
    </row>
    <row r="2214" spans="2:2" ht="15.6">
      <c r="B2214" s="159"/>
    </row>
    <row r="2215" spans="2:2" ht="15.6">
      <c r="B2215" s="159"/>
    </row>
    <row r="2216" spans="2:2" ht="15.6">
      <c r="B2216" s="159"/>
    </row>
    <row r="2217" spans="2:2" ht="15.6">
      <c r="B2217" s="159"/>
    </row>
    <row r="2218" spans="2:2" ht="15.6">
      <c r="B2218" s="159"/>
    </row>
    <row r="2219" spans="2:2" ht="15.6">
      <c r="B2219" s="159"/>
    </row>
    <row r="2220" spans="2:2" ht="15.6">
      <c r="B2220" s="159"/>
    </row>
    <row r="2221" spans="2:2" ht="15.6">
      <c r="B2221" s="159"/>
    </row>
    <row r="2222" spans="2:2" ht="15.6">
      <c r="B2222" s="159"/>
    </row>
    <row r="2223" spans="2:2" ht="15.6">
      <c r="B2223" s="159"/>
    </row>
    <row r="2224" spans="2:2" ht="15.6">
      <c r="B2224" s="159"/>
    </row>
    <row r="2225" spans="2:2" ht="15.6">
      <c r="B2225" s="159"/>
    </row>
    <row r="2226" spans="2:2" ht="15.6">
      <c r="B2226" s="159"/>
    </row>
    <row r="2227" spans="2:2" ht="15.6">
      <c r="B2227" s="159"/>
    </row>
    <row r="2228" spans="2:2" ht="15.6">
      <c r="B2228" s="159"/>
    </row>
    <row r="2229" spans="2:2" ht="15.6">
      <c r="B2229" s="159"/>
    </row>
    <row r="2230" spans="2:2" ht="15.6">
      <c r="B2230" s="159"/>
    </row>
    <row r="2231" spans="2:2" ht="15.6">
      <c r="B2231" s="159"/>
    </row>
    <row r="2232" spans="2:2" ht="15.6">
      <c r="B2232" s="159"/>
    </row>
    <row r="2233" spans="2:2" ht="15.6">
      <c r="B2233" s="159"/>
    </row>
    <row r="2234" spans="2:2" ht="15.6">
      <c r="B2234" s="159"/>
    </row>
    <row r="2235" spans="2:2" ht="15.6">
      <c r="B2235" s="159"/>
    </row>
    <row r="2236" spans="2:2" ht="15.6">
      <c r="B2236" s="159"/>
    </row>
    <row r="2237" spans="2:2" ht="15.6">
      <c r="B2237" s="159"/>
    </row>
    <row r="2238" spans="2:2" ht="15.6">
      <c r="B2238" s="159"/>
    </row>
    <row r="2239" spans="2:2" ht="15.6">
      <c r="B2239" s="159"/>
    </row>
    <row r="2240" spans="2:2" ht="15.6">
      <c r="B2240" s="159"/>
    </row>
    <row r="2241" spans="2:2" ht="15.6">
      <c r="B2241" s="159"/>
    </row>
    <row r="2242" spans="2:2" ht="15.6">
      <c r="B2242" s="159"/>
    </row>
    <row r="2243" spans="2:2" ht="15.6">
      <c r="B2243" s="159"/>
    </row>
    <row r="2244" spans="2:2" ht="15.6">
      <c r="B2244" s="159"/>
    </row>
    <row r="2245" spans="2:2" ht="15.6">
      <c r="B2245" s="159"/>
    </row>
    <row r="2246" spans="2:2" ht="15.6">
      <c r="B2246" s="159"/>
    </row>
    <row r="2247" spans="2:2" ht="15.6">
      <c r="B2247" s="159"/>
    </row>
    <row r="2248" spans="2:2" ht="15.6">
      <c r="B2248" s="159"/>
    </row>
    <row r="2249" spans="2:2" ht="15.6">
      <c r="B2249" s="159"/>
    </row>
    <row r="2250" spans="2:2" ht="15.6">
      <c r="B2250" s="159"/>
    </row>
    <row r="2251" spans="2:2" ht="15.6">
      <c r="B2251" s="159"/>
    </row>
    <row r="2252" spans="2:2" ht="15.6">
      <c r="B2252" s="159"/>
    </row>
    <row r="2253" spans="2:2" ht="15.6">
      <c r="B2253" s="159"/>
    </row>
    <row r="2254" spans="2:2" ht="15.6">
      <c r="B2254" s="159"/>
    </row>
    <row r="2255" spans="2:2" ht="15.6">
      <c r="B2255" s="159"/>
    </row>
    <row r="2256" spans="2:2" ht="15.6">
      <c r="B2256" s="159"/>
    </row>
    <row r="2257" spans="2:2" ht="15.6">
      <c r="B2257" s="159"/>
    </row>
    <row r="2258" spans="2:2" ht="15.6">
      <c r="B2258" s="159"/>
    </row>
    <row r="2259" spans="2:2" ht="15.6">
      <c r="B2259" s="159"/>
    </row>
    <row r="2260" spans="2:2" ht="15.6">
      <c r="B2260" s="159"/>
    </row>
    <row r="2261" spans="2:2" ht="15.6">
      <c r="B2261" s="159"/>
    </row>
    <row r="2262" spans="2:2" ht="15.6">
      <c r="B2262" s="159"/>
    </row>
    <row r="2263" spans="2:2" ht="15.6">
      <c r="B2263" s="159"/>
    </row>
    <row r="2264" spans="2:2" ht="15.6">
      <c r="B2264" s="159"/>
    </row>
    <row r="2265" spans="2:2" ht="15.6">
      <c r="B2265" s="159"/>
    </row>
    <row r="2266" spans="2:2" ht="15.6">
      <c r="B2266" s="159"/>
    </row>
    <row r="2267" spans="2:2" ht="15.6">
      <c r="B2267" s="159"/>
    </row>
    <row r="2268" spans="2:2" ht="15.6">
      <c r="B2268" s="159"/>
    </row>
    <row r="2269" spans="2:2" ht="15.6">
      <c r="B2269" s="159"/>
    </row>
    <row r="2270" spans="2:2" ht="15.6">
      <c r="B2270" s="159"/>
    </row>
    <row r="2271" spans="2:2" ht="15.6">
      <c r="B2271" s="159"/>
    </row>
    <row r="2272" spans="2:2" ht="15.6">
      <c r="B2272" s="159"/>
    </row>
    <row r="2273" spans="2:2" ht="15.6">
      <c r="B2273" s="159"/>
    </row>
    <row r="2274" spans="2:2" ht="15.6">
      <c r="B2274" s="159"/>
    </row>
    <row r="2275" spans="2:2" ht="15.6">
      <c r="B2275" s="159"/>
    </row>
    <row r="2276" spans="2:2" ht="15.6">
      <c r="B2276" s="159"/>
    </row>
    <row r="2277" spans="2:2" ht="15.6">
      <c r="B2277" s="159"/>
    </row>
    <row r="2278" spans="2:2" ht="15.6">
      <c r="B2278" s="159"/>
    </row>
    <row r="2279" spans="2:2" ht="15.6">
      <c r="B2279" s="159"/>
    </row>
    <row r="2280" spans="2:2" ht="15.6">
      <c r="B2280" s="159"/>
    </row>
    <row r="2281" spans="2:2" ht="15.6">
      <c r="B2281" s="159"/>
    </row>
    <row r="2282" spans="2:2" ht="15.6">
      <c r="B2282" s="159"/>
    </row>
    <row r="2283" spans="2:2" ht="15.6">
      <c r="B2283" s="159"/>
    </row>
    <row r="2284" spans="2:2" ht="15.6">
      <c r="B2284" s="159"/>
    </row>
    <row r="2285" spans="2:2" ht="15.6">
      <c r="B2285" s="159"/>
    </row>
    <row r="2286" spans="2:2" ht="15.6">
      <c r="B2286" s="159"/>
    </row>
    <row r="2287" spans="2:2" ht="15.6">
      <c r="B2287" s="159"/>
    </row>
    <row r="2288" spans="2:2" ht="15.6">
      <c r="B2288" s="159"/>
    </row>
    <row r="2289" spans="2:2" ht="15.6">
      <c r="B2289" s="159"/>
    </row>
    <row r="2290" spans="2:2" ht="15.6">
      <c r="B2290" s="159"/>
    </row>
    <row r="2291" spans="2:2" ht="15.6">
      <c r="B2291" s="159"/>
    </row>
    <row r="2292" spans="2:2" ht="15.6">
      <c r="B2292" s="159"/>
    </row>
    <row r="2293" spans="2:2" ht="15.6">
      <c r="B2293" s="159"/>
    </row>
    <row r="2294" spans="2:2" ht="15.6">
      <c r="B2294" s="159"/>
    </row>
    <row r="2295" spans="2:2" ht="15.6">
      <c r="B2295" s="159"/>
    </row>
    <row r="2296" spans="2:2" ht="15.6">
      <c r="B2296" s="159"/>
    </row>
    <row r="2297" spans="2:2" ht="15.6">
      <c r="B2297" s="159"/>
    </row>
    <row r="2298" spans="2:2" ht="15.6">
      <c r="B2298" s="159"/>
    </row>
    <row r="2299" spans="2:2" ht="15.6">
      <c r="B2299" s="159"/>
    </row>
    <row r="2300" spans="2:2" ht="15.6">
      <c r="B2300" s="159"/>
    </row>
    <row r="2301" spans="2:2" ht="15.6">
      <c r="B2301" s="159"/>
    </row>
    <row r="2302" spans="2:2" ht="15.6">
      <c r="B2302" s="159"/>
    </row>
    <row r="2303" spans="2:2" ht="15.6">
      <c r="B2303" s="159"/>
    </row>
    <row r="2304" spans="2:2" ht="15.6">
      <c r="B2304" s="159"/>
    </row>
    <row r="2305" spans="2:2" ht="15.6">
      <c r="B2305" s="159"/>
    </row>
    <row r="2306" spans="2:2" ht="15.6">
      <c r="B2306" s="159"/>
    </row>
    <row r="2307" spans="2:2" ht="15.6">
      <c r="B2307" s="159"/>
    </row>
    <row r="2308" spans="2:2" ht="15.6">
      <c r="B2308" s="159"/>
    </row>
    <row r="2309" spans="2:2" ht="15.6">
      <c r="B2309" s="159"/>
    </row>
    <row r="2310" spans="2:2" ht="15.6">
      <c r="B2310" s="159"/>
    </row>
    <row r="2311" spans="2:2" ht="15.6">
      <c r="B2311" s="159"/>
    </row>
    <row r="2312" spans="2:2" ht="15.6">
      <c r="B2312" s="159"/>
    </row>
    <row r="2313" spans="2:2" ht="15.6">
      <c r="B2313" s="159"/>
    </row>
    <row r="2314" spans="2:2" ht="15.6">
      <c r="B2314" s="159"/>
    </row>
    <row r="2315" spans="2:2" ht="15.6">
      <c r="B2315" s="159"/>
    </row>
    <row r="2316" spans="2:2" ht="15.6">
      <c r="B2316" s="159"/>
    </row>
    <row r="2317" spans="2:2" ht="15.6">
      <c r="B2317" s="159"/>
    </row>
    <row r="2318" spans="2:2" ht="15.6">
      <c r="B2318" s="159"/>
    </row>
    <row r="2319" spans="2:2" ht="15.6">
      <c r="B2319" s="159"/>
    </row>
    <row r="2320" spans="2:2" ht="15.6">
      <c r="B2320" s="159"/>
    </row>
    <row r="2321" spans="2:2" ht="15.6">
      <c r="B2321" s="159"/>
    </row>
    <row r="2322" spans="2:2" ht="15.6">
      <c r="B2322" s="159"/>
    </row>
    <row r="2323" spans="2:2" ht="15.6">
      <c r="B2323" s="159"/>
    </row>
    <row r="2324" spans="2:2" ht="15.6">
      <c r="B2324" s="159"/>
    </row>
    <row r="2325" spans="2:2" ht="15.6">
      <c r="B2325" s="159"/>
    </row>
    <row r="2326" spans="2:2" ht="15.6">
      <c r="B2326" s="159"/>
    </row>
    <row r="2327" spans="2:2" ht="15.6">
      <c r="B2327" s="159"/>
    </row>
    <row r="2328" spans="2:2" ht="15.6">
      <c r="B2328" s="159"/>
    </row>
    <row r="2329" spans="2:2" ht="15.6">
      <c r="B2329" s="159"/>
    </row>
    <row r="2330" spans="2:2" ht="15.6">
      <c r="B2330" s="159"/>
    </row>
    <row r="2331" spans="2:2" ht="15.6">
      <c r="B2331" s="159"/>
    </row>
    <row r="2332" spans="2:2" ht="15.6">
      <c r="B2332" s="159"/>
    </row>
    <row r="2333" spans="2:2" ht="15.6">
      <c r="B2333" s="159"/>
    </row>
    <row r="2334" spans="2:2" ht="15.6">
      <c r="B2334" s="159"/>
    </row>
    <row r="2335" spans="2:2" ht="15.6">
      <c r="B2335" s="159"/>
    </row>
    <row r="2336" spans="2:2" ht="15.6">
      <c r="B2336" s="159"/>
    </row>
    <row r="2337" spans="2:2" ht="15.6">
      <c r="B2337" s="159"/>
    </row>
    <row r="2338" spans="2:2" ht="15.6">
      <c r="B2338" s="159"/>
    </row>
    <row r="2339" spans="2:2" ht="15.6">
      <c r="B2339" s="159"/>
    </row>
    <row r="2340" spans="2:2" ht="15.6">
      <c r="B2340" s="159"/>
    </row>
    <row r="2341" spans="2:2" ht="15.6">
      <c r="B2341" s="159"/>
    </row>
    <row r="2342" spans="2:2" ht="15.6">
      <c r="B2342" s="159"/>
    </row>
    <row r="2343" spans="2:2" ht="15.6">
      <c r="B2343" s="159"/>
    </row>
    <row r="2344" spans="2:2" ht="15.6">
      <c r="B2344" s="159"/>
    </row>
    <row r="2345" spans="2:2" ht="15.6">
      <c r="B2345" s="159"/>
    </row>
    <row r="2346" spans="2:2" ht="15.6">
      <c r="B2346" s="159"/>
    </row>
    <row r="2347" spans="2:2" ht="15.6">
      <c r="B2347" s="159"/>
    </row>
    <row r="2348" spans="2:2" ht="15.6">
      <c r="B2348" s="159"/>
    </row>
    <row r="2349" spans="2:2" ht="15.6">
      <c r="B2349" s="159"/>
    </row>
    <row r="2350" spans="2:2" ht="15.6">
      <c r="B2350" s="159"/>
    </row>
    <row r="2351" spans="2:2" ht="15.6">
      <c r="B2351" s="159"/>
    </row>
    <row r="2352" spans="2:2" ht="15.6">
      <c r="B2352" s="159"/>
    </row>
    <row r="2353" spans="2:2" ht="15.6">
      <c r="B2353" s="159"/>
    </row>
    <row r="2354" spans="2:2" ht="15.6">
      <c r="B2354" s="159"/>
    </row>
    <row r="2355" spans="2:2" ht="15.6">
      <c r="B2355" s="159"/>
    </row>
    <row r="2356" spans="2:2" ht="15.6">
      <c r="B2356" s="159"/>
    </row>
    <row r="2357" spans="2:2" ht="15.6">
      <c r="B2357" s="159"/>
    </row>
    <row r="2358" spans="2:2" ht="15.6">
      <c r="B2358" s="159"/>
    </row>
    <row r="2359" spans="2:2" ht="15.6">
      <c r="B2359" s="159"/>
    </row>
    <row r="2360" spans="2:2" ht="15.6">
      <c r="B2360" s="159"/>
    </row>
    <row r="2361" spans="2:2" ht="15.6">
      <c r="B2361" s="159"/>
    </row>
    <row r="2362" spans="2:2" ht="15.6">
      <c r="B2362" s="159"/>
    </row>
    <row r="2363" spans="2:2" ht="15.6">
      <c r="B2363" s="159"/>
    </row>
    <row r="2364" spans="2:2" ht="15.6">
      <c r="B2364" s="159"/>
    </row>
    <row r="2365" spans="2:2" ht="15.6">
      <c r="B2365" s="159"/>
    </row>
    <row r="2366" spans="2:2" ht="15.6">
      <c r="B2366" s="159"/>
    </row>
    <row r="2367" spans="2:2" ht="15.6">
      <c r="B2367" s="159"/>
    </row>
    <row r="2368" spans="2:2" ht="15.6">
      <c r="B2368" s="159"/>
    </row>
    <row r="2369" spans="2:2" ht="15.6">
      <c r="B2369" s="159"/>
    </row>
    <row r="2370" spans="2:2" ht="15.6">
      <c r="B2370" s="159"/>
    </row>
    <row r="2371" spans="2:2" ht="15.6">
      <c r="B2371" s="159"/>
    </row>
    <row r="2372" spans="2:2" ht="15.6">
      <c r="B2372" s="159"/>
    </row>
    <row r="2373" spans="2:2" ht="15.6">
      <c r="B2373" s="159"/>
    </row>
    <row r="2374" spans="2:2" ht="15.6">
      <c r="B2374" s="159"/>
    </row>
    <row r="2375" spans="2:2" ht="15.6">
      <c r="B2375" s="159"/>
    </row>
    <row r="2376" spans="2:2" ht="15.6">
      <c r="B2376" s="159"/>
    </row>
    <row r="2377" spans="2:2" ht="15.6">
      <c r="B2377" s="159"/>
    </row>
    <row r="2378" spans="2:2" ht="15.6">
      <c r="B2378" s="159"/>
    </row>
    <row r="2379" spans="2:2" ht="15.6">
      <c r="B2379" s="159"/>
    </row>
    <row r="2380" spans="2:2" ht="15.6">
      <c r="B2380" s="159"/>
    </row>
    <row r="2381" spans="2:2" ht="15.6">
      <c r="B2381" s="159"/>
    </row>
    <row r="2382" spans="2:2" ht="15.6">
      <c r="B2382" s="159"/>
    </row>
    <row r="2383" spans="2:2" ht="15.6">
      <c r="B2383" s="159"/>
    </row>
    <row r="2384" spans="2:2" ht="15.6">
      <c r="B2384" s="159"/>
    </row>
    <row r="2385" spans="2:2" ht="15.6">
      <c r="B2385" s="159"/>
    </row>
    <row r="2386" spans="2:2" ht="15.6">
      <c r="B2386" s="159"/>
    </row>
    <row r="2387" spans="2:2" ht="15.6">
      <c r="B2387" s="159"/>
    </row>
    <row r="2388" spans="2:2" ht="15.6">
      <c r="B2388" s="159"/>
    </row>
    <row r="2389" spans="2:2" ht="15.6">
      <c r="B2389" s="159"/>
    </row>
    <row r="2390" spans="2:2" ht="15.6">
      <c r="B2390" s="159"/>
    </row>
    <row r="2391" spans="2:2" ht="15.6">
      <c r="B2391" s="159"/>
    </row>
    <row r="2392" spans="2:2" ht="15.6">
      <c r="B2392" s="159"/>
    </row>
    <row r="2393" spans="2:2" ht="15.6">
      <c r="B2393" s="159"/>
    </row>
    <row r="2394" spans="2:2" ht="15.6">
      <c r="B2394" s="159"/>
    </row>
    <row r="2395" spans="2:2" ht="15.6">
      <c r="B2395" s="159"/>
    </row>
    <row r="2396" spans="2:2" ht="15.6">
      <c r="B2396" s="159"/>
    </row>
    <row r="2397" spans="2:2" ht="15.6">
      <c r="B2397" s="159"/>
    </row>
    <row r="2398" spans="2:2" ht="15.6">
      <c r="B2398" s="159"/>
    </row>
    <row r="2399" spans="2:2" ht="15.6">
      <c r="B2399" s="159"/>
    </row>
    <row r="2400" spans="2:2" ht="15.6">
      <c r="B2400" s="159"/>
    </row>
    <row r="2401" spans="2:2" ht="15.6">
      <c r="B2401" s="159"/>
    </row>
    <row r="2402" spans="2:2" ht="15.6">
      <c r="B2402" s="159"/>
    </row>
    <row r="2403" spans="2:2" ht="15.6">
      <c r="B2403" s="159"/>
    </row>
    <row r="2404" spans="2:2" ht="15.6">
      <c r="B2404" s="159"/>
    </row>
    <row r="2405" spans="2:2" ht="15.6">
      <c r="B2405" s="159"/>
    </row>
    <row r="2406" spans="2:2" ht="15.6">
      <c r="B2406" s="159"/>
    </row>
    <row r="2407" spans="2:2" ht="15.6">
      <c r="B2407" s="159"/>
    </row>
    <row r="2408" spans="2:2" ht="15.6">
      <c r="B2408" s="159"/>
    </row>
    <row r="2409" spans="2:2" ht="15.6">
      <c r="B2409" s="159"/>
    </row>
    <row r="2410" spans="2:2" ht="15.6">
      <c r="B2410" s="159"/>
    </row>
    <row r="2411" spans="2:2" ht="15.6">
      <c r="B2411" s="159"/>
    </row>
    <row r="2412" spans="2:2" ht="15.6">
      <c r="B2412" s="159"/>
    </row>
    <row r="2413" spans="2:2" ht="15.6">
      <c r="B2413" s="159"/>
    </row>
    <row r="2414" spans="2:2" ht="15.6">
      <c r="B2414" s="159"/>
    </row>
    <row r="2415" spans="2:2" ht="15.6">
      <c r="B2415" s="159"/>
    </row>
    <row r="2416" spans="2:2" ht="15.6">
      <c r="B2416" s="159"/>
    </row>
    <row r="2417" spans="2:2" ht="15.6">
      <c r="B2417" s="159"/>
    </row>
    <row r="2418" spans="2:2" ht="15.6">
      <c r="B2418" s="159"/>
    </row>
    <row r="2419" spans="2:2" ht="15.6">
      <c r="B2419" s="159"/>
    </row>
    <row r="2420" spans="2:2" ht="15.6">
      <c r="B2420" s="159"/>
    </row>
    <row r="2421" spans="2:2" ht="15.6">
      <c r="B2421" s="159"/>
    </row>
    <row r="2422" spans="2:2" ht="15.6">
      <c r="B2422" s="159"/>
    </row>
    <row r="2423" spans="2:2" ht="15.6">
      <c r="B2423" s="159"/>
    </row>
    <row r="2424" spans="2:2" ht="15.6">
      <c r="B2424" s="159"/>
    </row>
    <row r="2425" spans="2:2" ht="15.6">
      <c r="B2425" s="159"/>
    </row>
    <row r="2426" spans="2:2" ht="15.6">
      <c r="B2426" s="159"/>
    </row>
    <row r="2427" spans="2:2" ht="15.6">
      <c r="B2427" s="159"/>
    </row>
    <row r="2428" spans="2:2" ht="15.6">
      <c r="B2428" s="159"/>
    </row>
    <row r="2429" spans="2:2" ht="15.6">
      <c r="B2429" s="159"/>
    </row>
    <row r="2430" spans="2:2" ht="15.6">
      <c r="B2430" s="159"/>
    </row>
    <row r="2431" spans="2:2" ht="15.6">
      <c r="B2431" s="159"/>
    </row>
    <row r="2432" spans="2:2" ht="15.6">
      <c r="B2432" s="159"/>
    </row>
    <row r="2433" spans="2:2" ht="15.6">
      <c r="B2433" s="159"/>
    </row>
    <row r="2434" spans="2:2" ht="15.6">
      <c r="B2434" s="159"/>
    </row>
    <row r="2435" spans="2:2" ht="15.6">
      <c r="B2435" s="159"/>
    </row>
    <row r="2436" spans="2:2" ht="15.6">
      <c r="B2436" s="159"/>
    </row>
    <row r="2437" spans="2:2" ht="15.6">
      <c r="B2437" s="159"/>
    </row>
    <row r="2438" spans="2:2" ht="15.6">
      <c r="B2438" s="159"/>
    </row>
    <row r="2439" spans="2:2" ht="15.6">
      <c r="B2439" s="159"/>
    </row>
    <row r="2440" spans="2:2" ht="15.6">
      <c r="B2440" s="159"/>
    </row>
    <row r="2441" spans="2:2" ht="15.6">
      <c r="B2441" s="159"/>
    </row>
    <row r="2442" spans="2:2" ht="15.6">
      <c r="B2442" s="159"/>
    </row>
    <row r="2443" spans="2:2" ht="15.6">
      <c r="B2443" s="159"/>
    </row>
    <row r="2444" spans="2:2" ht="15.6">
      <c r="B2444" s="159"/>
    </row>
    <row r="2445" spans="2:2" ht="15.6">
      <c r="B2445" s="159"/>
    </row>
    <row r="2446" spans="2:2" ht="15.6">
      <c r="B2446" s="159"/>
    </row>
    <row r="2447" spans="2:2" ht="15.6">
      <c r="B2447" s="159"/>
    </row>
    <row r="2448" spans="2:2" ht="15.6">
      <c r="B2448" s="159"/>
    </row>
    <row r="2449" spans="2:2" ht="15.6">
      <c r="B2449" s="159"/>
    </row>
    <row r="2450" spans="2:2" ht="15.6">
      <c r="B2450" s="159"/>
    </row>
    <row r="2451" spans="2:2" ht="15.6">
      <c r="B2451" s="159"/>
    </row>
    <row r="2452" spans="2:2" ht="15.6">
      <c r="B2452" s="159"/>
    </row>
    <row r="2453" spans="2:2" ht="15.6">
      <c r="B2453" s="159"/>
    </row>
    <row r="2454" spans="2:2" ht="15.6">
      <c r="B2454" s="159"/>
    </row>
    <row r="2455" spans="2:2" ht="15.6">
      <c r="B2455" s="159"/>
    </row>
    <row r="2456" spans="2:2" ht="15.6">
      <c r="B2456" s="159"/>
    </row>
    <row r="2457" spans="2:2" ht="15.6">
      <c r="B2457" s="159"/>
    </row>
    <row r="2458" spans="2:2" ht="15.6">
      <c r="B2458" s="159"/>
    </row>
    <row r="2459" spans="2:2" ht="15.6">
      <c r="B2459" s="159"/>
    </row>
    <row r="2460" spans="2:2" ht="15.6">
      <c r="B2460" s="159"/>
    </row>
    <row r="2461" spans="2:2" ht="15.6">
      <c r="B2461" s="159"/>
    </row>
    <row r="2462" spans="2:2" ht="15.6">
      <c r="B2462" s="159"/>
    </row>
    <row r="2463" spans="2:2" ht="15.6">
      <c r="B2463" s="159"/>
    </row>
    <row r="2464" spans="2:2" ht="15.6">
      <c r="B2464" s="159"/>
    </row>
    <row r="2465" spans="2:2" ht="15.6">
      <c r="B2465" s="159"/>
    </row>
    <row r="2466" spans="2:2" ht="15.6">
      <c r="B2466" s="159"/>
    </row>
    <row r="2467" spans="2:2" ht="15.6">
      <c r="B2467" s="159"/>
    </row>
    <row r="2468" spans="2:2" ht="15.6">
      <c r="B2468" s="159"/>
    </row>
    <row r="2469" spans="2:2" ht="15.6">
      <c r="B2469" s="159"/>
    </row>
    <row r="2470" spans="2:2" ht="15.6">
      <c r="B2470" s="159"/>
    </row>
    <row r="2471" spans="2:2" ht="15.6">
      <c r="B2471" s="159"/>
    </row>
    <row r="2472" spans="2:2" ht="15.6">
      <c r="B2472" s="159"/>
    </row>
    <row r="2473" spans="2:2" ht="15.6">
      <c r="B2473" s="159"/>
    </row>
    <row r="2474" spans="2:2" ht="15.6">
      <c r="B2474" s="159"/>
    </row>
    <row r="2475" spans="2:2" ht="15.6">
      <c r="B2475" s="159"/>
    </row>
    <row r="2476" spans="2:2" ht="15.6">
      <c r="B2476" s="159"/>
    </row>
    <row r="2477" spans="2:2" ht="15.6">
      <c r="B2477" s="159"/>
    </row>
    <row r="2478" spans="2:2" ht="15.6">
      <c r="B2478" s="159"/>
    </row>
    <row r="2479" spans="2:2" ht="15.6">
      <c r="B2479" s="159"/>
    </row>
    <row r="2480" spans="2:2" ht="15.6">
      <c r="B2480" s="159"/>
    </row>
    <row r="2481" spans="2:2" ht="15.6">
      <c r="B2481" s="159"/>
    </row>
    <row r="2482" spans="2:2" ht="15.6">
      <c r="B2482" s="159"/>
    </row>
    <row r="2483" spans="2:2" ht="15.6">
      <c r="B2483" s="159"/>
    </row>
    <row r="2484" spans="2:2" ht="15.6">
      <c r="B2484" s="159"/>
    </row>
    <row r="2485" spans="2:2" ht="15.6">
      <c r="B2485" s="159"/>
    </row>
    <row r="2486" spans="2:2" ht="15.6">
      <c r="B2486" s="159"/>
    </row>
    <row r="2487" spans="2:2" ht="15.6">
      <c r="B2487" s="159"/>
    </row>
    <row r="2488" spans="2:2" ht="15.6">
      <c r="B2488" s="159"/>
    </row>
    <row r="2489" spans="2:2" ht="15.6">
      <c r="B2489" s="159"/>
    </row>
    <row r="2490" spans="2:2" ht="15.6">
      <c r="B2490" s="159"/>
    </row>
    <row r="2491" spans="2:2" ht="15.6">
      <c r="B2491" s="159"/>
    </row>
    <row r="2492" spans="2:2" ht="15.6">
      <c r="B2492" s="159"/>
    </row>
    <row r="2493" spans="2:2" ht="15.6">
      <c r="B2493" s="159"/>
    </row>
    <row r="2494" spans="2:2" ht="15.6">
      <c r="B2494" s="159"/>
    </row>
    <row r="2495" spans="2:2" ht="15.6">
      <c r="B2495" s="159"/>
    </row>
    <row r="2496" spans="2:2" ht="15.6">
      <c r="B2496" s="159"/>
    </row>
    <row r="2497" spans="2:2" ht="15.6">
      <c r="B2497" s="159"/>
    </row>
    <row r="2498" spans="2:2" ht="15.6">
      <c r="B2498" s="159"/>
    </row>
    <row r="2499" spans="2:2" ht="15.6">
      <c r="B2499" s="159"/>
    </row>
    <row r="2500" spans="2:2" ht="15.6">
      <c r="B2500" s="159"/>
    </row>
    <row r="2501" spans="2:2" ht="15.6">
      <c r="B2501" s="159"/>
    </row>
    <row r="2502" spans="2:2" ht="15.6">
      <c r="B2502" s="159"/>
    </row>
    <row r="2503" spans="2:2" ht="15.6">
      <c r="B2503" s="159"/>
    </row>
    <row r="2504" spans="2:2" ht="15.6">
      <c r="B2504" s="159"/>
    </row>
    <row r="2505" spans="2:2" ht="15.6">
      <c r="B2505" s="159"/>
    </row>
    <row r="2506" spans="2:2" ht="15.6">
      <c r="B2506" s="159"/>
    </row>
    <row r="2507" spans="2:2" ht="15.6">
      <c r="B2507" s="159"/>
    </row>
    <row r="2508" spans="2:2" ht="15.6">
      <c r="B2508" s="159"/>
    </row>
    <row r="2509" spans="2:2" ht="15.6">
      <c r="B2509" s="159"/>
    </row>
    <row r="2510" spans="2:2" ht="15.6">
      <c r="B2510" s="159"/>
    </row>
    <row r="2511" spans="2:2" ht="15.6">
      <c r="B2511" s="159"/>
    </row>
    <row r="2512" spans="2:2" ht="15.6">
      <c r="B2512" s="159"/>
    </row>
    <row r="2513" spans="2:2" ht="15.6">
      <c r="B2513" s="159"/>
    </row>
    <row r="2514" spans="2:2" ht="15.6">
      <c r="B2514" s="159"/>
    </row>
    <row r="2515" spans="2:2" ht="15.6">
      <c r="B2515" s="159"/>
    </row>
    <row r="2516" spans="2:2" ht="15.6">
      <c r="B2516" s="159"/>
    </row>
    <row r="2517" spans="2:2" ht="15.6">
      <c r="B2517" s="159"/>
    </row>
    <row r="2518" spans="2:2" ht="15.6">
      <c r="B2518" s="159"/>
    </row>
    <row r="2519" spans="2:2" ht="15.6">
      <c r="B2519" s="159"/>
    </row>
    <row r="2520" spans="2:2" ht="15.6">
      <c r="B2520" s="159"/>
    </row>
    <row r="2521" spans="2:2" ht="15.6">
      <c r="B2521" s="159"/>
    </row>
    <row r="2522" spans="2:2" ht="15.6">
      <c r="B2522" s="159"/>
    </row>
    <row r="2523" spans="2:2" ht="15.6">
      <c r="B2523" s="159"/>
    </row>
    <row r="2524" spans="2:2" ht="15.6">
      <c r="B2524" s="159"/>
    </row>
    <row r="2525" spans="2:2" ht="15.6">
      <c r="B2525" s="159"/>
    </row>
    <row r="2526" spans="2:2" ht="15.6">
      <c r="B2526" s="159"/>
    </row>
    <row r="2527" spans="2:2" ht="15.6">
      <c r="B2527" s="159"/>
    </row>
    <row r="2528" spans="2:2" ht="15.6">
      <c r="B2528" s="159"/>
    </row>
    <row r="2529" spans="2:2" ht="15.6">
      <c r="B2529" s="159"/>
    </row>
    <row r="2530" spans="2:2" ht="15.6">
      <c r="B2530" s="159"/>
    </row>
    <row r="2531" spans="2:2" ht="15.6">
      <c r="B2531" s="159"/>
    </row>
    <row r="2532" spans="2:2" ht="15.6">
      <c r="B2532" s="159"/>
    </row>
    <row r="2533" spans="2:2" ht="15.6">
      <c r="B2533" s="159"/>
    </row>
    <row r="2534" spans="2:2" ht="15.6">
      <c r="B2534" s="159"/>
    </row>
    <row r="2535" spans="2:2" ht="15.6">
      <c r="B2535" s="159"/>
    </row>
    <row r="2536" spans="2:2" ht="15.6">
      <c r="B2536" s="159"/>
    </row>
    <row r="2537" spans="2:2" ht="15.6">
      <c r="B2537" s="159"/>
    </row>
    <row r="2538" spans="2:2" ht="15.6">
      <c r="B2538" s="159"/>
    </row>
    <row r="2539" spans="2:2" ht="15.6">
      <c r="B2539" s="159"/>
    </row>
    <row r="2540" spans="2:2" ht="15.6">
      <c r="B2540" s="159"/>
    </row>
    <row r="2541" spans="2:2" ht="15.6">
      <c r="B2541" s="159"/>
    </row>
    <row r="2542" spans="2:2" ht="15.6">
      <c r="B2542" s="159"/>
    </row>
    <row r="2543" spans="2:2" ht="15.6">
      <c r="B2543" s="159"/>
    </row>
    <row r="2544" spans="2:2" ht="15.6">
      <c r="B2544" s="159"/>
    </row>
    <row r="2545" spans="2:2" ht="15.6">
      <c r="B2545" s="159"/>
    </row>
    <row r="2546" spans="2:2" ht="15.6">
      <c r="B2546" s="159"/>
    </row>
    <row r="2547" spans="2:2" ht="15.6">
      <c r="B2547" s="159"/>
    </row>
    <row r="2548" spans="2:2" ht="15.6">
      <c r="B2548" s="159"/>
    </row>
    <row r="2549" spans="2:2" ht="15.6">
      <c r="B2549" s="159"/>
    </row>
    <row r="2550" spans="2:2" ht="15.6">
      <c r="B2550" s="159"/>
    </row>
    <row r="2551" spans="2:2" ht="15.6">
      <c r="B2551" s="159"/>
    </row>
    <row r="2552" spans="2:2" ht="15.6">
      <c r="B2552" s="159"/>
    </row>
    <row r="2553" spans="2:2" ht="15.6">
      <c r="B2553" s="159"/>
    </row>
    <row r="2554" spans="2:2" ht="15.6">
      <c r="B2554" s="159"/>
    </row>
    <row r="2555" spans="2:2" ht="15.6">
      <c r="B2555" s="159"/>
    </row>
    <row r="2556" spans="2:2" ht="15.6">
      <c r="B2556" s="159"/>
    </row>
    <row r="2557" spans="2:2" ht="15.6">
      <c r="B2557" s="159"/>
    </row>
    <row r="2558" spans="2:2" ht="15.6">
      <c r="B2558" s="159"/>
    </row>
    <row r="2559" spans="2:2" ht="15.6">
      <c r="B2559" s="159"/>
    </row>
    <row r="2560" spans="2:2" ht="15.6">
      <c r="B2560" s="159"/>
    </row>
    <row r="2561" spans="2:2" ht="15.6">
      <c r="B2561" s="159"/>
    </row>
    <row r="2562" spans="2:2" ht="15.6">
      <c r="B2562" s="159"/>
    </row>
    <row r="2563" spans="2:2" ht="15.6">
      <c r="B2563" s="159"/>
    </row>
    <row r="2564" spans="2:2" ht="15.6">
      <c r="B2564" s="159"/>
    </row>
    <row r="2565" spans="2:2" ht="15.6">
      <c r="B2565" s="159"/>
    </row>
    <row r="2566" spans="2:2" ht="15.6">
      <c r="B2566" s="159"/>
    </row>
    <row r="2567" spans="2:2" ht="15.6">
      <c r="B2567" s="159"/>
    </row>
    <row r="2568" spans="2:2" ht="15.6">
      <c r="B2568" s="159"/>
    </row>
    <row r="2569" spans="2:2" ht="15.6">
      <c r="B2569" s="159"/>
    </row>
    <row r="2570" spans="2:2" ht="15.6">
      <c r="B2570" s="159"/>
    </row>
    <row r="2571" spans="2:2" ht="15.6">
      <c r="B2571" s="159"/>
    </row>
    <row r="2572" spans="2:2" ht="15.6">
      <c r="B2572" s="159"/>
    </row>
    <row r="2573" spans="2:2" ht="15.6">
      <c r="B2573" s="159"/>
    </row>
    <row r="2574" spans="2:2" ht="15.6">
      <c r="B2574" s="159"/>
    </row>
    <row r="2575" spans="2:2" ht="15.6">
      <c r="B2575" s="159"/>
    </row>
    <row r="2576" spans="2:2" ht="15.6">
      <c r="B2576" s="159"/>
    </row>
    <row r="2577" spans="2:2" ht="15.6">
      <c r="B2577" s="159"/>
    </row>
    <row r="2578" spans="2:2" ht="15.6">
      <c r="B2578" s="159"/>
    </row>
    <row r="2579" spans="2:2" ht="15.6">
      <c r="B2579" s="159"/>
    </row>
    <row r="2580" spans="2:2" ht="15.6">
      <c r="B2580" s="159"/>
    </row>
    <row r="2581" spans="2:2" ht="15.6">
      <c r="B2581" s="159"/>
    </row>
    <row r="2582" spans="2:2" ht="15.6">
      <c r="B2582" s="159"/>
    </row>
    <row r="2583" spans="2:2" ht="15.6">
      <c r="B2583" s="159"/>
    </row>
    <row r="2584" spans="2:2" ht="15.6">
      <c r="B2584" s="159"/>
    </row>
    <row r="2585" spans="2:2" ht="15.6">
      <c r="B2585" s="159"/>
    </row>
    <row r="2586" spans="2:2" ht="15.6">
      <c r="B2586" s="159"/>
    </row>
    <row r="2587" spans="2:2" ht="15.6">
      <c r="B2587" s="159"/>
    </row>
    <row r="2588" spans="2:2" ht="15.6">
      <c r="B2588" s="159"/>
    </row>
    <row r="2589" spans="2:2" ht="15.6">
      <c r="B2589" s="159"/>
    </row>
    <row r="2590" spans="2:2" ht="15.6">
      <c r="B2590" s="159"/>
    </row>
    <row r="2591" spans="2:2" ht="15.6">
      <c r="B2591" s="159"/>
    </row>
    <row r="2592" spans="2:2" ht="15.6">
      <c r="B2592" s="159"/>
    </row>
    <row r="2593" spans="2:2" ht="15.6">
      <c r="B2593" s="159"/>
    </row>
    <row r="2594" spans="2:2" ht="15.6">
      <c r="B2594" s="159"/>
    </row>
    <row r="2595" spans="2:2" ht="15.6">
      <c r="B2595" s="159"/>
    </row>
    <row r="2596" spans="2:2" ht="15.6">
      <c r="B2596" s="159"/>
    </row>
    <row r="2597" spans="2:2" ht="15.6">
      <c r="B2597" s="159"/>
    </row>
    <row r="2598" spans="2:2" ht="15.6">
      <c r="B2598" s="159"/>
    </row>
    <row r="2599" spans="2:2" ht="15.6">
      <c r="B2599" s="159"/>
    </row>
    <row r="2600" spans="2:2" ht="15.6">
      <c r="B2600" s="159"/>
    </row>
    <row r="2601" spans="2:2" ht="15.6">
      <c r="B2601" s="159"/>
    </row>
    <row r="2602" spans="2:2" ht="15.6">
      <c r="B2602" s="159"/>
    </row>
    <row r="2603" spans="2:2" ht="15.6">
      <c r="B2603" s="159"/>
    </row>
    <row r="2604" spans="2:2" ht="15.6">
      <c r="B2604" s="159"/>
    </row>
    <row r="2605" spans="2:2" ht="15.6">
      <c r="B2605" s="159"/>
    </row>
    <row r="2606" spans="2:2" ht="15.6">
      <c r="B2606" s="159"/>
    </row>
    <row r="2607" spans="2:2" ht="15.6">
      <c r="B2607" s="159"/>
    </row>
    <row r="2608" spans="2:2" ht="15.6">
      <c r="B2608" s="159"/>
    </row>
    <row r="2609" spans="2:2" ht="15.6">
      <c r="B2609" s="159"/>
    </row>
    <row r="2610" spans="2:2" ht="15.6">
      <c r="B2610" s="159"/>
    </row>
    <row r="2611" spans="2:2" ht="15.6">
      <c r="B2611" s="159"/>
    </row>
    <row r="2612" spans="2:2" ht="15.6">
      <c r="B2612" s="159"/>
    </row>
    <row r="2613" spans="2:2" ht="15.6">
      <c r="B2613" s="159"/>
    </row>
    <row r="2614" spans="2:2" ht="15.6">
      <c r="B2614" s="159"/>
    </row>
    <row r="2615" spans="2:2" ht="15.6">
      <c r="B2615" s="159"/>
    </row>
    <row r="2616" spans="2:2" ht="15.6">
      <c r="B2616" s="159"/>
    </row>
    <row r="2617" spans="2:2" ht="15.6">
      <c r="B2617" s="159"/>
    </row>
    <row r="2618" spans="2:2" ht="15.6">
      <c r="B2618" s="159"/>
    </row>
    <row r="2619" spans="2:2" ht="15.6">
      <c r="B2619" s="159"/>
    </row>
    <row r="2620" spans="2:2" ht="15.6">
      <c r="B2620" s="159"/>
    </row>
    <row r="2621" spans="2:2" ht="15.6">
      <c r="B2621" s="159"/>
    </row>
    <row r="2622" spans="2:2" ht="15.6">
      <c r="B2622" s="159"/>
    </row>
    <row r="2623" spans="2:2" ht="15.6">
      <c r="B2623" s="159"/>
    </row>
    <row r="2624" spans="2:2" ht="15.6">
      <c r="B2624" s="159"/>
    </row>
    <row r="2625" spans="2:2" ht="15.6">
      <c r="B2625" s="159"/>
    </row>
    <row r="2626" spans="2:2" ht="15.6">
      <c r="B2626" s="159"/>
    </row>
    <row r="2627" spans="2:2" ht="15.6">
      <c r="B2627" s="159"/>
    </row>
    <row r="2628" spans="2:2" ht="15.6">
      <c r="B2628" s="159"/>
    </row>
    <row r="2629" spans="2:2" ht="15.6">
      <c r="B2629" s="159"/>
    </row>
    <row r="2630" spans="2:2" ht="15.6">
      <c r="B2630" s="159"/>
    </row>
    <row r="2631" spans="2:2" ht="15.6">
      <c r="B2631" s="159"/>
    </row>
    <row r="2632" spans="2:2" ht="15.6">
      <c r="B2632" s="159"/>
    </row>
    <row r="2633" spans="2:2" ht="15.6">
      <c r="B2633" s="159"/>
    </row>
    <row r="2634" spans="2:2" ht="15.6">
      <c r="B2634" s="159"/>
    </row>
    <row r="2635" spans="2:2" ht="15.6">
      <c r="B2635" s="159"/>
    </row>
    <row r="2636" spans="2:2" ht="15.6">
      <c r="B2636" s="159"/>
    </row>
    <row r="2637" spans="2:2" ht="15.6">
      <c r="B2637" s="159"/>
    </row>
    <row r="2638" spans="2:2" ht="15.6">
      <c r="B2638" s="159"/>
    </row>
    <row r="2639" spans="2:2" ht="15.6">
      <c r="B2639" s="159"/>
    </row>
    <row r="2640" spans="2:2" ht="15.6">
      <c r="B2640" s="159"/>
    </row>
    <row r="2641" spans="2:2" ht="15.6">
      <c r="B2641" s="159"/>
    </row>
    <row r="2642" spans="2:2" ht="15.6">
      <c r="B2642" s="159"/>
    </row>
    <row r="2643" spans="2:2" ht="15.6">
      <c r="B2643" s="159"/>
    </row>
    <row r="2644" spans="2:2" ht="15.6">
      <c r="B2644" s="159"/>
    </row>
    <row r="2645" spans="2:2" ht="15.6">
      <c r="B2645" s="159"/>
    </row>
    <row r="2646" spans="2:2" ht="15.6">
      <c r="B2646" s="159"/>
    </row>
    <row r="2647" spans="2:2" ht="15.6">
      <c r="B2647" s="159"/>
    </row>
    <row r="2648" spans="2:2" ht="15.6">
      <c r="B2648" s="159"/>
    </row>
    <row r="2649" spans="2:2" ht="15.6">
      <c r="B2649" s="159"/>
    </row>
    <row r="2650" spans="2:2" ht="15.6">
      <c r="B2650" s="159"/>
    </row>
    <row r="2651" spans="2:2" ht="15.6">
      <c r="B2651" s="159"/>
    </row>
    <row r="2652" spans="2:2" ht="15.6">
      <c r="B2652" s="159"/>
    </row>
    <row r="2653" spans="2:2" ht="15.6">
      <c r="B2653" s="159"/>
    </row>
    <row r="2654" spans="2:2" ht="15.6">
      <c r="B2654" s="159"/>
    </row>
    <row r="2655" spans="2:2" ht="15.6">
      <c r="B2655" s="159"/>
    </row>
    <row r="2656" spans="2:2" ht="15.6">
      <c r="B2656" s="159"/>
    </row>
    <row r="2657" spans="2:2" ht="15.6">
      <c r="B2657" s="159"/>
    </row>
    <row r="2658" spans="2:2" ht="15.6">
      <c r="B2658" s="159"/>
    </row>
    <row r="2659" spans="2:2" ht="15.6">
      <c r="B2659" s="159"/>
    </row>
    <row r="2660" spans="2:2" ht="15.6">
      <c r="B2660" s="159"/>
    </row>
    <row r="2661" spans="2:2" ht="15.6">
      <c r="B2661" s="159"/>
    </row>
    <row r="2662" spans="2:2" ht="15.6">
      <c r="B2662" s="159"/>
    </row>
    <row r="2663" spans="2:2" ht="15.6">
      <c r="B2663" s="159"/>
    </row>
    <row r="2664" spans="2:2" ht="15.6">
      <c r="B2664" s="159"/>
    </row>
    <row r="2665" spans="2:2" ht="15.6">
      <c r="B2665" s="159"/>
    </row>
    <row r="2666" spans="2:2" ht="15.6">
      <c r="B2666" s="159"/>
    </row>
    <row r="2667" spans="2:2" ht="15.6">
      <c r="B2667" s="159"/>
    </row>
    <row r="2668" spans="2:2" ht="15.6">
      <c r="B2668" s="159"/>
    </row>
    <row r="2669" spans="2:2" ht="15.6">
      <c r="B2669" s="159"/>
    </row>
    <row r="2670" spans="2:2" ht="15.6">
      <c r="B2670" s="159"/>
    </row>
    <row r="2671" spans="2:2" ht="15.6">
      <c r="B2671" s="159"/>
    </row>
    <row r="2672" spans="2:2" ht="15.6">
      <c r="B2672" s="159"/>
    </row>
    <row r="2673" spans="2:2" ht="15.6">
      <c r="B2673" s="159"/>
    </row>
    <row r="2674" spans="2:2" ht="15.6">
      <c r="B2674" s="159"/>
    </row>
    <row r="2675" spans="2:2" ht="15.6">
      <c r="B2675" s="159"/>
    </row>
    <row r="2676" spans="2:2" ht="15.6">
      <c r="B2676" s="159"/>
    </row>
    <row r="2677" spans="2:2" ht="15.6">
      <c r="B2677" s="159"/>
    </row>
    <row r="2678" spans="2:2" ht="15.6">
      <c r="B2678" s="159"/>
    </row>
    <row r="2679" spans="2:2" ht="15.6">
      <c r="B2679" s="159"/>
    </row>
    <row r="2680" spans="2:2" ht="15.6">
      <c r="B2680" s="159"/>
    </row>
    <row r="2681" spans="2:2" ht="15.6">
      <c r="B2681" s="159"/>
    </row>
    <row r="2682" spans="2:2" ht="15.6">
      <c r="B2682" s="159"/>
    </row>
    <row r="2683" spans="2:2" ht="15.6">
      <c r="B2683" s="159"/>
    </row>
    <row r="2684" spans="2:2" ht="15.6">
      <c r="B2684" s="159"/>
    </row>
    <row r="2685" spans="2:2" ht="15.6">
      <c r="B2685" s="159"/>
    </row>
    <row r="2686" spans="2:2" ht="15.6">
      <c r="B2686" s="159"/>
    </row>
    <row r="2687" spans="2:2" ht="15.6">
      <c r="B2687" s="159"/>
    </row>
    <row r="2688" spans="2:2" ht="15.6">
      <c r="B2688" s="159"/>
    </row>
    <row r="2689" spans="2:2" ht="15.6">
      <c r="B2689" s="159"/>
    </row>
    <row r="2690" spans="2:2" ht="15.6">
      <c r="B2690" s="159"/>
    </row>
    <row r="2691" spans="2:2" ht="15.6">
      <c r="B2691" s="159"/>
    </row>
    <row r="2692" spans="2:2" ht="15.6">
      <c r="B2692" s="159"/>
    </row>
    <row r="2693" spans="2:2" ht="15.6">
      <c r="B2693" s="159"/>
    </row>
    <row r="2694" spans="2:2" ht="15.6">
      <c r="B2694" s="159"/>
    </row>
    <row r="2695" spans="2:2" ht="15.6">
      <c r="B2695" s="159"/>
    </row>
    <row r="2696" spans="2:2" ht="15.6">
      <c r="B2696" s="159"/>
    </row>
    <row r="2697" spans="2:2" ht="15.6">
      <c r="B2697" s="159"/>
    </row>
    <row r="2698" spans="2:2" ht="15.6">
      <c r="B2698" s="159"/>
    </row>
    <row r="2699" spans="2:2" ht="15.6">
      <c r="B2699" s="159"/>
    </row>
    <row r="2700" spans="2:2" ht="15.6">
      <c r="B2700" s="159"/>
    </row>
    <row r="2701" spans="2:2" ht="15.6">
      <c r="B2701" s="159"/>
    </row>
    <row r="2702" spans="2:2" ht="15.6">
      <c r="B2702" s="159"/>
    </row>
    <row r="2703" spans="2:2" ht="15.6">
      <c r="B2703" s="159"/>
    </row>
    <row r="2704" spans="2:2" ht="15.6">
      <c r="B2704" s="159"/>
    </row>
    <row r="2705" spans="2:2" ht="15.6">
      <c r="B2705" s="159"/>
    </row>
    <row r="2706" spans="2:2" ht="15.6">
      <c r="B2706" s="159"/>
    </row>
    <row r="2707" spans="2:2" ht="15.6">
      <c r="B2707" s="159"/>
    </row>
    <row r="2708" spans="2:2" ht="15.6">
      <c r="B2708" s="159"/>
    </row>
    <row r="2709" spans="2:2" ht="15.6">
      <c r="B2709" s="159"/>
    </row>
    <row r="2710" spans="2:2" ht="15.6">
      <c r="B2710" s="159"/>
    </row>
    <row r="2711" spans="2:2" ht="15.6">
      <c r="B2711" s="159"/>
    </row>
    <row r="2712" spans="2:2" ht="15.6">
      <c r="B2712" s="159"/>
    </row>
    <row r="2713" spans="2:2" ht="15.6">
      <c r="B2713" s="159"/>
    </row>
    <row r="2714" spans="2:2" ht="15.6">
      <c r="B2714" s="159"/>
    </row>
    <row r="2715" spans="2:2" ht="15.6">
      <c r="B2715" s="159"/>
    </row>
    <row r="2716" spans="2:2" ht="15.6">
      <c r="B2716" s="159"/>
    </row>
    <row r="2717" spans="2:2" ht="15.6">
      <c r="B2717" s="159"/>
    </row>
    <row r="2718" spans="2:2" ht="15.6">
      <c r="B2718" s="159"/>
    </row>
    <row r="2719" spans="2:2" ht="15.6">
      <c r="B2719" s="159"/>
    </row>
    <row r="2720" spans="2:2" ht="15.6">
      <c r="B2720" s="159"/>
    </row>
    <row r="2721" spans="2:2" ht="15.6">
      <c r="B2721" s="159"/>
    </row>
    <row r="2722" spans="2:2" ht="15.6">
      <c r="B2722" s="159"/>
    </row>
    <row r="2723" spans="2:2" ht="15.6">
      <c r="B2723" s="159"/>
    </row>
    <row r="2724" spans="2:2" ht="15.6">
      <c r="B2724" s="159"/>
    </row>
    <row r="2725" spans="2:2" ht="15.6">
      <c r="B2725" s="159"/>
    </row>
    <row r="2726" spans="2:2" ht="15.6">
      <c r="B2726" s="159"/>
    </row>
    <row r="2727" spans="2:2" ht="15.6">
      <c r="B2727" s="159"/>
    </row>
    <row r="2728" spans="2:2" ht="15.6">
      <c r="B2728" s="159"/>
    </row>
    <row r="2729" spans="2:2" ht="15.6">
      <c r="B2729" s="159"/>
    </row>
    <row r="2730" spans="2:2" ht="15.6">
      <c r="B2730" s="159"/>
    </row>
    <row r="2731" spans="2:2" ht="15.6">
      <c r="B2731" s="159"/>
    </row>
    <row r="2732" spans="2:2" ht="15.6">
      <c r="B2732" s="159"/>
    </row>
    <row r="2733" spans="2:2" ht="15.6">
      <c r="B2733" s="159"/>
    </row>
    <row r="2734" spans="2:2" ht="15.6">
      <c r="B2734" s="159"/>
    </row>
    <row r="2735" spans="2:2" ht="15.6">
      <c r="B2735" s="159"/>
    </row>
    <row r="2736" spans="2:2" ht="15.6">
      <c r="B2736" s="159"/>
    </row>
    <row r="2737" spans="2:2" ht="15.6">
      <c r="B2737" s="159"/>
    </row>
    <row r="2738" spans="2:2" ht="15.6">
      <c r="B2738" s="159"/>
    </row>
    <row r="2739" spans="2:2" ht="15.6">
      <c r="B2739" s="159"/>
    </row>
    <row r="2740" spans="2:2" ht="15.6">
      <c r="B2740" s="159"/>
    </row>
    <row r="2741" spans="2:2" ht="15.6">
      <c r="B2741" s="159"/>
    </row>
    <row r="2742" spans="2:2" ht="15.6">
      <c r="B2742" s="159"/>
    </row>
    <row r="2743" spans="2:2" ht="15.6">
      <c r="B2743" s="159"/>
    </row>
    <row r="2744" spans="2:2" ht="15.6">
      <c r="B2744" s="159"/>
    </row>
    <row r="2745" spans="2:2" ht="15.6">
      <c r="B2745" s="159"/>
    </row>
    <row r="2746" spans="2:2" ht="15.6">
      <c r="B2746" s="159"/>
    </row>
    <row r="2747" spans="2:2" ht="15.6">
      <c r="B2747" s="159"/>
    </row>
    <row r="2748" spans="2:2" ht="15.6">
      <c r="B2748" s="159"/>
    </row>
    <row r="2749" spans="2:2" ht="15.6">
      <c r="B2749" s="159"/>
    </row>
    <row r="2750" spans="2:2" ht="15.6">
      <c r="B2750" s="159"/>
    </row>
    <row r="2751" spans="2:2" ht="15.6">
      <c r="B2751" s="159"/>
    </row>
    <row r="2752" spans="2:2" ht="15.6">
      <c r="B2752" s="159"/>
    </row>
    <row r="2753" spans="2:2" ht="15.6">
      <c r="B2753" s="159"/>
    </row>
    <row r="2754" spans="2:2" ht="15.6">
      <c r="B2754" s="159"/>
    </row>
    <row r="2755" spans="2:2" ht="15.6">
      <c r="B2755" s="159"/>
    </row>
    <row r="2756" spans="2:2" ht="15.6">
      <c r="B2756" s="159"/>
    </row>
    <row r="2757" spans="2:2" ht="15.6">
      <c r="B2757" s="159"/>
    </row>
    <row r="2758" spans="2:2" ht="15.6">
      <c r="B2758" s="159"/>
    </row>
    <row r="2759" spans="2:2" ht="15.6">
      <c r="B2759" s="159"/>
    </row>
    <row r="2760" spans="2:2" ht="15.6">
      <c r="B2760" s="159"/>
    </row>
    <row r="2761" spans="2:2" ht="15.6">
      <c r="B2761" s="159"/>
    </row>
    <row r="2762" spans="2:2" ht="15.6">
      <c r="B2762" s="159"/>
    </row>
    <row r="2763" spans="2:2" ht="15.6">
      <c r="B2763" s="159"/>
    </row>
    <row r="2764" spans="2:2" ht="15.6">
      <c r="B2764" s="159"/>
    </row>
    <row r="2765" spans="2:2" ht="15.6">
      <c r="B2765" s="159"/>
    </row>
    <row r="2766" spans="2:2" ht="15.6">
      <c r="B2766" s="159"/>
    </row>
    <row r="2767" spans="2:2" ht="15.6">
      <c r="B2767" s="159"/>
    </row>
    <row r="2768" spans="2:2" ht="15.6">
      <c r="B2768" s="159"/>
    </row>
    <row r="2769" spans="2:2" ht="15.6">
      <c r="B2769" s="159"/>
    </row>
    <row r="2770" spans="2:2" ht="15.6">
      <c r="B2770" s="159"/>
    </row>
    <row r="2771" spans="2:2" ht="15.6">
      <c r="B2771" s="159"/>
    </row>
    <row r="2772" spans="2:2" ht="15.6">
      <c r="B2772" s="159"/>
    </row>
    <row r="2773" spans="2:2" ht="15.6">
      <c r="B2773" s="159"/>
    </row>
    <row r="2774" spans="2:2" ht="15.6">
      <c r="B2774" s="159"/>
    </row>
    <row r="2775" spans="2:2" ht="15.6">
      <c r="B2775" s="159"/>
    </row>
    <row r="2776" spans="2:2" ht="15.6">
      <c r="B2776" s="159"/>
    </row>
    <row r="2777" spans="2:2" ht="15.6">
      <c r="B2777" s="159"/>
    </row>
    <row r="2778" spans="2:2" ht="15.6">
      <c r="B2778" s="159"/>
    </row>
    <row r="2779" spans="2:2" ht="15.6">
      <c r="B2779" s="159"/>
    </row>
    <row r="2780" spans="2:2" ht="15.6">
      <c r="B2780" s="159"/>
    </row>
    <row r="2781" spans="2:2" ht="15.6">
      <c r="B2781" s="159"/>
    </row>
    <row r="2782" spans="2:2" ht="15.6">
      <c r="B2782" s="159"/>
    </row>
    <row r="2783" spans="2:2" ht="15.6">
      <c r="B2783" s="159"/>
    </row>
    <row r="2784" spans="2:2" ht="15.6">
      <c r="B2784" s="159"/>
    </row>
    <row r="2785" spans="2:2" ht="15.6">
      <c r="B2785" s="159"/>
    </row>
    <row r="2786" spans="2:2" ht="15.6">
      <c r="B2786" s="159"/>
    </row>
    <row r="2787" spans="2:2" ht="15.6">
      <c r="B2787" s="159"/>
    </row>
    <row r="2788" spans="2:2" ht="15.6">
      <c r="B2788" s="159"/>
    </row>
    <row r="2789" spans="2:2" ht="15.6">
      <c r="B2789" s="159"/>
    </row>
    <row r="2790" spans="2:2" ht="15.6">
      <c r="B2790" s="159"/>
    </row>
    <row r="2791" spans="2:2" ht="15.6">
      <c r="B2791" s="159"/>
    </row>
    <row r="2792" spans="2:2" ht="15.6">
      <c r="B2792" s="159"/>
    </row>
    <row r="2793" spans="2:2" ht="15.6">
      <c r="B2793" s="159"/>
    </row>
    <row r="2794" spans="2:2" ht="15.6">
      <c r="B2794" s="159"/>
    </row>
    <row r="2795" spans="2:2" ht="15.6">
      <c r="B2795" s="159"/>
    </row>
    <row r="2796" spans="2:2" ht="15.6">
      <c r="B2796" s="159"/>
    </row>
    <row r="2797" spans="2:2" ht="15.6">
      <c r="B2797" s="159"/>
    </row>
    <row r="2798" spans="2:2" ht="15.6">
      <c r="B2798" s="159"/>
    </row>
    <row r="2799" spans="2:2" ht="15.6">
      <c r="B2799" s="159"/>
    </row>
    <row r="2800" spans="2:2" ht="15.6">
      <c r="B2800" s="159"/>
    </row>
    <row r="2801" spans="2:2" ht="15.6">
      <c r="B2801" s="159"/>
    </row>
    <row r="2802" spans="2:2" ht="15.6">
      <c r="B2802" s="159"/>
    </row>
    <row r="2803" spans="2:2" ht="15.6">
      <c r="B2803" s="159"/>
    </row>
    <row r="2804" spans="2:2" ht="15.6">
      <c r="B2804" s="159"/>
    </row>
    <row r="2805" spans="2:2" ht="15.6">
      <c r="B2805" s="159"/>
    </row>
    <row r="2806" spans="2:2" ht="15.6">
      <c r="B2806" s="159"/>
    </row>
    <row r="2807" spans="2:2" ht="15.6">
      <c r="B2807" s="159"/>
    </row>
    <row r="2808" spans="2:2" ht="15.6">
      <c r="B2808" s="159"/>
    </row>
    <row r="2809" spans="2:2" ht="15.6">
      <c r="B2809" s="159"/>
    </row>
    <row r="2810" spans="2:2" ht="15.6">
      <c r="B2810" s="159"/>
    </row>
    <row r="2811" spans="2:2" ht="15.6">
      <c r="B2811" s="159"/>
    </row>
    <row r="2812" spans="2:2" ht="15.6">
      <c r="B2812" s="159"/>
    </row>
    <row r="2813" spans="2:2" ht="15.6">
      <c r="B2813" s="159"/>
    </row>
    <row r="2814" spans="2:2" ht="15.6">
      <c r="B2814" s="159"/>
    </row>
    <row r="2815" spans="2:2" ht="15.6">
      <c r="B2815" s="159"/>
    </row>
    <row r="2816" spans="2:2" ht="15.6">
      <c r="B2816" s="159"/>
    </row>
    <row r="2817" spans="2:2" ht="15.6">
      <c r="B2817" s="159"/>
    </row>
    <row r="2818" spans="2:2" ht="15.6">
      <c r="B2818" s="159"/>
    </row>
    <row r="2819" spans="2:2" ht="15.6">
      <c r="B2819" s="159"/>
    </row>
    <row r="2820" spans="2:2" ht="15.6">
      <c r="B2820" s="159"/>
    </row>
    <row r="2821" spans="2:2" ht="15.6">
      <c r="B2821" s="159"/>
    </row>
    <row r="2822" spans="2:2" ht="15.6">
      <c r="B2822" s="159"/>
    </row>
    <row r="2823" spans="2:2" ht="15.6">
      <c r="B2823" s="159"/>
    </row>
    <row r="2824" spans="2:2" ht="15.6">
      <c r="B2824" s="159"/>
    </row>
    <row r="2825" spans="2:2" ht="15.6">
      <c r="B2825" s="159"/>
    </row>
    <row r="2826" spans="2:2" ht="15.6">
      <c r="B2826" s="159"/>
    </row>
    <row r="2827" spans="2:2" ht="15.6">
      <c r="B2827" s="159"/>
    </row>
    <row r="2828" spans="2:2" ht="15.6">
      <c r="B2828" s="159"/>
    </row>
    <row r="2829" spans="2:2" ht="15.6">
      <c r="B2829" s="159"/>
    </row>
    <row r="2830" spans="2:2" ht="15.6">
      <c r="B2830" s="159"/>
    </row>
    <row r="2831" spans="2:2" ht="15.6">
      <c r="B2831" s="159"/>
    </row>
    <row r="2832" spans="2:2" ht="15.6">
      <c r="B2832" s="159"/>
    </row>
    <row r="2833" spans="2:2" ht="15.6">
      <c r="B2833" s="159"/>
    </row>
    <row r="2834" spans="2:2" ht="15.6">
      <c r="B2834" s="159"/>
    </row>
    <row r="2835" spans="2:2" ht="15.6">
      <c r="B2835" s="159"/>
    </row>
    <row r="2836" spans="2:2" ht="15.6">
      <c r="B2836" s="159"/>
    </row>
    <row r="2837" spans="2:2" ht="15.6">
      <c r="B2837" s="159"/>
    </row>
    <row r="2838" spans="2:2" ht="15.6">
      <c r="B2838" s="159"/>
    </row>
    <row r="2839" spans="2:2" ht="15.6">
      <c r="B2839" s="159"/>
    </row>
    <row r="2840" spans="2:2" ht="15.6">
      <c r="B2840" s="159"/>
    </row>
    <row r="2841" spans="2:2" ht="15.6">
      <c r="B2841" s="159"/>
    </row>
    <row r="2842" spans="2:2" ht="15.6">
      <c r="B2842" s="159"/>
    </row>
    <row r="2843" spans="2:2" ht="15.6">
      <c r="B2843" s="159"/>
    </row>
    <row r="2844" spans="2:2" ht="15.6">
      <c r="B2844" s="159"/>
    </row>
    <row r="2845" spans="2:2" ht="15.6">
      <c r="B2845" s="159"/>
    </row>
    <row r="2846" spans="2:2" ht="15.6">
      <c r="B2846" s="159"/>
    </row>
    <row r="2847" spans="2:2" ht="15.6">
      <c r="B2847" s="159"/>
    </row>
    <row r="2848" spans="2:2" ht="15.6">
      <c r="B2848" s="159"/>
    </row>
    <row r="2849" spans="2:2" ht="15.6">
      <c r="B2849" s="159"/>
    </row>
    <row r="2850" spans="2:2" ht="15.6">
      <c r="B2850" s="159"/>
    </row>
    <row r="2851" spans="2:2" ht="15.6">
      <c r="B2851" s="159"/>
    </row>
    <row r="2852" spans="2:2" ht="15.6">
      <c r="B2852" s="159"/>
    </row>
    <row r="2853" spans="2:2" ht="15.6">
      <c r="B2853" s="159"/>
    </row>
    <row r="2854" spans="2:2" ht="15.6">
      <c r="B2854" s="159"/>
    </row>
    <row r="2855" spans="2:2" ht="15.6">
      <c r="B2855" s="159"/>
    </row>
    <row r="2856" spans="2:2" ht="15.6">
      <c r="B2856" s="159"/>
    </row>
    <row r="2857" spans="2:2" ht="15.6">
      <c r="B2857" s="159"/>
    </row>
    <row r="2858" spans="2:2" ht="15.6">
      <c r="B2858" s="159"/>
    </row>
    <row r="2859" spans="2:2" ht="15.6">
      <c r="B2859" s="159"/>
    </row>
    <row r="2860" spans="2:2" ht="15.6">
      <c r="B2860" s="159"/>
    </row>
    <row r="2861" spans="2:2" ht="15.6">
      <c r="B2861" s="159"/>
    </row>
    <row r="2862" spans="2:2" ht="15.6">
      <c r="B2862" s="159"/>
    </row>
    <row r="2863" spans="2:2" ht="15.6">
      <c r="B2863" s="159"/>
    </row>
    <row r="2864" spans="2:2" ht="15.6">
      <c r="B2864" s="159"/>
    </row>
    <row r="2865" spans="2:2" ht="15.6">
      <c r="B2865" s="159"/>
    </row>
    <row r="2866" spans="2:2" ht="15.6">
      <c r="B2866" s="159"/>
    </row>
    <row r="2867" spans="2:2" ht="15.6">
      <c r="B2867" s="159"/>
    </row>
    <row r="2868" spans="2:2" ht="15.6">
      <c r="B2868" s="159"/>
    </row>
    <row r="2869" spans="2:2" ht="15.6">
      <c r="B2869" s="159"/>
    </row>
    <row r="2870" spans="2:2" ht="15.6">
      <c r="B2870" s="159"/>
    </row>
    <row r="2871" spans="2:2" ht="15.6">
      <c r="B2871" s="159"/>
    </row>
    <row r="2872" spans="2:2" ht="15.6">
      <c r="B2872" s="159"/>
    </row>
    <row r="2873" spans="2:2" ht="15.6">
      <c r="B2873" s="159"/>
    </row>
    <row r="2874" spans="2:2" ht="15.6">
      <c r="B2874" s="159"/>
    </row>
    <row r="2875" spans="2:2" ht="15.6">
      <c r="B2875" s="159"/>
    </row>
    <row r="2876" spans="2:2" ht="15.6">
      <c r="B2876" s="159"/>
    </row>
    <row r="2877" spans="2:2" ht="15.6">
      <c r="B2877" s="159"/>
    </row>
    <row r="2878" spans="2:2" ht="15.6">
      <c r="B2878" s="159"/>
    </row>
    <row r="2879" spans="2:2" ht="15.6">
      <c r="B2879" s="159"/>
    </row>
    <row r="2880" spans="2:2" ht="15.6">
      <c r="B2880" s="159"/>
    </row>
    <row r="2881" spans="2:2" ht="15.6">
      <c r="B2881" s="159"/>
    </row>
    <row r="2882" spans="2:2" ht="15.6">
      <c r="B2882" s="159"/>
    </row>
    <row r="2883" spans="2:2" ht="15.6">
      <c r="B2883" s="159"/>
    </row>
    <row r="2884" spans="2:2" ht="15.6">
      <c r="B2884" s="159"/>
    </row>
    <row r="2885" spans="2:2" ht="15.6">
      <c r="B2885" s="159"/>
    </row>
    <row r="2886" spans="2:2" ht="15.6">
      <c r="B2886" s="159"/>
    </row>
    <row r="2887" spans="2:2" ht="15.6">
      <c r="B2887" s="159"/>
    </row>
    <row r="2888" spans="2:2" ht="15.6">
      <c r="B2888" s="159"/>
    </row>
    <row r="2889" spans="2:2" ht="15.6">
      <c r="B2889" s="159"/>
    </row>
    <row r="2890" spans="2:2" ht="15.6">
      <c r="B2890" s="159"/>
    </row>
    <row r="2891" spans="2:2" ht="15.6">
      <c r="B2891" s="159"/>
    </row>
    <row r="2892" spans="2:2" ht="15.6">
      <c r="B2892" s="159"/>
    </row>
    <row r="2893" spans="2:2" ht="15.6">
      <c r="B2893" s="159"/>
    </row>
    <row r="2894" spans="2:2" ht="15.6">
      <c r="B2894" s="159"/>
    </row>
    <row r="2895" spans="2:2" ht="15.6">
      <c r="B2895" s="159"/>
    </row>
    <row r="2896" spans="2:2" ht="15.6">
      <c r="B2896" s="159"/>
    </row>
    <row r="2897" spans="2:2" ht="15.6">
      <c r="B2897" s="159"/>
    </row>
    <row r="2898" spans="2:2" ht="15.6">
      <c r="B2898" s="159"/>
    </row>
    <row r="2899" spans="2:2" ht="15.6">
      <c r="B2899" s="159"/>
    </row>
    <row r="2900" spans="2:2" ht="15.6">
      <c r="B2900" s="159"/>
    </row>
    <row r="2901" spans="2:2" ht="15.6">
      <c r="B2901" s="159"/>
    </row>
    <row r="2902" spans="2:2" ht="15.6">
      <c r="B2902" s="159"/>
    </row>
    <row r="2903" spans="2:2" ht="15.6">
      <c r="B2903" s="159"/>
    </row>
    <row r="2904" spans="2:2" ht="15.6">
      <c r="B2904" s="159"/>
    </row>
    <row r="2905" spans="2:2" ht="15.6">
      <c r="B2905" s="159"/>
    </row>
    <row r="2906" spans="2:2" ht="15.6">
      <c r="B2906" s="159"/>
    </row>
    <row r="2907" spans="2:2" ht="15.6">
      <c r="B2907" s="159"/>
    </row>
    <row r="2908" spans="2:2" ht="15.6">
      <c r="B2908" s="159"/>
    </row>
    <row r="2909" spans="2:2" ht="15.6">
      <c r="B2909" s="159"/>
    </row>
    <row r="2910" spans="2:2" ht="15.6">
      <c r="B2910" s="159"/>
    </row>
    <row r="2911" spans="2:2" ht="15.6">
      <c r="B2911" s="159"/>
    </row>
    <row r="2912" spans="2:2" ht="15.6">
      <c r="B2912" s="159"/>
    </row>
    <row r="2913" spans="2:2" ht="15.6">
      <c r="B2913" s="159"/>
    </row>
    <row r="2914" spans="2:2" ht="15.6">
      <c r="B2914" s="159"/>
    </row>
    <row r="2915" spans="2:2" ht="15.6">
      <c r="B2915" s="159"/>
    </row>
    <row r="2916" spans="2:2" ht="15.6">
      <c r="B2916" s="159"/>
    </row>
    <row r="2917" spans="2:2" ht="15.6">
      <c r="B2917" s="159"/>
    </row>
    <row r="2918" spans="2:2" ht="15.6">
      <c r="B2918" s="159"/>
    </row>
    <row r="2919" spans="2:2" ht="15.6">
      <c r="B2919" s="159"/>
    </row>
    <row r="2920" spans="2:2" ht="15.6">
      <c r="B2920" s="159"/>
    </row>
    <row r="2921" spans="2:2" ht="15.6">
      <c r="B2921" s="159"/>
    </row>
    <row r="2922" spans="2:2" ht="15.6">
      <c r="B2922" s="159"/>
    </row>
    <row r="2923" spans="2:2" ht="15.6">
      <c r="B2923" s="159"/>
    </row>
    <row r="2924" spans="2:2" ht="15.6">
      <c r="B2924" s="159"/>
    </row>
    <row r="2925" spans="2:2" ht="15.6">
      <c r="B2925" s="159"/>
    </row>
    <row r="2926" spans="2:2" ht="15.6">
      <c r="B2926" s="159"/>
    </row>
    <row r="2927" spans="2:2" ht="15.6">
      <c r="B2927" s="159"/>
    </row>
    <row r="2928" spans="2:2" ht="15.6">
      <c r="B2928" s="159"/>
    </row>
    <row r="2929" spans="2:2" ht="15.6">
      <c r="B2929" s="159"/>
    </row>
    <row r="2930" spans="2:2" ht="15.6">
      <c r="B2930" s="159"/>
    </row>
    <row r="2931" spans="2:2" ht="15.6">
      <c r="B2931" s="159"/>
    </row>
    <row r="2932" spans="2:2" ht="15.6">
      <c r="B2932" s="159"/>
    </row>
    <row r="2933" spans="2:2" ht="15.6">
      <c r="B2933" s="159"/>
    </row>
    <row r="2934" spans="2:2" ht="15.6">
      <c r="B2934" s="159"/>
    </row>
    <row r="2935" spans="2:2" ht="15.6">
      <c r="B2935" s="159"/>
    </row>
    <row r="2936" spans="2:2" ht="15.6">
      <c r="B2936" s="159"/>
    </row>
    <row r="2937" spans="2:2" ht="15.6">
      <c r="B2937" s="159"/>
    </row>
    <row r="2938" spans="2:2" ht="15.6">
      <c r="B2938" s="159"/>
    </row>
    <row r="2939" spans="2:2" ht="15.6">
      <c r="B2939" s="159"/>
    </row>
    <row r="2940" spans="2:2" ht="15.6">
      <c r="B2940" s="159"/>
    </row>
    <row r="2941" spans="2:2" ht="15.6">
      <c r="B2941" s="159"/>
    </row>
    <row r="2942" spans="2:2" ht="15.6">
      <c r="B2942" s="159"/>
    </row>
    <row r="2943" spans="2:2" ht="15.6">
      <c r="B2943" s="159"/>
    </row>
    <row r="2944" spans="2:2" ht="15.6">
      <c r="B2944" s="159"/>
    </row>
    <row r="2945" spans="2:2" ht="15.6">
      <c r="B2945" s="159"/>
    </row>
    <row r="2946" spans="2:2" ht="15.6">
      <c r="B2946" s="159"/>
    </row>
    <row r="2947" spans="2:2" ht="15.6">
      <c r="B2947" s="159"/>
    </row>
    <row r="2948" spans="2:2" ht="15.6">
      <c r="B2948" s="159"/>
    </row>
    <row r="2949" spans="2:2" ht="15.6">
      <c r="B2949" s="159"/>
    </row>
    <row r="2950" spans="2:2" ht="15.6">
      <c r="B2950" s="159"/>
    </row>
    <row r="2951" spans="2:2" ht="15.6">
      <c r="B2951" s="159"/>
    </row>
    <row r="2952" spans="2:2" ht="15.6">
      <c r="B2952" s="159"/>
    </row>
    <row r="2953" spans="2:2" ht="15.6">
      <c r="B2953" s="159"/>
    </row>
    <row r="2954" spans="2:2" ht="15.6">
      <c r="B2954" s="159"/>
    </row>
    <row r="2955" spans="2:2" ht="15.6">
      <c r="B2955" s="159"/>
    </row>
    <row r="2956" spans="2:2" ht="15.6">
      <c r="B2956" s="159"/>
    </row>
    <row r="2957" spans="2:2" ht="15.6">
      <c r="B2957" s="159"/>
    </row>
    <row r="2958" spans="2:2" ht="15.6">
      <c r="B2958" s="159"/>
    </row>
    <row r="2959" spans="2:2" ht="15.6">
      <c r="B2959" s="159"/>
    </row>
    <row r="2960" spans="2:2" ht="15.6">
      <c r="B2960" s="159"/>
    </row>
    <row r="2961" spans="2:2" ht="15.6">
      <c r="B2961" s="159"/>
    </row>
    <row r="2962" spans="2:2" ht="15.6">
      <c r="B2962" s="159"/>
    </row>
    <row r="2963" spans="2:2" ht="15.6">
      <c r="B2963" s="159"/>
    </row>
    <row r="2964" spans="2:2" ht="15.6">
      <c r="B2964" s="159"/>
    </row>
    <row r="2965" spans="2:2" ht="15.6">
      <c r="B2965" s="159"/>
    </row>
    <row r="2966" spans="2:2" ht="15.6">
      <c r="B2966" s="159"/>
    </row>
    <row r="2967" spans="2:2" ht="15.6">
      <c r="B2967" s="159"/>
    </row>
    <row r="2968" spans="2:2" ht="15.6">
      <c r="B2968" s="159"/>
    </row>
    <row r="2969" spans="2:2" ht="15.6">
      <c r="B2969" s="159"/>
    </row>
    <row r="2970" spans="2:2" ht="15.6">
      <c r="B2970" s="159"/>
    </row>
    <row r="2971" spans="2:2" ht="15.6">
      <c r="B2971" s="159"/>
    </row>
    <row r="2972" spans="2:2" ht="15.6">
      <c r="B2972" s="159"/>
    </row>
    <row r="2973" spans="2:2" ht="15.6">
      <c r="B2973" s="159"/>
    </row>
    <row r="2974" spans="2:2" ht="15.6">
      <c r="B2974" s="159"/>
    </row>
    <row r="2975" spans="2:2" ht="15.6">
      <c r="B2975" s="159"/>
    </row>
    <row r="2976" spans="2:2" ht="15.6">
      <c r="B2976" s="159"/>
    </row>
    <row r="2977" spans="2:2" ht="15.6">
      <c r="B2977" s="159"/>
    </row>
    <row r="2978" spans="2:2" ht="15.6">
      <c r="B2978" s="159"/>
    </row>
    <row r="2979" spans="2:2" ht="15.6">
      <c r="B2979" s="159"/>
    </row>
    <row r="2980" spans="2:2" ht="15.6">
      <c r="B2980" s="159"/>
    </row>
    <row r="2981" spans="2:2" ht="15.6">
      <c r="B2981" s="159"/>
    </row>
    <row r="2982" spans="2:2" ht="15.6">
      <c r="B2982" s="159"/>
    </row>
    <row r="2983" spans="2:2" ht="15.6">
      <c r="B2983" s="159"/>
    </row>
    <row r="2984" spans="2:2" ht="15.6">
      <c r="B2984" s="159"/>
    </row>
    <row r="2985" spans="2:2" ht="15.6">
      <c r="B2985" s="159"/>
    </row>
    <row r="2986" spans="2:2" ht="15.6">
      <c r="B2986" s="159"/>
    </row>
    <row r="2987" spans="2:2" ht="15.6">
      <c r="B2987" s="159"/>
    </row>
    <row r="2988" spans="2:2" ht="15.6">
      <c r="B2988" s="159"/>
    </row>
    <row r="2989" spans="2:2" ht="15.6">
      <c r="B2989" s="159"/>
    </row>
    <row r="2990" spans="2:2" ht="15.6">
      <c r="B2990" s="159"/>
    </row>
    <row r="2991" spans="2:2" ht="15.6">
      <c r="B2991" s="159"/>
    </row>
    <row r="2992" spans="2:2" ht="15.6">
      <c r="B2992" s="159"/>
    </row>
    <row r="2993" spans="2:2" ht="15.6">
      <c r="B2993" s="159"/>
    </row>
    <row r="2994" spans="2:2" ht="15.6">
      <c r="B2994" s="159"/>
    </row>
    <row r="2995" spans="2:2" ht="15.6">
      <c r="B2995" s="159"/>
    </row>
    <row r="2996" spans="2:2" ht="15.6">
      <c r="B2996" s="159"/>
    </row>
    <row r="2997" spans="2:2" ht="15.6">
      <c r="B2997" s="159"/>
    </row>
    <row r="2998" spans="2:2" ht="15.6">
      <c r="B2998" s="159"/>
    </row>
    <row r="2999" spans="2:2" ht="15.6">
      <c r="B2999" s="159"/>
    </row>
    <row r="3000" spans="2:2" ht="15.6">
      <c r="B3000" s="159"/>
    </row>
    <row r="3001" spans="2:2" ht="15.6">
      <c r="B3001" s="159"/>
    </row>
    <row r="3002" spans="2:2" ht="15.6">
      <c r="B3002" s="159"/>
    </row>
    <row r="3003" spans="2:2" ht="15.6">
      <c r="B3003" s="159"/>
    </row>
    <row r="3004" spans="2:2" ht="15.6">
      <c r="B3004" s="159"/>
    </row>
    <row r="3005" spans="2:2" ht="15.6">
      <c r="B3005" s="159"/>
    </row>
    <row r="3006" spans="2:2" ht="15.6">
      <c r="B3006" s="159"/>
    </row>
    <row r="3007" spans="2:2" ht="15.6">
      <c r="B3007" s="159"/>
    </row>
    <row r="3008" spans="2:2" ht="15.6">
      <c r="B3008" s="159"/>
    </row>
    <row r="3009" spans="2:2" ht="15.6">
      <c r="B3009" s="159"/>
    </row>
    <row r="3010" spans="2:2" ht="15.6">
      <c r="B3010" s="159"/>
    </row>
    <row r="3011" spans="2:2" ht="15.6">
      <c r="B3011" s="159"/>
    </row>
    <row r="3012" spans="2:2" ht="15.6">
      <c r="B3012" s="159"/>
    </row>
    <row r="3013" spans="2:2" ht="15.6">
      <c r="B3013" s="159"/>
    </row>
    <row r="3014" spans="2:2" ht="15.6">
      <c r="B3014" s="159"/>
    </row>
    <row r="3015" spans="2:2" ht="15.6">
      <c r="B3015" s="159"/>
    </row>
    <row r="3016" spans="2:2" ht="15.6">
      <c r="B3016" s="159"/>
    </row>
    <row r="3017" spans="2:2" ht="15.6">
      <c r="B3017" s="159"/>
    </row>
    <row r="3018" spans="2:2" ht="15.6">
      <c r="B3018" s="159"/>
    </row>
    <row r="3019" spans="2:2" ht="15.6">
      <c r="B3019" s="159"/>
    </row>
    <row r="3020" spans="2:2" ht="15.6">
      <c r="B3020" s="159"/>
    </row>
    <row r="3021" spans="2:2" ht="15.6">
      <c r="B3021" s="159"/>
    </row>
    <row r="3022" spans="2:2" ht="15.6">
      <c r="B3022" s="159"/>
    </row>
    <row r="3023" spans="2:2" ht="15.6">
      <c r="B3023" s="159"/>
    </row>
    <row r="3024" spans="2:2" ht="15.6">
      <c r="B3024" s="159"/>
    </row>
    <row r="3025" spans="2:2" ht="15.6">
      <c r="B3025" s="159"/>
    </row>
    <row r="3026" spans="2:2" ht="15.6">
      <c r="B3026" s="159"/>
    </row>
    <row r="3027" spans="2:2" ht="15.6">
      <c r="B3027" s="159"/>
    </row>
    <row r="3028" spans="2:2" ht="15.6">
      <c r="B3028" s="159"/>
    </row>
    <row r="3029" spans="2:2" ht="15.6">
      <c r="B3029" s="159"/>
    </row>
    <row r="3030" spans="2:2" ht="15.6">
      <c r="B3030" s="159"/>
    </row>
    <row r="3031" spans="2:2" ht="15.6">
      <c r="B3031" s="159"/>
    </row>
    <row r="3032" spans="2:2" ht="15.6">
      <c r="B3032" s="159"/>
    </row>
    <row r="3033" spans="2:2" ht="15.6">
      <c r="B3033" s="159"/>
    </row>
    <row r="3034" spans="2:2" ht="15.6">
      <c r="B3034" s="159"/>
    </row>
    <row r="3035" spans="2:2" ht="15.6">
      <c r="B3035" s="159"/>
    </row>
    <row r="3036" spans="2:2" ht="15.6">
      <c r="B3036" s="159"/>
    </row>
    <row r="3037" spans="2:2" ht="15.6">
      <c r="B3037" s="159"/>
    </row>
    <row r="3038" spans="2:2" ht="15.6">
      <c r="B3038" s="159"/>
    </row>
    <row r="3039" spans="2:2" ht="15.6">
      <c r="B3039" s="159"/>
    </row>
    <row r="3040" spans="2:2" ht="15.6">
      <c r="B3040" s="159"/>
    </row>
    <row r="3041" spans="2:2" ht="15.6">
      <c r="B3041" s="159"/>
    </row>
    <row r="3042" spans="2:2" ht="15.6">
      <c r="B3042" s="159"/>
    </row>
    <row r="3043" spans="2:2" ht="15.6">
      <c r="B3043" s="159"/>
    </row>
    <row r="3044" spans="2:2" ht="15.6">
      <c r="B3044" s="159"/>
    </row>
    <row r="3045" spans="2:2" ht="15.6">
      <c r="B3045" s="159"/>
    </row>
    <row r="3046" spans="2:2" ht="15.6">
      <c r="B3046" s="159"/>
    </row>
    <row r="3047" spans="2:2" ht="15.6">
      <c r="B3047" s="159"/>
    </row>
    <row r="3048" spans="2:2" ht="15.6">
      <c r="B3048" s="159"/>
    </row>
    <row r="3049" spans="2:2" ht="15.6">
      <c r="B3049" s="159"/>
    </row>
    <row r="3050" spans="2:2" ht="15.6">
      <c r="B3050" s="159"/>
    </row>
    <row r="3051" spans="2:2" ht="15.6">
      <c r="B3051" s="159"/>
    </row>
    <row r="3052" spans="2:2" ht="15.6">
      <c r="B3052" s="159"/>
    </row>
    <row r="3053" spans="2:2" ht="15.6">
      <c r="B3053" s="159"/>
    </row>
    <row r="3054" spans="2:2" ht="15.6">
      <c r="B3054" s="159"/>
    </row>
    <row r="3055" spans="2:2" ht="15.6">
      <c r="B3055" s="159"/>
    </row>
    <row r="3056" spans="2:2" ht="15.6">
      <c r="B3056" s="159"/>
    </row>
    <row r="3057" spans="2:2" ht="15.6">
      <c r="B3057" s="159"/>
    </row>
    <row r="3058" spans="2:2" ht="15.6">
      <c r="B3058" s="159"/>
    </row>
    <row r="3059" spans="2:2" ht="15.6">
      <c r="B3059" s="159"/>
    </row>
    <row r="3060" spans="2:2" ht="15.6">
      <c r="B3060" s="159"/>
    </row>
    <row r="3061" spans="2:2" ht="15.6">
      <c r="B3061" s="159"/>
    </row>
    <row r="3062" spans="2:2" ht="15.6">
      <c r="B3062" s="159"/>
    </row>
    <row r="3063" spans="2:2" ht="15.6">
      <c r="B3063" s="159"/>
    </row>
    <row r="3064" spans="2:2" ht="15.6">
      <c r="B3064" s="159"/>
    </row>
    <row r="3065" spans="2:2" ht="15.6">
      <c r="B3065" s="159"/>
    </row>
    <row r="3066" spans="2:2" ht="15.6">
      <c r="B3066" s="159"/>
    </row>
    <row r="3067" spans="2:2" ht="15.6">
      <c r="B3067" s="159"/>
    </row>
    <row r="3068" spans="2:2" ht="15.6">
      <c r="B3068" s="159"/>
    </row>
    <row r="3069" spans="2:2" ht="15.6">
      <c r="B3069" s="159"/>
    </row>
    <row r="3070" spans="2:2" ht="15.6">
      <c r="B3070" s="159"/>
    </row>
    <row r="3071" spans="2:2" ht="15.6">
      <c r="B3071" s="159"/>
    </row>
    <row r="3072" spans="2:2" ht="15.6">
      <c r="B3072" s="159"/>
    </row>
    <row r="3073" spans="2:2" ht="15.6">
      <c r="B3073" s="159"/>
    </row>
    <row r="3074" spans="2:2" ht="15.6">
      <c r="B3074" s="159"/>
    </row>
    <row r="3075" spans="2:2" ht="15.6">
      <c r="B3075" s="159"/>
    </row>
    <row r="3076" spans="2:2" ht="15.6">
      <c r="B3076" s="159"/>
    </row>
    <row r="3077" spans="2:2" ht="15.6">
      <c r="B3077" s="159"/>
    </row>
    <row r="3078" spans="2:2" ht="15.6">
      <c r="B3078" s="159"/>
    </row>
    <row r="3079" spans="2:2" ht="15.6">
      <c r="B3079" s="159"/>
    </row>
    <row r="3080" spans="2:2" ht="15.6">
      <c r="B3080" s="159"/>
    </row>
    <row r="3081" spans="2:2" ht="15.6">
      <c r="B3081" s="159"/>
    </row>
    <row r="3082" spans="2:2" ht="15.6">
      <c r="B3082" s="159"/>
    </row>
    <row r="3083" spans="2:2" ht="15.6">
      <c r="B3083" s="159"/>
    </row>
    <row r="3084" spans="2:2" ht="15.6">
      <c r="B3084" s="159"/>
    </row>
    <row r="3085" spans="2:2" ht="15.6">
      <c r="B3085" s="159"/>
    </row>
    <row r="3086" spans="2:2" ht="15.6">
      <c r="B3086" s="159"/>
    </row>
    <row r="3087" spans="2:2" ht="15.6">
      <c r="B3087" s="159"/>
    </row>
    <row r="3088" spans="2:2" ht="15.6">
      <c r="B3088" s="159"/>
    </row>
    <row r="3089" spans="2:2" ht="15.6">
      <c r="B3089" s="159"/>
    </row>
    <row r="3090" spans="2:2" ht="15.6">
      <c r="B3090" s="159"/>
    </row>
    <row r="3091" spans="2:2" ht="15.6">
      <c r="B3091" s="159"/>
    </row>
    <row r="3092" spans="2:2" ht="15.6">
      <c r="B3092" s="159"/>
    </row>
    <row r="3093" spans="2:2" ht="15.6">
      <c r="B3093" s="159"/>
    </row>
    <row r="3094" spans="2:2" ht="15.6">
      <c r="B3094" s="159"/>
    </row>
    <row r="3095" spans="2:2" ht="15.6">
      <c r="B3095" s="159"/>
    </row>
    <row r="3096" spans="2:2" ht="15.6">
      <c r="B3096" s="159"/>
    </row>
    <row r="3097" spans="2:2" ht="15.6">
      <c r="B3097" s="159"/>
    </row>
    <row r="3098" spans="2:2" ht="15.6">
      <c r="B3098" s="159"/>
    </row>
    <row r="3099" spans="2:2" ht="15.6">
      <c r="B3099" s="159"/>
    </row>
    <row r="3100" spans="2:2" ht="15.6">
      <c r="B3100" s="159"/>
    </row>
    <row r="3101" spans="2:2" ht="15.6">
      <c r="B3101" s="159"/>
    </row>
    <row r="3102" spans="2:2" ht="15.6">
      <c r="B3102" s="159"/>
    </row>
    <row r="3103" spans="2:2" ht="15.6">
      <c r="B3103" s="159"/>
    </row>
    <row r="3104" spans="2:2" ht="15.6">
      <c r="B3104" s="159"/>
    </row>
    <row r="3105" spans="2:2" ht="15.6">
      <c r="B3105" s="159"/>
    </row>
    <row r="3106" spans="2:2" ht="15.6">
      <c r="B3106" s="159"/>
    </row>
    <row r="3107" spans="2:2" ht="15.6">
      <c r="B3107" s="159"/>
    </row>
    <row r="3108" spans="2:2" ht="15.6">
      <c r="B3108" s="159"/>
    </row>
    <row r="3109" spans="2:2" ht="15.6">
      <c r="B3109" s="159"/>
    </row>
    <row r="3110" spans="2:2" ht="15.6">
      <c r="B3110" s="159"/>
    </row>
    <row r="3111" spans="2:2" ht="15.6">
      <c r="B3111" s="159"/>
    </row>
    <row r="3112" spans="2:2" ht="15.6">
      <c r="B3112" s="159"/>
    </row>
    <row r="3113" spans="2:2" ht="15.6">
      <c r="B3113" s="159"/>
    </row>
    <row r="3114" spans="2:2" ht="15.6">
      <c r="B3114" s="159"/>
    </row>
    <row r="3115" spans="2:2" ht="15.6">
      <c r="B3115" s="159"/>
    </row>
    <row r="3116" spans="2:2" ht="15.6">
      <c r="B3116" s="159"/>
    </row>
    <row r="3117" spans="2:2" ht="15.6">
      <c r="B3117" s="159"/>
    </row>
    <row r="3118" spans="2:2" ht="15.6">
      <c r="B3118" s="159"/>
    </row>
    <row r="3119" spans="2:2" ht="15.6">
      <c r="B3119" s="159"/>
    </row>
    <row r="3120" spans="2:2" ht="15.6">
      <c r="B3120" s="159"/>
    </row>
    <row r="3121" spans="2:2" ht="15.6">
      <c r="B3121" s="159"/>
    </row>
    <row r="3122" spans="2:2" ht="15.6">
      <c r="B3122" s="159"/>
    </row>
    <row r="3123" spans="2:2" ht="15.6">
      <c r="B3123" s="159"/>
    </row>
    <row r="3124" spans="2:2" ht="15.6">
      <c r="B3124" s="159"/>
    </row>
    <row r="3125" spans="2:2" ht="15.6">
      <c r="B3125" s="159"/>
    </row>
    <row r="3126" spans="2:2" ht="15.6">
      <c r="B3126" s="159"/>
    </row>
    <row r="3127" spans="2:2" ht="15.6">
      <c r="B3127" s="159"/>
    </row>
    <row r="3128" spans="2:2" ht="15.6">
      <c r="B3128" s="159"/>
    </row>
    <row r="3129" spans="2:2" ht="15.6">
      <c r="B3129" s="159"/>
    </row>
    <row r="3130" spans="2:2" ht="15.6">
      <c r="B3130" s="159"/>
    </row>
    <row r="3131" spans="2:2" ht="15.6">
      <c r="B3131" s="159"/>
    </row>
    <row r="3132" spans="2:2" ht="15.6">
      <c r="B3132" s="159"/>
    </row>
    <row r="3133" spans="2:2" ht="15.6">
      <c r="B3133" s="159"/>
    </row>
    <row r="3134" spans="2:2" ht="15.6">
      <c r="B3134" s="159"/>
    </row>
    <row r="3135" spans="2:2" ht="15.6">
      <c r="B3135" s="159"/>
    </row>
    <row r="3136" spans="2:2" ht="15.6">
      <c r="B3136" s="159"/>
    </row>
    <row r="3137" spans="2:2" ht="15.6">
      <c r="B3137" s="159"/>
    </row>
    <row r="3138" spans="2:2" ht="15.6">
      <c r="B3138" s="159"/>
    </row>
    <row r="3139" spans="2:2" ht="15.6">
      <c r="B3139" s="159"/>
    </row>
    <row r="3140" spans="2:2" ht="15.6">
      <c r="B3140" s="159"/>
    </row>
    <row r="3141" spans="2:2" ht="15.6">
      <c r="B3141" s="159"/>
    </row>
    <row r="3142" spans="2:2" ht="15.6">
      <c r="B3142" s="159"/>
    </row>
    <row r="3143" spans="2:2" ht="15.6">
      <c r="B3143" s="159"/>
    </row>
    <row r="3144" spans="2:2" ht="15.6">
      <c r="B3144" s="159"/>
    </row>
    <row r="3145" spans="2:2" ht="15.6">
      <c r="B3145" s="159"/>
    </row>
    <row r="3146" spans="2:2" ht="15.6">
      <c r="B3146" s="159"/>
    </row>
    <row r="3147" spans="2:2" ht="15.6">
      <c r="B3147" s="159"/>
    </row>
    <row r="3148" spans="2:2" ht="15.6">
      <c r="B3148" s="159"/>
    </row>
    <row r="3149" spans="2:2" ht="15.6">
      <c r="B3149" s="159"/>
    </row>
    <row r="3150" spans="2:2" ht="15.6">
      <c r="B3150" s="159"/>
    </row>
    <row r="3151" spans="2:2" ht="15.6">
      <c r="B3151" s="159"/>
    </row>
    <row r="3152" spans="2:2" ht="15.6">
      <c r="B3152" s="159"/>
    </row>
    <row r="3153" spans="2:2" ht="15.6">
      <c r="B3153" s="159"/>
    </row>
    <row r="3154" spans="2:2" ht="15.6">
      <c r="B3154" s="159"/>
    </row>
    <row r="3155" spans="2:2" ht="15.6">
      <c r="B3155" s="159"/>
    </row>
    <row r="3156" spans="2:2" ht="15.6">
      <c r="B3156" s="159"/>
    </row>
    <row r="3157" spans="2:2" ht="15.6">
      <c r="B3157" s="159"/>
    </row>
    <row r="3158" spans="2:2" ht="15.6">
      <c r="B3158" s="159"/>
    </row>
    <row r="3159" spans="2:2" ht="15.6">
      <c r="B3159" s="159"/>
    </row>
    <row r="3160" spans="2:2" ht="15.6">
      <c r="B3160" s="159"/>
    </row>
    <row r="3161" spans="2:2" ht="15.6">
      <c r="B3161" s="159"/>
    </row>
    <row r="3162" spans="2:2" ht="15.6">
      <c r="B3162" s="159"/>
    </row>
    <row r="3163" spans="2:2" ht="15.6">
      <c r="B3163" s="159"/>
    </row>
    <row r="3164" spans="2:2" ht="15.6">
      <c r="B3164" s="159"/>
    </row>
    <row r="3165" spans="2:2" ht="15.6">
      <c r="B3165" s="159"/>
    </row>
    <row r="3166" spans="2:2" ht="15.6">
      <c r="B3166" s="159"/>
    </row>
    <row r="3167" spans="2:2" ht="15.6">
      <c r="B3167" s="159"/>
    </row>
    <row r="3168" spans="2:2" ht="15.6">
      <c r="B3168" s="159"/>
    </row>
    <row r="3169" spans="2:2" ht="15.6">
      <c r="B3169" s="159"/>
    </row>
    <row r="3170" spans="2:2" ht="15.6">
      <c r="B3170" s="159"/>
    </row>
    <row r="3171" spans="2:2" ht="15.6">
      <c r="B3171" s="159"/>
    </row>
    <row r="3172" spans="2:2" ht="15.6">
      <c r="B3172" s="159"/>
    </row>
    <row r="3173" spans="2:2" ht="15.6">
      <c r="B3173" s="159"/>
    </row>
    <row r="3174" spans="2:2" ht="15.6">
      <c r="B3174" s="159"/>
    </row>
    <row r="3175" spans="2:2" ht="15.6">
      <c r="B3175" s="159"/>
    </row>
    <row r="3176" spans="2:2" ht="15.6">
      <c r="B3176" s="159"/>
    </row>
    <row r="3177" spans="2:2" ht="15.6">
      <c r="B3177" s="159"/>
    </row>
    <row r="3178" spans="2:2" ht="15.6">
      <c r="B3178" s="159"/>
    </row>
    <row r="3179" spans="2:2" ht="15.6">
      <c r="B3179" s="159"/>
    </row>
    <row r="3180" spans="2:2" ht="15.6">
      <c r="B3180" s="159"/>
    </row>
    <row r="3181" spans="2:2" ht="15.6">
      <c r="B3181" s="159"/>
    </row>
    <row r="3182" spans="2:2" ht="15.6">
      <c r="B3182" s="159"/>
    </row>
    <row r="3183" spans="2:2" ht="15.6">
      <c r="B3183" s="159"/>
    </row>
    <row r="3184" spans="2:2" ht="15.6">
      <c r="B3184" s="159"/>
    </row>
    <row r="3185" spans="2:2" ht="15.6">
      <c r="B3185" s="159"/>
    </row>
    <row r="3186" spans="2:2" ht="15.6">
      <c r="B3186" s="159"/>
    </row>
    <row r="3187" spans="2:2" ht="15.6">
      <c r="B3187" s="159"/>
    </row>
    <row r="3188" spans="2:2" ht="15.6">
      <c r="B3188" s="159"/>
    </row>
    <row r="3189" spans="2:2" ht="15.6">
      <c r="B3189" s="159"/>
    </row>
    <row r="3190" spans="2:2" ht="15.6">
      <c r="B3190" s="159"/>
    </row>
    <row r="3191" spans="2:2" ht="15.6">
      <c r="B3191" s="159"/>
    </row>
    <row r="3192" spans="2:2" ht="15.6">
      <c r="B3192" s="159"/>
    </row>
    <row r="3193" spans="2:2" ht="15.6">
      <c r="B3193" s="159"/>
    </row>
    <row r="3194" spans="2:2" ht="15.6">
      <c r="B3194" s="159"/>
    </row>
    <row r="3195" spans="2:2" ht="15.6">
      <c r="B3195" s="159"/>
    </row>
    <row r="3196" spans="2:2" ht="15.6">
      <c r="B3196" s="159"/>
    </row>
    <row r="3197" spans="2:2" ht="15.6">
      <c r="B3197" s="159"/>
    </row>
    <row r="3198" spans="2:2" ht="15.6">
      <c r="B3198" s="159"/>
    </row>
    <row r="3199" spans="2:2" ht="15.6">
      <c r="B3199" s="159"/>
    </row>
    <row r="3200" spans="2:2" ht="15.6">
      <c r="B3200" s="159"/>
    </row>
    <row r="3201" spans="2:2" ht="15.6">
      <c r="B3201" s="159"/>
    </row>
    <row r="3202" spans="2:2" ht="15.6">
      <c r="B3202" s="159"/>
    </row>
    <row r="3203" spans="2:2" ht="15.6">
      <c r="B3203" s="159"/>
    </row>
    <row r="3204" spans="2:2" ht="15.6">
      <c r="B3204" s="159"/>
    </row>
    <row r="3205" spans="2:2" ht="15.6">
      <c r="B3205" s="159"/>
    </row>
    <row r="3206" spans="2:2" ht="15.6">
      <c r="B3206" s="159"/>
    </row>
    <row r="3207" spans="2:2" ht="15.6">
      <c r="B3207" s="159"/>
    </row>
    <row r="3208" spans="2:2" ht="15.6">
      <c r="B3208" s="159"/>
    </row>
    <row r="3209" spans="2:2" ht="15.6">
      <c r="B3209" s="159"/>
    </row>
    <row r="3210" spans="2:2" ht="15.6">
      <c r="B3210" s="159"/>
    </row>
    <row r="3211" spans="2:2" ht="15.6">
      <c r="B3211" s="159"/>
    </row>
    <row r="3212" spans="2:2" ht="15.6">
      <c r="B3212" s="159"/>
    </row>
    <row r="3213" spans="2:2" ht="15.6">
      <c r="B3213" s="159"/>
    </row>
    <row r="3214" spans="2:2" ht="15.6">
      <c r="B3214" s="159"/>
    </row>
    <row r="3215" spans="2:2" ht="15.6">
      <c r="B3215" s="159"/>
    </row>
    <row r="3216" spans="2:2" ht="15.6">
      <c r="B3216" s="159"/>
    </row>
    <row r="3217" spans="2:2" ht="15.6">
      <c r="B3217" s="159"/>
    </row>
    <row r="3218" spans="2:2" ht="15.6">
      <c r="B3218" s="159"/>
    </row>
    <row r="3219" spans="2:2" ht="15.6">
      <c r="B3219" s="159"/>
    </row>
    <row r="3220" spans="2:2" ht="15.6">
      <c r="B3220" s="159"/>
    </row>
    <row r="3221" spans="2:2" ht="15.6">
      <c r="B3221" s="159"/>
    </row>
    <row r="3222" spans="2:2" ht="15.6">
      <c r="B3222" s="159"/>
    </row>
    <row r="3223" spans="2:2" ht="15.6">
      <c r="B3223" s="159"/>
    </row>
    <row r="3224" spans="2:2" ht="15.6">
      <c r="B3224" s="159"/>
    </row>
    <row r="3225" spans="2:2" ht="15.6">
      <c r="B3225" s="159"/>
    </row>
    <row r="3226" spans="2:2" ht="15.6">
      <c r="B3226" s="159"/>
    </row>
    <row r="3227" spans="2:2" ht="15.6">
      <c r="B3227" s="159"/>
    </row>
    <row r="3228" spans="2:2" ht="15.6">
      <c r="B3228" s="159"/>
    </row>
    <row r="3229" spans="2:2" ht="15.6">
      <c r="B3229" s="159"/>
    </row>
    <row r="3230" spans="2:2" ht="15.6">
      <c r="B3230" s="159"/>
    </row>
    <row r="3231" spans="2:2" ht="15.6">
      <c r="B3231" s="159"/>
    </row>
    <row r="3232" spans="2:2" ht="15.6">
      <c r="B3232" s="159"/>
    </row>
    <row r="3233" spans="2:2" ht="15.6">
      <c r="B3233" s="159"/>
    </row>
    <row r="3234" spans="2:2" ht="15.6">
      <c r="B3234" s="159"/>
    </row>
    <row r="3235" spans="2:2" ht="15.6">
      <c r="B3235" s="159"/>
    </row>
    <row r="3236" spans="2:2" ht="15.6">
      <c r="B3236" s="159"/>
    </row>
    <row r="3237" spans="2:2" ht="15.6">
      <c r="B3237" s="159"/>
    </row>
    <row r="3238" spans="2:2" ht="15.6">
      <c r="B3238" s="159"/>
    </row>
    <row r="3239" spans="2:2" ht="15.6">
      <c r="B3239" s="159"/>
    </row>
    <row r="3240" spans="2:2" ht="15.6">
      <c r="B3240" s="159"/>
    </row>
    <row r="3241" spans="2:2" ht="15.6">
      <c r="B3241" s="159"/>
    </row>
    <row r="3242" spans="2:2" ht="15.6">
      <c r="B3242" s="159"/>
    </row>
    <row r="3243" spans="2:2" ht="15.6">
      <c r="B3243" s="159"/>
    </row>
    <row r="3244" spans="2:2" ht="15.6">
      <c r="B3244" s="159"/>
    </row>
    <row r="3245" spans="2:2" ht="15.6">
      <c r="B3245" s="159"/>
    </row>
    <row r="3246" spans="2:2" ht="15.6">
      <c r="B3246" s="159"/>
    </row>
    <row r="3247" spans="2:2" ht="15.6">
      <c r="B3247" s="159"/>
    </row>
    <row r="3248" spans="2:2" ht="15.6">
      <c r="B3248" s="159"/>
    </row>
    <row r="3249" spans="2:2" ht="15.6">
      <c r="B3249" s="159"/>
    </row>
    <row r="3250" spans="2:2" ht="15.6">
      <c r="B3250" s="159"/>
    </row>
    <row r="3251" spans="2:2" ht="15.6">
      <c r="B3251" s="159"/>
    </row>
    <row r="3252" spans="2:2" ht="15.6">
      <c r="B3252" s="159"/>
    </row>
    <row r="3253" spans="2:2" ht="15.6">
      <c r="B3253" s="159"/>
    </row>
    <row r="3254" spans="2:2" ht="15.6">
      <c r="B3254" s="159"/>
    </row>
    <row r="3255" spans="2:2" ht="15.6">
      <c r="B3255" s="159"/>
    </row>
    <row r="3256" spans="2:2" ht="15.6">
      <c r="B3256" s="159"/>
    </row>
    <row r="3257" spans="2:2" ht="15.6">
      <c r="B3257" s="159"/>
    </row>
    <row r="3258" spans="2:2" ht="15.6">
      <c r="B3258" s="159"/>
    </row>
    <row r="3259" spans="2:2" ht="15.6">
      <c r="B3259" s="159"/>
    </row>
    <row r="3260" spans="2:2" ht="15.6">
      <c r="B3260" s="159"/>
    </row>
    <row r="3261" spans="2:2" ht="15.6">
      <c r="B3261" s="159"/>
    </row>
    <row r="3262" spans="2:2" ht="15.6">
      <c r="B3262" s="159"/>
    </row>
    <row r="3263" spans="2:2" ht="15.6">
      <c r="B3263" s="159"/>
    </row>
    <row r="3264" spans="2:2" ht="15.6">
      <c r="B3264" s="159"/>
    </row>
    <row r="3265" spans="2:2" ht="15.6">
      <c r="B3265" s="159"/>
    </row>
    <row r="3266" spans="2:2" ht="15.6">
      <c r="B3266" s="159"/>
    </row>
    <row r="3267" spans="2:2" ht="15.6">
      <c r="B3267" s="159"/>
    </row>
    <row r="3268" spans="2:2" ht="15.6">
      <c r="B3268" s="159"/>
    </row>
    <row r="3269" spans="2:2" ht="15.6">
      <c r="B3269" s="159"/>
    </row>
    <row r="3270" spans="2:2" ht="15.6">
      <c r="B3270" s="159"/>
    </row>
    <row r="3271" spans="2:2" ht="15.6">
      <c r="B3271" s="159"/>
    </row>
    <row r="3272" spans="2:2" ht="15.6">
      <c r="B3272" s="159"/>
    </row>
    <row r="3273" spans="2:2" ht="15.6">
      <c r="B3273" s="159"/>
    </row>
    <row r="3274" spans="2:2" ht="15.6">
      <c r="B3274" s="159"/>
    </row>
    <row r="3275" spans="2:2" ht="15.6">
      <c r="B3275" s="159"/>
    </row>
    <row r="3276" spans="2:2" ht="15.6">
      <c r="B3276" s="159"/>
    </row>
    <row r="3277" spans="2:2" ht="15.6">
      <c r="B3277" s="159"/>
    </row>
    <row r="3278" spans="2:2" ht="15.6">
      <c r="B3278" s="159"/>
    </row>
    <row r="3279" spans="2:2" ht="15.6">
      <c r="B3279" s="159"/>
    </row>
    <row r="3280" spans="2:2" ht="15.6">
      <c r="B3280" s="159"/>
    </row>
    <row r="3281" spans="2:2" ht="15.6">
      <c r="B3281" s="159"/>
    </row>
    <row r="3282" spans="2:2" ht="15.6">
      <c r="B3282" s="159"/>
    </row>
    <row r="3283" spans="2:2" ht="15.6">
      <c r="B3283" s="159"/>
    </row>
    <row r="3284" spans="2:2" ht="15.6">
      <c r="B3284" s="159"/>
    </row>
    <row r="3285" spans="2:2" ht="15.6">
      <c r="B3285" s="159"/>
    </row>
    <row r="3286" spans="2:2" ht="15.6">
      <c r="B3286" s="159"/>
    </row>
    <row r="3287" spans="2:2" ht="15.6">
      <c r="B3287" s="159"/>
    </row>
    <row r="3288" spans="2:2" ht="15.6">
      <c r="B3288" s="159"/>
    </row>
    <row r="3289" spans="2:2" ht="15.6">
      <c r="B3289" s="159"/>
    </row>
    <row r="3290" spans="2:2" ht="15.6">
      <c r="B3290" s="159"/>
    </row>
    <row r="3291" spans="2:2" ht="15.6">
      <c r="B3291" s="159"/>
    </row>
    <row r="3292" spans="2:2" ht="15.6">
      <c r="B3292" s="159"/>
    </row>
    <row r="3293" spans="2:2" ht="15.6">
      <c r="B3293" s="159"/>
    </row>
    <row r="3294" spans="2:2" ht="15.6">
      <c r="B3294" s="159"/>
    </row>
    <row r="3295" spans="2:2" ht="15.6">
      <c r="B3295" s="159"/>
    </row>
    <row r="3296" spans="2:2" ht="15.6">
      <c r="B3296" s="159"/>
    </row>
    <row r="3297" spans="2:2" ht="15.6">
      <c r="B3297" s="159"/>
    </row>
    <row r="3298" spans="2:2" ht="15.6">
      <c r="B3298" s="159"/>
    </row>
    <row r="3299" spans="2:2" ht="15.6">
      <c r="B3299" s="159"/>
    </row>
    <row r="3300" spans="2:2" ht="15.6">
      <c r="B3300" s="159"/>
    </row>
    <row r="3301" spans="2:2" ht="15.6">
      <c r="B3301" s="159"/>
    </row>
    <row r="3302" spans="2:2" ht="15.6">
      <c r="B3302" s="159"/>
    </row>
    <row r="3303" spans="2:2" ht="15.6">
      <c r="B3303" s="159"/>
    </row>
    <row r="3304" spans="2:2" ht="15.6">
      <c r="B3304" s="159"/>
    </row>
    <row r="3305" spans="2:2" ht="15.6">
      <c r="B3305" s="159"/>
    </row>
    <row r="3306" spans="2:2" ht="15.6">
      <c r="B3306" s="159"/>
    </row>
    <row r="3307" spans="2:2" ht="15.6">
      <c r="B3307" s="159"/>
    </row>
    <row r="3308" spans="2:2" ht="15.6">
      <c r="B3308" s="159"/>
    </row>
    <row r="3309" spans="2:2" ht="15.6">
      <c r="B3309" s="159"/>
    </row>
    <row r="3310" spans="2:2" ht="15.6">
      <c r="B3310" s="159"/>
    </row>
    <row r="3311" spans="2:2" ht="15.6">
      <c r="B3311" s="159"/>
    </row>
    <row r="3312" spans="2:2" ht="15.6">
      <c r="B3312" s="159"/>
    </row>
    <row r="3313" spans="2:2" ht="15.6">
      <c r="B3313" s="159"/>
    </row>
    <row r="3314" spans="2:2" ht="15.6">
      <c r="B3314" s="159"/>
    </row>
    <row r="3315" spans="2:2" ht="15.6">
      <c r="B3315" s="159"/>
    </row>
    <row r="3316" spans="2:2" ht="15.6">
      <c r="B3316" s="159"/>
    </row>
    <row r="3317" spans="2:2" ht="15.6">
      <c r="B3317" s="159"/>
    </row>
    <row r="3318" spans="2:2" ht="15.6">
      <c r="B3318" s="159"/>
    </row>
    <row r="3319" spans="2:2" ht="15.6">
      <c r="B3319" s="159"/>
    </row>
    <row r="3320" spans="2:2" ht="15.6">
      <c r="B3320" s="159"/>
    </row>
    <row r="3321" spans="2:2" ht="15.6">
      <c r="B3321" s="159"/>
    </row>
    <row r="3322" spans="2:2" ht="15.6">
      <c r="B3322" s="159"/>
    </row>
    <row r="3323" spans="2:2" ht="15.6">
      <c r="B3323" s="159"/>
    </row>
    <row r="3324" spans="2:2" ht="15.6">
      <c r="B3324" s="159"/>
    </row>
    <row r="3325" spans="2:2" ht="15.6">
      <c r="B3325" s="159"/>
    </row>
    <row r="3326" spans="2:2" ht="15.6">
      <c r="B3326" s="159"/>
    </row>
    <row r="3327" spans="2:2" ht="15.6">
      <c r="B3327" s="159"/>
    </row>
    <row r="3328" spans="2:2" ht="15.6">
      <c r="B3328" s="159"/>
    </row>
    <row r="3329" spans="2:2" ht="15.6">
      <c r="B3329" s="159"/>
    </row>
    <row r="3330" spans="2:2" ht="15.6">
      <c r="B3330" s="159"/>
    </row>
    <row r="3331" spans="2:2" ht="15.6">
      <c r="B3331" s="159"/>
    </row>
    <row r="3332" spans="2:2" ht="15.6">
      <c r="B3332" s="159"/>
    </row>
    <row r="3333" spans="2:2" ht="15.6">
      <c r="B3333" s="159"/>
    </row>
    <row r="3334" spans="2:2" ht="15.6">
      <c r="B3334" s="159"/>
    </row>
    <row r="3335" spans="2:2" ht="15.6">
      <c r="B3335" s="159"/>
    </row>
    <row r="3336" spans="2:2" ht="15.6">
      <c r="B3336" s="159"/>
    </row>
    <row r="3337" spans="2:2" ht="15.6">
      <c r="B3337" s="159"/>
    </row>
    <row r="3338" spans="2:2" ht="15.6">
      <c r="B3338" s="159"/>
    </row>
    <row r="3339" spans="2:2" ht="15.6">
      <c r="B3339" s="159"/>
    </row>
    <row r="3340" spans="2:2" ht="15.6">
      <c r="B3340" s="159"/>
    </row>
    <row r="3341" spans="2:2" ht="15.6">
      <c r="B3341" s="159"/>
    </row>
    <row r="3342" spans="2:2" ht="15.6">
      <c r="B3342" s="159"/>
    </row>
    <row r="3343" spans="2:2" ht="15.6">
      <c r="B3343" s="159"/>
    </row>
    <row r="3344" spans="2:2" ht="15.6">
      <c r="B3344" s="159"/>
    </row>
    <row r="3345" spans="2:2" ht="15.6">
      <c r="B3345" s="159"/>
    </row>
    <row r="3346" spans="2:2" ht="15.6">
      <c r="B3346" s="159"/>
    </row>
    <row r="3347" spans="2:2" ht="15.6">
      <c r="B3347" s="159"/>
    </row>
    <row r="3348" spans="2:2" ht="15.6">
      <c r="B3348" s="159"/>
    </row>
    <row r="3349" spans="2:2" ht="15.6">
      <c r="B3349" s="159"/>
    </row>
    <row r="3350" spans="2:2" ht="15.6">
      <c r="B3350" s="159"/>
    </row>
    <row r="3351" spans="2:2" ht="15.6">
      <c r="B3351" s="159"/>
    </row>
    <row r="3352" spans="2:2" ht="15.6">
      <c r="B3352" s="159"/>
    </row>
    <row r="3353" spans="2:2" ht="15.6">
      <c r="B3353" s="159"/>
    </row>
    <row r="3354" spans="2:2" ht="15.6">
      <c r="B3354" s="159"/>
    </row>
    <row r="3355" spans="2:2" ht="15.6">
      <c r="B3355" s="159"/>
    </row>
    <row r="3356" spans="2:2" ht="15.6">
      <c r="B3356" s="159"/>
    </row>
    <row r="3357" spans="2:2" ht="15.6">
      <c r="B3357" s="159"/>
    </row>
    <row r="3358" spans="2:2" ht="15.6">
      <c r="B3358" s="159"/>
    </row>
    <row r="3359" spans="2:2" ht="15.6">
      <c r="B3359" s="159"/>
    </row>
    <row r="3360" spans="2:2" ht="15.6">
      <c r="B3360" s="159"/>
    </row>
    <row r="3361" spans="2:2" ht="15.6">
      <c r="B3361" s="159"/>
    </row>
    <row r="3362" spans="2:2" ht="15.6">
      <c r="B3362" s="159"/>
    </row>
    <row r="3363" spans="2:2" ht="15.6">
      <c r="B3363" s="159"/>
    </row>
    <row r="3364" spans="2:2" ht="15.6">
      <c r="B3364" s="159"/>
    </row>
    <row r="3365" spans="2:2" ht="15.6">
      <c r="B3365" s="159"/>
    </row>
    <row r="3366" spans="2:2" ht="15.6">
      <c r="B3366" s="159"/>
    </row>
    <row r="3367" spans="2:2" ht="15.6">
      <c r="B3367" s="159"/>
    </row>
    <row r="3368" spans="2:2" ht="15.6">
      <c r="B3368" s="159"/>
    </row>
    <row r="3369" spans="2:2" ht="15.6">
      <c r="B3369" s="159"/>
    </row>
    <row r="3370" spans="2:2" ht="15.6">
      <c r="B3370" s="159"/>
    </row>
    <row r="3371" spans="2:2" ht="15.6">
      <c r="B3371" s="159"/>
    </row>
    <row r="3372" spans="2:2" ht="15.6">
      <c r="B3372" s="159"/>
    </row>
    <row r="3373" spans="2:2" ht="15.6">
      <c r="B3373" s="159"/>
    </row>
    <row r="3374" spans="2:2" ht="15.6">
      <c r="B3374" s="159"/>
    </row>
    <row r="3375" spans="2:2" ht="15.6">
      <c r="B3375" s="159"/>
    </row>
    <row r="3376" spans="2:2" ht="15.6">
      <c r="B3376" s="159"/>
    </row>
    <row r="3377" spans="2:2" ht="15.6">
      <c r="B3377" s="159"/>
    </row>
    <row r="3378" spans="2:2" ht="15.6">
      <c r="B3378" s="159"/>
    </row>
    <row r="3379" spans="2:2" ht="15.6">
      <c r="B3379" s="159"/>
    </row>
    <row r="3380" spans="2:2" ht="15.6">
      <c r="B3380" s="159"/>
    </row>
    <row r="3381" spans="2:2" ht="15.6">
      <c r="B3381" s="159"/>
    </row>
    <row r="3382" spans="2:2" ht="15.6">
      <c r="B3382" s="159"/>
    </row>
    <row r="3383" spans="2:2" ht="15.6">
      <c r="B3383" s="159"/>
    </row>
    <row r="3384" spans="2:2" ht="15.6">
      <c r="B3384" s="159"/>
    </row>
    <row r="3385" spans="2:2" ht="15.6">
      <c r="B3385" s="159"/>
    </row>
    <row r="3386" spans="2:2" ht="15.6">
      <c r="B3386" s="159"/>
    </row>
    <row r="3387" spans="2:2" ht="15.6">
      <c r="B3387" s="159"/>
    </row>
    <row r="3388" spans="2:2" ht="15.6">
      <c r="B3388" s="159"/>
    </row>
    <row r="3389" spans="2:2" ht="15.6">
      <c r="B3389" s="159"/>
    </row>
    <row r="3390" spans="2:2" ht="15.6">
      <c r="B3390" s="159"/>
    </row>
    <row r="3391" spans="2:2" ht="15.6">
      <c r="B3391" s="159"/>
    </row>
    <row r="3392" spans="2:2" ht="15.6">
      <c r="B3392" s="159"/>
    </row>
    <row r="3393" spans="2:2" ht="15.6">
      <c r="B3393" s="159"/>
    </row>
    <row r="3394" spans="2:2" ht="15.6">
      <c r="B3394" s="159"/>
    </row>
    <row r="3395" spans="2:2" ht="15.6">
      <c r="B3395" s="159"/>
    </row>
    <row r="3396" spans="2:2" ht="15.6">
      <c r="B3396" s="159"/>
    </row>
    <row r="3397" spans="2:2" ht="15.6">
      <c r="B3397" s="159"/>
    </row>
    <row r="3398" spans="2:2" ht="15.6">
      <c r="B3398" s="159"/>
    </row>
    <row r="3399" spans="2:2" ht="15.6">
      <c r="B3399" s="159"/>
    </row>
    <row r="3400" spans="2:2" ht="15.6">
      <c r="B3400" s="159"/>
    </row>
    <row r="3401" spans="2:2" ht="15.6">
      <c r="B3401" s="159"/>
    </row>
    <row r="3402" spans="2:2" ht="15.6">
      <c r="B3402" s="159"/>
    </row>
    <row r="3403" spans="2:2" ht="15.6">
      <c r="B3403" s="159"/>
    </row>
    <row r="3404" spans="2:2" ht="15.6">
      <c r="B3404" s="159"/>
    </row>
    <row r="3405" spans="2:2" ht="15.6">
      <c r="B3405" s="159"/>
    </row>
    <row r="3406" spans="2:2" ht="15.6">
      <c r="B3406" s="159"/>
    </row>
    <row r="3407" spans="2:2" ht="15.6">
      <c r="B3407" s="159"/>
    </row>
    <row r="3408" spans="2:2" ht="15.6">
      <c r="B3408" s="159"/>
    </row>
    <row r="3409" spans="2:2" ht="15.6">
      <c r="B3409" s="159"/>
    </row>
    <row r="3410" spans="2:2" ht="15.6">
      <c r="B3410" s="159"/>
    </row>
    <row r="3411" spans="2:2" ht="15.6">
      <c r="B3411" s="159"/>
    </row>
    <row r="3412" spans="2:2" ht="15.6">
      <c r="B3412" s="159"/>
    </row>
    <row r="3413" spans="2:2" ht="15.6">
      <c r="B3413" s="159"/>
    </row>
    <row r="3414" spans="2:2" ht="15.6">
      <c r="B3414" s="159"/>
    </row>
    <row r="3415" spans="2:2" ht="15.6">
      <c r="B3415" s="159"/>
    </row>
    <row r="3416" spans="2:2" ht="15.6">
      <c r="B3416" s="159"/>
    </row>
    <row r="3417" spans="2:2" ht="15.6">
      <c r="B3417" s="159"/>
    </row>
    <row r="3418" spans="2:2" ht="15.6">
      <c r="B3418" s="159"/>
    </row>
    <row r="3419" spans="2:2" ht="15.6">
      <c r="B3419" s="159"/>
    </row>
    <row r="3420" spans="2:2" ht="15.6">
      <c r="B3420" s="159"/>
    </row>
    <row r="3421" spans="2:2" ht="15.6">
      <c r="B3421" s="159"/>
    </row>
    <row r="3422" spans="2:2" ht="15.6">
      <c r="B3422" s="159"/>
    </row>
    <row r="3423" spans="2:2" ht="15.6">
      <c r="B3423" s="159"/>
    </row>
    <row r="3424" spans="2:2" ht="15.6">
      <c r="B3424" s="159"/>
    </row>
    <row r="3425" spans="2:2" ht="15.6">
      <c r="B3425" s="159"/>
    </row>
    <row r="3426" spans="2:2" ht="15.6">
      <c r="B3426" s="159"/>
    </row>
    <row r="3427" spans="2:2" ht="15.6">
      <c r="B3427" s="159"/>
    </row>
    <row r="3428" spans="2:2" ht="15.6">
      <c r="B3428" s="159"/>
    </row>
    <row r="3429" spans="2:2" ht="15.6">
      <c r="B3429" s="159"/>
    </row>
    <row r="3430" spans="2:2" ht="15.6">
      <c r="B3430" s="159"/>
    </row>
    <row r="3431" spans="2:2" ht="15.6">
      <c r="B3431" s="159"/>
    </row>
    <row r="3432" spans="2:2" ht="15.6">
      <c r="B3432" s="159"/>
    </row>
    <row r="3433" spans="2:2" ht="15.6">
      <c r="B3433" s="159"/>
    </row>
    <row r="3434" spans="2:2" ht="15.6">
      <c r="B3434" s="159"/>
    </row>
    <row r="3435" spans="2:2" ht="15.6">
      <c r="B3435" s="159"/>
    </row>
    <row r="3436" spans="2:2" ht="15.6">
      <c r="B3436" s="159"/>
    </row>
    <row r="3437" spans="2:2" ht="15.6">
      <c r="B3437" s="159"/>
    </row>
    <row r="3438" spans="2:2" ht="15.6">
      <c r="B3438" s="159"/>
    </row>
    <row r="3439" spans="2:2" ht="15.6">
      <c r="B3439" s="159"/>
    </row>
    <row r="3440" spans="2:2" ht="15.6">
      <c r="B3440" s="159"/>
    </row>
    <row r="3441" spans="2:2" ht="15.6">
      <c r="B3441" s="159"/>
    </row>
    <row r="3442" spans="2:2" ht="15.6">
      <c r="B3442" s="159"/>
    </row>
    <row r="3443" spans="2:2" ht="15.6">
      <c r="B3443" s="159"/>
    </row>
    <row r="3444" spans="2:2" ht="15.6">
      <c r="B3444" s="159"/>
    </row>
    <row r="3445" spans="2:2" ht="15.6">
      <c r="B3445" s="159"/>
    </row>
    <row r="3446" spans="2:2" ht="15.6">
      <c r="B3446" s="159"/>
    </row>
    <row r="3447" spans="2:2" ht="15.6">
      <c r="B3447" s="159"/>
    </row>
    <row r="3448" spans="2:2" ht="15.6">
      <c r="B3448" s="159"/>
    </row>
    <row r="3449" spans="2:2" ht="15.6">
      <c r="B3449" s="159"/>
    </row>
    <row r="3450" spans="2:2" ht="15.6">
      <c r="B3450" s="159"/>
    </row>
    <row r="3451" spans="2:2" ht="15.6">
      <c r="B3451" s="159"/>
    </row>
    <row r="3452" spans="2:2" ht="15.6">
      <c r="B3452" s="159"/>
    </row>
    <row r="3453" spans="2:2" ht="15.6">
      <c r="B3453" s="159"/>
    </row>
    <row r="3454" spans="2:2" ht="15.6">
      <c r="B3454" s="159"/>
    </row>
    <row r="3455" spans="2:2" ht="15.6">
      <c r="B3455" s="159"/>
    </row>
    <row r="3456" spans="2:2" ht="15.6">
      <c r="B3456" s="159"/>
    </row>
    <row r="3457" spans="2:2" ht="15.6">
      <c r="B3457" s="159"/>
    </row>
    <row r="3458" spans="2:2" ht="15.6">
      <c r="B3458" s="159"/>
    </row>
    <row r="3459" spans="2:2" ht="15.6">
      <c r="B3459" s="159"/>
    </row>
    <row r="3460" spans="2:2" ht="15.6">
      <c r="B3460" s="159"/>
    </row>
    <row r="3461" spans="2:2" ht="15.6">
      <c r="B3461" s="159"/>
    </row>
    <row r="3462" spans="2:2" ht="15.6">
      <c r="B3462" s="159"/>
    </row>
    <row r="3463" spans="2:2" ht="15.6">
      <c r="B3463" s="159"/>
    </row>
    <row r="3464" spans="2:2" ht="15.6">
      <c r="B3464" s="159"/>
    </row>
    <row r="3465" spans="2:2" ht="15.6">
      <c r="B3465" s="159"/>
    </row>
    <row r="3466" spans="2:2" ht="15.6">
      <c r="B3466" s="159"/>
    </row>
    <row r="3467" spans="2:2" ht="15.6">
      <c r="B3467" s="159"/>
    </row>
    <row r="3468" spans="2:2" ht="15.6">
      <c r="B3468" s="159"/>
    </row>
    <row r="3469" spans="2:2" ht="15.6">
      <c r="B3469" s="159"/>
    </row>
    <row r="3470" spans="2:2" ht="15.6">
      <c r="B3470" s="159"/>
    </row>
    <row r="3471" spans="2:2" ht="15.6">
      <c r="B3471" s="159"/>
    </row>
    <row r="3472" spans="2:2" ht="15.6">
      <c r="B3472" s="159"/>
    </row>
    <row r="3473" spans="2:2" ht="15.6">
      <c r="B3473" s="159"/>
    </row>
    <row r="3474" spans="2:2" ht="15.6">
      <c r="B3474" s="159"/>
    </row>
    <row r="3475" spans="2:2" ht="15.6">
      <c r="B3475" s="159"/>
    </row>
    <row r="3476" spans="2:2" ht="15.6">
      <c r="B3476" s="159"/>
    </row>
    <row r="3477" spans="2:2" ht="15.6">
      <c r="B3477" s="159"/>
    </row>
    <row r="3478" spans="2:2" ht="15.6">
      <c r="B3478" s="159"/>
    </row>
    <row r="3479" spans="2:2" ht="15.6">
      <c r="B3479" s="159"/>
    </row>
    <row r="3480" spans="2:2" ht="15.6">
      <c r="B3480" s="159"/>
    </row>
    <row r="3481" spans="2:2" ht="15.6">
      <c r="B3481" s="159"/>
    </row>
    <row r="3482" spans="2:2" ht="15.6">
      <c r="B3482" s="159"/>
    </row>
    <row r="3483" spans="2:2" ht="15.6">
      <c r="B3483" s="159"/>
    </row>
    <row r="3484" spans="2:2" ht="15.6">
      <c r="B3484" s="159"/>
    </row>
    <row r="3485" spans="2:2" ht="15.6">
      <c r="B3485" s="159"/>
    </row>
    <row r="3486" spans="2:2" ht="15.6">
      <c r="B3486" s="159"/>
    </row>
    <row r="3487" spans="2:2" ht="15.6">
      <c r="B3487" s="159"/>
    </row>
    <row r="3488" spans="2:2" ht="15.6">
      <c r="B3488" s="159"/>
    </row>
    <row r="3489" spans="2:2" ht="15.6">
      <c r="B3489" s="159"/>
    </row>
    <row r="3490" spans="2:2" ht="15.6">
      <c r="B3490" s="159"/>
    </row>
    <row r="3491" spans="2:2" ht="15.6">
      <c r="B3491" s="159"/>
    </row>
    <row r="3492" spans="2:2" ht="15.6">
      <c r="B3492" s="159"/>
    </row>
    <row r="3493" spans="2:2" ht="15.6">
      <c r="B3493" s="159"/>
    </row>
    <row r="3494" spans="2:2" ht="15.6">
      <c r="B3494" s="159"/>
    </row>
    <row r="3495" spans="2:2" ht="15.6">
      <c r="B3495" s="159"/>
    </row>
    <row r="3496" spans="2:2" ht="15.6">
      <c r="B3496" s="159"/>
    </row>
    <row r="3497" spans="2:2" ht="15.6">
      <c r="B3497" s="159"/>
    </row>
    <row r="3498" spans="2:2" ht="15.6">
      <c r="B3498" s="159"/>
    </row>
    <row r="3499" spans="2:2" ht="15.6">
      <c r="B3499" s="159"/>
    </row>
    <row r="3500" spans="2:2" ht="15.6">
      <c r="B3500" s="159"/>
    </row>
    <row r="3501" spans="2:2" ht="15.6">
      <c r="B3501" s="159"/>
    </row>
    <row r="3502" spans="2:2" ht="15.6">
      <c r="B3502" s="159"/>
    </row>
    <row r="3503" spans="2:2" ht="15.6">
      <c r="B3503" s="159"/>
    </row>
    <row r="3504" spans="2:2" ht="15.6">
      <c r="B3504" s="159"/>
    </row>
    <row r="3505" spans="2:2" ht="15.6">
      <c r="B3505" s="159"/>
    </row>
    <row r="3506" spans="2:2" ht="15.6">
      <c r="B3506" s="159"/>
    </row>
    <row r="3507" spans="2:2" ht="15.6">
      <c r="B3507" s="159"/>
    </row>
    <row r="3508" spans="2:2" ht="15.6">
      <c r="B3508" s="159"/>
    </row>
    <row r="3509" spans="2:2" ht="15.6">
      <c r="B3509" s="159"/>
    </row>
    <row r="3510" spans="2:2" ht="15.6">
      <c r="B3510" s="159"/>
    </row>
    <row r="3511" spans="2:2" ht="15.6">
      <c r="B3511" s="159"/>
    </row>
    <row r="3512" spans="2:2" ht="15.6">
      <c r="B3512" s="159"/>
    </row>
    <row r="3513" spans="2:2" ht="15.6">
      <c r="B3513" s="159"/>
    </row>
    <row r="3514" spans="2:2" ht="15.6">
      <c r="B3514" s="159"/>
    </row>
    <row r="3515" spans="2:2" ht="15.6">
      <c r="B3515" s="159"/>
    </row>
    <row r="3516" spans="2:2" ht="15.6">
      <c r="B3516" s="159"/>
    </row>
    <row r="3517" spans="2:2" ht="15.6">
      <c r="B3517" s="159"/>
    </row>
    <row r="3518" spans="2:2" ht="15.6">
      <c r="B3518" s="159"/>
    </row>
    <row r="3519" spans="2:2" ht="15.6">
      <c r="B3519" s="159"/>
    </row>
    <row r="3520" spans="2:2" ht="15.6">
      <c r="B3520" s="159"/>
    </row>
    <row r="3521" spans="2:2" ht="15.6">
      <c r="B3521" s="159"/>
    </row>
    <row r="3522" spans="2:2" ht="15.6">
      <c r="B3522" s="159"/>
    </row>
    <row r="3523" spans="2:2" ht="15.6">
      <c r="B3523" s="159"/>
    </row>
    <row r="3524" spans="2:2" ht="15.6">
      <c r="B3524" s="159"/>
    </row>
    <row r="3525" spans="2:2" ht="15.6">
      <c r="B3525" s="159"/>
    </row>
    <row r="3526" spans="2:2" ht="15.6">
      <c r="B3526" s="159"/>
    </row>
    <row r="3527" spans="2:2" ht="15.6">
      <c r="B3527" s="159"/>
    </row>
    <row r="3528" spans="2:2" ht="15.6">
      <c r="B3528" s="159"/>
    </row>
    <row r="3529" spans="2:2" ht="15.6">
      <c r="B3529" s="159"/>
    </row>
    <row r="3530" spans="2:2" ht="15.6">
      <c r="B3530" s="159"/>
    </row>
    <row r="3531" spans="2:2" ht="15.6">
      <c r="B3531" s="159"/>
    </row>
    <row r="3532" spans="2:2" ht="15.6">
      <c r="B3532" s="159"/>
    </row>
    <row r="3533" spans="2:2" ht="15.6">
      <c r="B3533" s="159"/>
    </row>
    <row r="3534" spans="2:2" ht="15.6">
      <c r="B3534" s="159"/>
    </row>
    <row r="3535" spans="2:2" ht="15.6">
      <c r="B3535" s="159"/>
    </row>
    <row r="3536" spans="2:2" ht="15.6">
      <c r="B3536" s="159"/>
    </row>
    <row r="3537" spans="2:2" ht="15.6">
      <c r="B3537" s="159"/>
    </row>
    <row r="3538" spans="2:2" ht="15.6">
      <c r="B3538" s="159"/>
    </row>
    <row r="3539" spans="2:2" ht="15.6">
      <c r="B3539" s="159"/>
    </row>
    <row r="3540" spans="2:2" ht="15.6">
      <c r="B3540" s="159"/>
    </row>
    <row r="3541" spans="2:2" ht="15.6">
      <c r="B3541" s="159"/>
    </row>
    <row r="3542" spans="2:2" ht="15.6">
      <c r="B3542" s="159"/>
    </row>
    <row r="3543" spans="2:2" ht="15.6">
      <c r="B3543" s="159"/>
    </row>
    <row r="3544" spans="2:2" ht="15.6">
      <c r="B3544" s="159"/>
    </row>
    <row r="3545" spans="2:2" ht="15.6">
      <c r="B3545" s="159"/>
    </row>
    <row r="3546" spans="2:2" ht="15.6">
      <c r="B3546" s="159"/>
    </row>
    <row r="3547" spans="2:2" ht="15.6">
      <c r="B3547" s="159"/>
    </row>
    <row r="3548" spans="2:2" ht="15.6">
      <c r="B3548" s="159"/>
    </row>
    <row r="3549" spans="2:2" ht="15.6">
      <c r="B3549" s="159"/>
    </row>
    <row r="3550" spans="2:2" ht="15.6">
      <c r="B3550" s="159"/>
    </row>
    <row r="3551" spans="2:2" ht="15.6">
      <c r="B3551" s="159"/>
    </row>
    <row r="3552" spans="2:2" ht="15.6">
      <c r="B3552" s="159"/>
    </row>
    <row r="3553" spans="2:2" ht="15.6">
      <c r="B3553" s="159"/>
    </row>
    <row r="3554" spans="2:2" ht="15.6">
      <c r="B3554" s="159"/>
    </row>
    <row r="3555" spans="2:2" ht="15.6">
      <c r="B3555" s="159"/>
    </row>
    <row r="3556" spans="2:2" ht="15.6">
      <c r="B3556" s="159"/>
    </row>
    <row r="3557" spans="2:2" ht="15.6">
      <c r="B3557" s="159"/>
    </row>
    <row r="3558" spans="2:2" ht="15.6">
      <c r="B3558" s="159"/>
    </row>
    <row r="3559" spans="2:2" ht="15.6">
      <c r="B3559" s="159"/>
    </row>
    <row r="3560" spans="2:2" ht="15.6">
      <c r="B3560" s="159"/>
    </row>
    <row r="3561" spans="2:2" ht="15.6">
      <c r="B3561" s="159"/>
    </row>
    <row r="3562" spans="2:2" ht="15.6">
      <c r="B3562" s="159"/>
    </row>
    <row r="3563" spans="2:2" ht="15.6">
      <c r="B3563" s="159"/>
    </row>
    <row r="3564" spans="2:2" ht="15.6">
      <c r="B3564" s="159"/>
    </row>
    <row r="3565" spans="2:2" ht="15.6">
      <c r="B3565" s="159"/>
    </row>
    <row r="3566" spans="2:2" ht="15.6">
      <c r="B3566" s="159"/>
    </row>
    <row r="3567" spans="2:2" ht="15.6">
      <c r="B3567" s="159"/>
    </row>
    <row r="3568" spans="2:2" ht="15.6">
      <c r="B3568" s="159"/>
    </row>
    <row r="3569" spans="2:2" ht="15.6">
      <c r="B3569" s="159"/>
    </row>
    <row r="3570" spans="2:2" ht="15.6">
      <c r="B3570" s="159"/>
    </row>
    <row r="3571" spans="2:2" ht="15.6">
      <c r="B3571" s="159"/>
    </row>
    <row r="3572" spans="2:2" ht="15.6">
      <c r="B3572" s="159"/>
    </row>
    <row r="3573" spans="2:2" ht="15.6">
      <c r="B3573" s="159"/>
    </row>
    <row r="3574" spans="2:2" ht="15.6">
      <c r="B3574" s="159"/>
    </row>
    <row r="3575" spans="2:2" ht="15.6">
      <c r="B3575" s="159"/>
    </row>
    <row r="3576" spans="2:2" ht="15.6">
      <c r="B3576" s="159"/>
    </row>
    <row r="3577" spans="2:2" ht="15.6">
      <c r="B3577" s="159"/>
    </row>
    <row r="3578" spans="2:2" ht="15.6">
      <c r="B3578" s="159"/>
    </row>
    <row r="3579" spans="2:2" ht="15.6">
      <c r="B3579" s="159"/>
    </row>
    <row r="3580" spans="2:2" ht="15.6">
      <c r="B3580" s="159"/>
    </row>
    <row r="3581" spans="2:2" ht="15.6">
      <c r="B3581" s="159"/>
    </row>
    <row r="3582" spans="2:2" ht="15.6">
      <c r="B3582" s="159"/>
    </row>
    <row r="3583" spans="2:2" ht="15.6">
      <c r="B3583" s="159"/>
    </row>
    <row r="3584" spans="2:2" ht="15.6">
      <c r="B3584" s="159"/>
    </row>
    <row r="3585" spans="2:2" ht="15.6">
      <c r="B3585" s="159"/>
    </row>
    <row r="3586" spans="2:2" ht="15.6">
      <c r="B3586" s="159"/>
    </row>
    <row r="3587" spans="2:2" ht="15.6">
      <c r="B3587" s="159"/>
    </row>
    <row r="3588" spans="2:2" ht="15.6">
      <c r="B3588" s="159"/>
    </row>
    <row r="3589" spans="2:2" ht="15.6">
      <c r="B3589" s="159"/>
    </row>
    <row r="3590" spans="2:2" ht="15.6">
      <c r="B3590" s="159"/>
    </row>
    <row r="3591" spans="2:2" ht="15.6">
      <c r="B3591" s="159"/>
    </row>
    <row r="3592" spans="2:2" ht="15.6">
      <c r="B3592" s="159"/>
    </row>
    <row r="3593" spans="2:2" ht="15.6">
      <c r="B3593" s="159"/>
    </row>
    <row r="3594" spans="2:2" ht="15.6">
      <c r="B3594" s="159"/>
    </row>
    <row r="3595" spans="2:2" ht="15.6">
      <c r="B3595" s="159"/>
    </row>
    <row r="3596" spans="2:2" ht="15.6">
      <c r="B3596" s="159"/>
    </row>
    <row r="3597" spans="2:2" ht="15.6">
      <c r="B3597" s="159"/>
    </row>
    <row r="3598" spans="2:2" ht="15.6">
      <c r="B3598" s="159"/>
    </row>
    <row r="3599" spans="2:2" ht="15.6">
      <c r="B3599" s="159"/>
    </row>
    <row r="3600" spans="2:2" ht="15.6">
      <c r="B3600" s="159"/>
    </row>
    <row r="3601" spans="2:2" ht="15.6">
      <c r="B3601" s="159"/>
    </row>
    <row r="3602" spans="2:2" ht="15.6">
      <c r="B3602" s="159"/>
    </row>
    <row r="3603" spans="2:2" ht="15.6">
      <c r="B3603" s="159"/>
    </row>
    <row r="3604" spans="2:2" ht="15.6">
      <c r="B3604" s="159"/>
    </row>
    <row r="3605" spans="2:2" ht="15.6">
      <c r="B3605" s="159"/>
    </row>
    <row r="3606" spans="2:2" ht="15.6">
      <c r="B3606" s="159"/>
    </row>
    <row r="3607" spans="2:2" ht="15.6">
      <c r="B3607" s="159"/>
    </row>
    <row r="3608" spans="2:2" ht="15.6">
      <c r="B3608" s="159"/>
    </row>
    <row r="3609" spans="2:2" ht="15.6">
      <c r="B3609" s="159"/>
    </row>
    <row r="3610" spans="2:2" ht="15.6">
      <c r="B3610" s="159"/>
    </row>
    <row r="3611" spans="2:2" ht="15.6">
      <c r="B3611" s="159"/>
    </row>
    <row r="3612" spans="2:2" ht="15.6">
      <c r="B3612" s="159"/>
    </row>
    <row r="3613" spans="2:2" ht="15.6">
      <c r="B3613" s="159"/>
    </row>
    <row r="3614" spans="2:2" ht="15.6">
      <c r="B3614" s="159"/>
    </row>
    <row r="3615" spans="2:2" ht="15.6">
      <c r="B3615" s="159"/>
    </row>
    <row r="3616" spans="2:2" ht="15.6">
      <c r="B3616" s="159"/>
    </row>
    <row r="3617" spans="2:2" ht="15.6">
      <c r="B3617" s="159"/>
    </row>
    <row r="3618" spans="2:2" ht="15.6">
      <c r="B3618" s="159"/>
    </row>
    <row r="3619" spans="2:2" ht="15.6">
      <c r="B3619" s="159"/>
    </row>
    <row r="3620" spans="2:2" ht="15.6">
      <c r="B3620" s="159"/>
    </row>
    <row r="3621" spans="2:2" ht="15.6">
      <c r="B3621" s="159"/>
    </row>
    <row r="3622" spans="2:2" ht="15.6">
      <c r="B3622" s="159"/>
    </row>
    <row r="3623" spans="2:2" ht="15.6">
      <c r="B3623" s="159"/>
    </row>
    <row r="3624" spans="2:2" ht="15.6">
      <c r="B3624" s="159"/>
    </row>
    <row r="3625" spans="2:2" ht="15.6">
      <c r="B3625" s="159"/>
    </row>
    <row r="3626" spans="2:2" ht="15.6">
      <c r="B3626" s="159"/>
    </row>
    <row r="3627" spans="2:2" ht="15.6">
      <c r="B3627" s="159"/>
    </row>
    <row r="3628" spans="2:2" ht="15.6">
      <c r="B3628" s="159"/>
    </row>
    <row r="3629" spans="2:2" ht="15.6">
      <c r="B3629" s="159"/>
    </row>
    <row r="3630" spans="2:2" ht="15.6">
      <c r="B3630" s="159"/>
    </row>
    <row r="3631" spans="2:2" ht="15.6">
      <c r="B3631" s="159"/>
    </row>
    <row r="3632" spans="2:2" ht="15.6">
      <c r="B3632" s="159"/>
    </row>
    <row r="3633" spans="2:2" ht="15.6">
      <c r="B3633" s="159"/>
    </row>
    <row r="3634" spans="2:2" ht="15.6">
      <c r="B3634" s="159"/>
    </row>
    <row r="3635" spans="2:2" ht="15.6">
      <c r="B3635" s="159"/>
    </row>
    <row r="3636" spans="2:2" ht="15.6">
      <c r="B3636" s="159"/>
    </row>
    <row r="3637" spans="2:2" ht="15.6">
      <c r="B3637" s="159"/>
    </row>
    <row r="3638" spans="2:2" ht="15.6">
      <c r="B3638" s="159"/>
    </row>
    <row r="3639" spans="2:2" ht="15.6">
      <c r="B3639" s="159"/>
    </row>
    <row r="3640" spans="2:2" ht="15.6">
      <c r="B3640" s="159"/>
    </row>
    <row r="3641" spans="2:2" ht="15.6">
      <c r="B3641" s="159"/>
    </row>
    <row r="3642" spans="2:2" ht="15.6">
      <c r="B3642" s="159"/>
    </row>
    <row r="3643" spans="2:2" ht="15.6">
      <c r="B3643" s="159"/>
    </row>
    <row r="3644" spans="2:2" ht="15.6">
      <c r="B3644" s="159"/>
    </row>
    <row r="3645" spans="2:2" ht="15.6">
      <c r="B3645" s="159"/>
    </row>
    <row r="3646" spans="2:2" ht="15.6">
      <c r="B3646" s="159"/>
    </row>
    <row r="3647" spans="2:2" ht="15.6">
      <c r="B3647" s="159"/>
    </row>
    <row r="3648" spans="2:2" ht="15.6">
      <c r="B3648" s="159"/>
    </row>
    <row r="3649" spans="2:2" ht="15.6">
      <c r="B3649" s="159"/>
    </row>
    <row r="3650" spans="2:2" ht="15.6">
      <c r="B3650" s="159"/>
    </row>
    <row r="3651" spans="2:2" ht="15.6">
      <c r="B3651" s="159"/>
    </row>
    <row r="3652" spans="2:2" ht="15.6">
      <c r="B3652" s="159"/>
    </row>
    <row r="3653" spans="2:2" ht="15.6">
      <c r="B3653" s="159"/>
    </row>
    <row r="3654" spans="2:2" ht="15.6">
      <c r="B3654" s="159"/>
    </row>
    <row r="3655" spans="2:2" ht="15.6">
      <c r="B3655" s="159"/>
    </row>
    <row r="3656" spans="2:2" ht="15.6">
      <c r="B3656" s="159"/>
    </row>
    <row r="3657" spans="2:2" ht="15.6">
      <c r="B3657" s="159"/>
    </row>
    <row r="3658" spans="2:2" ht="15.6">
      <c r="B3658" s="159"/>
    </row>
    <row r="3659" spans="2:2" ht="15.6">
      <c r="B3659" s="159"/>
    </row>
    <row r="3660" spans="2:2" ht="15.6">
      <c r="B3660" s="159"/>
    </row>
    <row r="3661" spans="2:2" ht="15.6">
      <c r="B3661" s="159"/>
    </row>
    <row r="3662" spans="2:2" ht="15.6">
      <c r="B3662" s="159"/>
    </row>
    <row r="3663" spans="2:2" ht="15.6">
      <c r="B3663" s="159"/>
    </row>
    <row r="3664" spans="2:2" ht="15.6">
      <c r="B3664" s="159"/>
    </row>
    <row r="3665" spans="2:2" ht="15.6">
      <c r="B3665" s="159"/>
    </row>
    <row r="3666" spans="2:2" ht="15.6">
      <c r="B3666" s="159"/>
    </row>
    <row r="3667" spans="2:2" ht="15.6">
      <c r="B3667" s="159"/>
    </row>
    <row r="3668" spans="2:2" ht="15.6">
      <c r="B3668" s="159"/>
    </row>
    <row r="3669" spans="2:2" ht="15.6">
      <c r="B3669" s="159"/>
    </row>
    <row r="3670" spans="2:2" ht="15.6">
      <c r="B3670" s="159"/>
    </row>
    <row r="3671" spans="2:2" ht="15.6">
      <c r="B3671" s="159"/>
    </row>
    <row r="3672" spans="2:2" ht="15.6">
      <c r="B3672" s="159"/>
    </row>
    <row r="3673" spans="2:2" ht="15.6">
      <c r="B3673" s="159"/>
    </row>
    <row r="3674" spans="2:2" ht="15.6">
      <c r="B3674" s="159"/>
    </row>
    <row r="3675" spans="2:2" ht="15.6">
      <c r="B3675" s="159"/>
    </row>
    <row r="3676" spans="2:2" ht="15.6">
      <c r="B3676" s="159"/>
    </row>
    <row r="3677" spans="2:2" ht="15.6">
      <c r="B3677" s="159"/>
    </row>
    <row r="3678" spans="2:2" ht="15.6">
      <c r="B3678" s="159"/>
    </row>
    <row r="3679" spans="2:2" ht="15.6">
      <c r="B3679" s="159"/>
    </row>
    <row r="3680" spans="2:2" ht="15.6">
      <c r="B3680" s="159"/>
    </row>
    <row r="3681" spans="2:2" ht="15.6">
      <c r="B3681" s="159"/>
    </row>
    <row r="3682" spans="2:2" ht="15.6">
      <c r="B3682" s="159"/>
    </row>
    <row r="3683" spans="2:2" ht="15.6">
      <c r="B3683" s="159"/>
    </row>
    <row r="3684" spans="2:2" ht="15.6">
      <c r="B3684" s="159"/>
    </row>
    <row r="3685" spans="2:2" ht="15.6">
      <c r="B3685" s="159"/>
    </row>
    <row r="3686" spans="2:2" ht="15.6">
      <c r="B3686" s="159"/>
    </row>
    <row r="3687" spans="2:2" ht="15.6">
      <c r="B3687" s="159"/>
    </row>
    <row r="3688" spans="2:2" ht="15.6">
      <c r="B3688" s="159"/>
    </row>
    <row r="3689" spans="2:2" ht="15.6">
      <c r="B3689" s="159"/>
    </row>
    <row r="3690" spans="2:2" ht="15.6">
      <c r="B3690" s="159"/>
    </row>
    <row r="3691" spans="2:2" ht="15.6">
      <c r="B3691" s="159"/>
    </row>
    <row r="3692" spans="2:2" ht="15.6">
      <c r="B3692" s="159"/>
    </row>
    <row r="3693" spans="2:2" ht="15.6">
      <c r="B3693" s="159"/>
    </row>
    <row r="3694" spans="2:2" ht="15.6">
      <c r="B3694" s="159"/>
    </row>
    <row r="3695" spans="2:2" ht="15.6">
      <c r="B3695" s="159"/>
    </row>
    <row r="3696" spans="2:2" ht="15.6">
      <c r="B3696" s="159"/>
    </row>
    <row r="3697" spans="2:2" ht="15.6">
      <c r="B3697" s="159"/>
    </row>
    <row r="3698" spans="2:2" ht="15.6">
      <c r="B3698" s="159"/>
    </row>
    <row r="3699" spans="2:2" ht="15.6">
      <c r="B3699" s="159"/>
    </row>
    <row r="3700" spans="2:2" ht="15.6">
      <c r="B3700" s="159"/>
    </row>
    <row r="3701" spans="2:2" ht="15.6">
      <c r="B3701" s="159"/>
    </row>
    <row r="3702" spans="2:2" ht="15.6">
      <c r="B3702" s="159"/>
    </row>
    <row r="3703" spans="2:2" ht="15.6">
      <c r="B3703" s="159"/>
    </row>
    <row r="3704" spans="2:2" ht="15.6">
      <c r="B3704" s="159"/>
    </row>
    <row r="3705" spans="2:2" ht="15.6">
      <c r="B3705" s="159"/>
    </row>
    <row r="3706" spans="2:2" ht="15.6">
      <c r="B3706" s="159"/>
    </row>
    <row r="3707" spans="2:2" ht="15.6">
      <c r="B3707" s="159"/>
    </row>
    <row r="3708" spans="2:2" ht="15.6">
      <c r="B3708" s="159"/>
    </row>
    <row r="3709" spans="2:2" ht="15.6">
      <c r="B3709" s="159"/>
    </row>
    <row r="3710" spans="2:2" ht="15.6">
      <c r="B3710" s="159"/>
    </row>
    <row r="3711" spans="2:2" ht="15.6">
      <c r="B3711" s="159"/>
    </row>
    <row r="3712" spans="2:2" ht="15.6">
      <c r="B3712" s="159"/>
    </row>
    <row r="3713" spans="2:2" ht="15.6">
      <c r="B3713" s="159"/>
    </row>
    <row r="3714" spans="2:2" ht="15.6">
      <c r="B3714" s="159"/>
    </row>
    <row r="3715" spans="2:2" ht="15.6">
      <c r="B3715" s="159"/>
    </row>
    <row r="3716" spans="2:2" ht="15.6">
      <c r="B3716" s="159"/>
    </row>
    <row r="3717" spans="2:2" ht="15.6">
      <c r="B3717" s="159"/>
    </row>
    <row r="3718" spans="2:2" ht="15.6">
      <c r="B3718" s="159"/>
    </row>
    <row r="3719" spans="2:2" ht="15.6">
      <c r="B3719" s="159"/>
    </row>
    <row r="3720" spans="2:2" ht="15.6">
      <c r="B3720" s="159"/>
    </row>
    <row r="3721" spans="2:2" ht="15.6">
      <c r="B3721" s="159"/>
    </row>
    <row r="3722" spans="2:2" ht="15.6">
      <c r="B3722" s="159"/>
    </row>
    <row r="3723" spans="2:2" ht="15.6">
      <c r="B3723" s="159"/>
    </row>
    <row r="3724" spans="2:2" ht="15.6">
      <c r="B3724" s="159"/>
    </row>
    <row r="3725" spans="2:2" ht="15.6">
      <c r="B3725" s="159"/>
    </row>
    <row r="3726" spans="2:2" ht="15.6">
      <c r="B3726" s="159"/>
    </row>
    <row r="3727" spans="2:2" ht="15.6">
      <c r="B3727" s="159"/>
    </row>
    <row r="3728" spans="2:2" ht="15.6">
      <c r="B3728" s="159"/>
    </row>
    <row r="3729" spans="2:2" ht="15.6">
      <c r="B3729" s="159"/>
    </row>
    <row r="3730" spans="2:2" ht="15.6">
      <c r="B3730" s="159"/>
    </row>
    <row r="3731" spans="2:2" ht="15.6">
      <c r="B3731" s="159"/>
    </row>
    <row r="3732" spans="2:2" ht="15.6">
      <c r="B3732" s="159"/>
    </row>
    <row r="3733" spans="2:2" ht="15.6">
      <c r="B3733" s="159"/>
    </row>
    <row r="3734" spans="2:2" ht="15.6">
      <c r="B3734" s="159"/>
    </row>
    <row r="3735" spans="2:2" ht="15.6">
      <c r="B3735" s="159"/>
    </row>
    <row r="3736" spans="2:2" ht="15.6">
      <c r="B3736" s="159"/>
    </row>
    <row r="3737" spans="2:2" ht="15.6">
      <c r="B3737" s="159"/>
    </row>
    <row r="3738" spans="2:2" ht="15.6">
      <c r="B3738" s="159"/>
    </row>
    <row r="3739" spans="2:2" ht="15.6">
      <c r="B3739" s="159"/>
    </row>
    <row r="3740" spans="2:2" ht="15.6">
      <c r="B3740" s="159"/>
    </row>
    <row r="3741" spans="2:2" ht="15.6">
      <c r="B3741" s="159"/>
    </row>
    <row r="3742" spans="2:2" ht="15.6">
      <c r="B3742" s="159"/>
    </row>
    <row r="3743" spans="2:2" ht="15.6">
      <c r="B3743" s="159"/>
    </row>
    <row r="3744" spans="2:2" ht="15.6">
      <c r="B3744" s="159"/>
    </row>
    <row r="3745" spans="2:2" ht="15.6">
      <c r="B3745" s="159"/>
    </row>
    <row r="3746" spans="2:2" ht="15.6">
      <c r="B3746" s="159"/>
    </row>
    <row r="3747" spans="2:2" ht="15.6">
      <c r="B3747" s="159"/>
    </row>
    <row r="3748" spans="2:2" ht="15.6">
      <c r="B3748" s="159"/>
    </row>
    <row r="3749" spans="2:2" ht="15.6">
      <c r="B3749" s="159"/>
    </row>
    <row r="3750" spans="2:2" ht="15.6">
      <c r="B3750" s="159"/>
    </row>
    <row r="3751" spans="2:2" ht="15.6">
      <c r="B3751" s="159"/>
    </row>
    <row r="3752" spans="2:2" ht="15.6">
      <c r="B3752" s="159"/>
    </row>
    <row r="3753" spans="2:2" ht="15.6">
      <c r="B3753" s="159"/>
    </row>
    <row r="3754" spans="2:2" ht="15.6">
      <c r="B3754" s="159"/>
    </row>
    <row r="3755" spans="2:2" ht="15.6">
      <c r="B3755" s="159"/>
    </row>
    <row r="3756" spans="2:2" ht="15.6">
      <c r="B3756" s="159"/>
    </row>
    <row r="3757" spans="2:2" ht="15.6">
      <c r="B3757" s="159"/>
    </row>
    <row r="3758" spans="2:2" ht="15.6">
      <c r="B3758" s="159"/>
    </row>
    <row r="3759" spans="2:2" ht="15.6">
      <c r="B3759" s="159"/>
    </row>
    <row r="3760" spans="2:2" ht="15.6">
      <c r="B3760" s="159"/>
    </row>
    <row r="3761" spans="2:2" ht="15.6">
      <c r="B3761" s="159"/>
    </row>
    <row r="3762" spans="2:2" ht="15.6">
      <c r="B3762" s="159"/>
    </row>
    <row r="3763" spans="2:2" ht="15.6">
      <c r="B3763" s="159"/>
    </row>
    <row r="3764" spans="2:2" ht="15.6">
      <c r="B3764" s="159"/>
    </row>
    <row r="3765" spans="2:2" ht="15.6">
      <c r="B3765" s="159"/>
    </row>
    <row r="3766" spans="2:2" ht="15.6">
      <c r="B3766" s="159"/>
    </row>
    <row r="3767" spans="2:2" ht="15.6">
      <c r="B3767" s="159"/>
    </row>
    <row r="3768" spans="2:2" ht="15.6">
      <c r="B3768" s="159"/>
    </row>
    <row r="3769" spans="2:2" ht="15.6">
      <c r="B3769" s="159"/>
    </row>
    <row r="3770" spans="2:2" ht="15.6">
      <c r="B3770" s="159"/>
    </row>
    <row r="3771" spans="2:2" ht="15.6">
      <c r="B3771" s="159"/>
    </row>
    <row r="3772" spans="2:2" ht="15.6">
      <c r="B3772" s="159"/>
    </row>
    <row r="3773" spans="2:2" ht="15.6">
      <c r="B3773" s="159"/>
    </row>
    <row r="3774" spans="2:2" ht="15.6">
      <c r="B3774" s="159"/>
    </row>
    <row r="3775" spans="2:2" ht="15.6">
      <c r="B3775" s="159"/>
    </row>
    <row r="3776" spans="2:2" ht="15.6">
      <c r="B3776" s="159"/>
    </row>
    <row r="3777" spans="2:2" ht="15.6">
      <c r="B3777" s="159"/>
    </row>
    <row r="3778" spans="2:2" ht="15.6">
      <c r="B3778" s="159"/>
    </row>
    <row r="3779" spans="2:2" ht="15.6">
      <c r="B3779" s="159"/>
    </row>
    <row r="3780" spans="2:2" ht="15.6">
      <c r="B3780" s="159"/>
    </row>
    <row r="3781" spans="2:2" ht="15.6">
      <c r="B3781" s="159"/>
    </row>
    <row r="3782" spans="2:2" ht="15.6">
      <c r="B3782" s="159"/>
    </row>
    <row r="3783" spans="2:2" ht="15.6">
      <c r="B3783" s="159"/>
    </row>
    <row r="3784" spans="2:2" ht="15.6">
      <c r="B3784" s="159"/>
    </row>
    <row r="3785" spans="2:2" ht="15.6">
      <c r="B3785" s="159"/>
    </row>
    <row r="3786" spans="2:2" ht="15.6">
      <c r="B3786" s="159"/>
    </row>
    <row r="3787" spans="2:2" ht="15.6">
      <c r="B3787" s="159"/>
    </row>
    <row r="3788" spans="2:2" ht="15.6">
      <c r="B3788" s="159"/>
    </row>
    <row r="3789" spans="2:2" ht="15.6">
      <c r="B3789" s="159"/>
    </row>
    <row r="3790" spans="2:2" ht="15.6">
      <c r="B3790" s="159"/>
    </row>
    <row r="3791" spans="2:2" ht="15.6">
      <c r="B3791" s="159"/>
    </row>
    <row r="3792" spans="2:2" ht="15.6">
      <c r="B3792" s="159"/>
    </row>
    <row r="3793" spans="2:2" ht="15.6">
      <c r="B3793" s="159"/>
    </row>
    <row r="3794" spans="2:2" ht="15.6">
      <c r="B3794" s="159"/>
    </row>
    <row r="3795" spans="2:2" ht="15.6">
      <c r="B3795" s="159"/>
    </row>
    <row r="3796" spans="2:2" ht="15.6">
      <c r="B3796" s="159"/>
    </row>
    <row r="3797" spans="2:2" ht="15.6">
      <c r="B3797" s="159"/>
    </row>
    <row r="3798" spans="2:2" ht="15.6">
      <c r="B3798" s="159"/>
    </row>
    <row r="3799" spans="2:2" ht="15.6">
      <c r="B3799" s="159"/>
    </row>
    <row r="3800" spans="2:2" ht="15.6">
      <c r="B3800" s="159"/>
    </row>
    <row r="3801" spans="2:2" ht="15.6">
      <c r="B3801" s="159"/>
    </row>
    <row r="3802" spans="2:2" ht="15.6">
      <c r="B3802" s="159"/>
    </row>
    <row r="3803" spans="2:2" ht="15.6">
      <c r="B3803" s="159"/>
    </row>
    <row r="3804" spans="2:2" ht="15.6">
      <c r="B3804" s="159"/>
    </row>
    <row r="3805" spans="2:2" ht="15.6">
      <c r="B3805" s="159"/>
    </row>
    <row r="3806" spans="2:2" ht="15.6">
      <c r="B3806" s="159"/>
    </row>
    <row r="3807" spans="2:2" ht="15.6">
      <c r="B3807" s="159"/>
    </row>
    <row r="3808" spans="2:2" ht="15.6">
      <c r="B3808" s="159"/>
    </row>
    <row r="3809" spans="2:2" ht="15.6">
      <c r="B3809" s="159"/>
    </row>
    <row r="3810" spans="2:2" ht="15.6">
      <c r="B3810" s="159"/>
    </row>
    <row r="3811" spans="2:2" ht="15.6">
      <c r="B3811" s="159"/>
    </row>
    <row r="3812" spans="2:2" ht="15.6">
      <c r="B3812" s="159"/>
    </row>
    <row r="3813" spans="2:2" ht="15.6">
      <c r="B3813" s="159"/>
    </row>
    <row r="3814" spans="2:2" ht="15.6">
      <c r="B3814" s="159"/>
    </row>
    <row r="3815" spans="2:2" ht="15.6">
      <c r="B3815" s="159"/>
    </row>
    <row r="3816" spans="2:2" ht="15.6">
      <c r="B3816" s="159"/>
    </row>
    <row r="3817" spans="2:2" ht="15.6">
      <c r="B3817" s="159"/>
    </row>
    <row r="3818" spans="2:2" ht="15.6">
      <c r="B3818" s="159"/>
    </row>
    <row r="3819" spans="2:2" ht="15.6">
      <c r="B3819" s="159"/>
    </row>
    <row r="3820" spans="2:2" ht="15.6">
      <c r="B3820" s="159"/>
    </row>
    <row r="3821" spans="2:2" ht="15.6">
      <c r="B3821" s="159"/>
    </row>
    <row r="3822" spans="2:2" ht="15.6">
      <c r="B3822" s="159"/>
    </row>
    <row r="3823" spans="2:2" ht="15.6">
      <c r="B3823" s="159"/>
    </row>
    <row r="3824" spans="2:2" ht="15.6">
      <c r="B3824" s="159"/>
    </row>
    <row r="3825" spans="2:2" ht="15.6">
      <c r="B3825" s="159"/>
    </row>
    <row r="3826" spans="2:2" ht="15.6">
      <c r="B3826" s="159"/>
    </row>
    <row r="3827" spans="2:2" ht="15.6">
      <c r="B3827" s="159"/>
    </row>
    <row r="3828" spans="2:2" ht="15.6">
      <c r="B3828" s="159"/>
    </row>
    <row r="3829" spans="2:2" ht="15.6">
      <c r="B3829" s="159"/>
    </row>
    <row r="3830" spans="2:2" ht="15.6">
      <c r="B3830" s="159"/>
    </row>
    <row r="3831" spans="2:2" ht="15.6">
      <c r="B3831" s="159"/>
    </row>
    <row r="3832" spans="2:2" ht="15.6">
      <c r="B3832" s="159"/>
    </row>
    <row r="3833" spans="2:2" ht="15.6">
      <c r="B3833" s="159"/>
    </row>
    <row r="3834" spans="2:2" ht="15.6">
      <c r="B3834" s="159"/>
    </row>
    <row r="3835" spans="2:2" ht="15.6">
      <c r="B3835" s="159"/>
    </row>
    <row r="3836" spans="2:2" ht="15.6">
      <c r="B3836" s="159"/>
    </row>
    <row r="3837" spans="2:2" ht="15.6">
      <c r="B3837" s="159"/>
    </row>
    <row r="3838" spans="2:2" ht="15.6">
      <c r="B3838" s="159"/>
    </row>
    <row r="3839" spans="2:2" ht="15.6">
      <c r="B3839" s="159"/>
    </row>
    <row r="3840" spans="2:2" ht="15.6">
      <c r="B3840" s="159"/>
    </row>
    <row r="3841" spans="2:2" ht="15.6">
      <c r="B3841" s="159"/>
    </row>
    <row r="3842" spans="2:2" ht="15.6">
      <c r="B3842" s="159"/>
    </row>
    <row r="3843" spans="2:2" ht="15.6">
      <c r="B3843" s="159"/>
    </row>
    <row r="3844" spans="2:2" ht="15.6">
      <c r="B3844" s="159"/>
    </row>
    <row r="3845" spans="2:2" ht="15.6">
      <c r="B3845" s="159"/>
    </row>
    <row r="3846" spans="2:2" ht="15.6">
      <c r="B3846" s="159"/>
    </row>
    <row r="3847" spans="2:2" ht="15.6">
      <c r="B3847" s="159"/>
    </row>
    <row r="3848" spans="2:2" ht="15.6">
      <c r="B3848" s="159"/>
    </row>
    <row r="3849" spans="2:2" ht="15.6">
      <c r="B3849" s="159"/>
    </row>
    <row r="3850" spans="2:2" ht="15.6">
      <c r="B3850" s="159"/>
    </row>
    <row r="3851" spans="2:2" ht="15.6">
      <c r="B3851" s="159"/>
    </row>
    <row r="3852" spans="2:2" ht="15.6">
      <c r="B3852" s="159"/>
    </row>
    <row r="3853" spans="2:2" ht="15.6">
      <c r="B3853" s="159"/>
    </row>
    <row r="3854" spans="2:2" ht="15.6">
      <c r="B3854" s="159"/>
    </row>
    <row r="3855" spans="2:2" ht="15.6">
      <c r="B3855" s="159"/>
    </row>
    <row r="3856" spans="2:2" ht="15.6">
      <c r="B3856" s="159"/>
    </row>
    <row r="3857" spans="2:2" ht="15.6">
      <c r="B3857" s="159"/>
    </row>
    <row r="3858" spans="2:2" ht="15.6">
      <c r="B3858" s="159"/>
    </row>
    <row r="3859" spans="2:2" ht="15.6">
      <c r="B3859" s="159"/>
    </row>
    <row r="3860" spans="2:2" ht="15.6">
      <c r="B3860" s="159"/>
    </row>
    <row r="3861" spans="2:2" ht="15.6">
      <c r="B3861" s="159"/>
    </row>
    <row r="3862" spans="2:2" ht="15.6">
      <c r="B3862" s="159"/>
    </row>
    <row r="3863" spans="2:2" ht="15.6">
      <c r="B3863" s="159"/>
    </row>
    <row r="3864" spans="2:2" ht="15.6">
      <c r="B3864" s="159"/>
    </row>
    <row r="3865" spans="2:2" ht="15.6">
      <c r="B3865" s="159"/>
    </row>
    <row r="3866" spans="2:2" ht="15.6">
      <c r="B3866" s="159"/>
    </row>
    <row r="3867" spans="2:2" ht="15.6">
      <c r="B3867" s="159"/>
    </row>
    <row r="3868" spans="2:2" ht="15.6">
      <c r="B3868" s="159"/>
    </row>
    <row r="3869" spans="2:2" ht="15.6">
      <c r="B3869" s="159"/>
    </row>
    <row r="3870" spans="2:2" ht="15.6">
      <c r="B3870" s="159"/>
    </row>
    <row r="3871" spans="2:2" ht="15.6">
      <c r="B3871" s="159"/>
    </row>
    <row r="3872" spans="2:2" ht="15.6">
      <c r="B3872" s="159"/>
    </row>
    <row r="3873" spans="2:2" ht="15.6">
      <c r="B3873" s="159"/>
    </row>
    <row r="3874" spans="2:2" ht="15.6">
      <c r="B3874" s="159"/>
    </row>
    <row r="3875" spans="2:2" ht="15.6">
      <c r="B3875" s="159"/>
    </row>
    <row r="3876" spans="2:2" ht="15.6">
      <c r="B3876" s="159"/>
    </row>
    <row r="3877" spans="2:2" ht="15.6">
      <c r="B3877" s="159"/>
    </row>
    <row r="3878" spans="2:2" ht="15.6">
      <c r="B3878" s="159"/>
    </row>
    <row r="3879" spans="2:2" ht="15.6">
      <c r="B3879" s="159"/>
    </row>
    <row r="3880" spans="2:2" ht="15.6">
      <c r="B3880" s="159"/>
    </row>
    <row r="3881" spans="2:2" ht="15.6">
      <c r="B3881" s="159"/>
    </row>
    <row r="3882" spans="2:2" ht="15.6">
      <c r="B3882" s="159"/>
    </row>
    <row r="3883" spans="2:2" ht="15.6">
      <c r="B3883" s="159"/>
    </row>
    <row r="3884" spans="2:2" ht="15.6">
      <c r="B3884" s="159"/>
    </row>
    <row r="3885" spans="2:2" ht="15.6">
      <c r="B3885" s="159"/>
    </row>
    <row r="3886" spans="2:2" ht="15.6">
      <c r="B3886" s="159"/>
    </row>
    <row r="3887" spans="2:2" ht="15.6">
      <c r="B3887" s="159"/>
    </row>
    <row r="3888" spans="2:2" ht="15.6">
      <c r="B3888" s="159"/>
    </row>
    <row r="3889" spans="2:2" ht="15.6">
      <c r="B3889" s="159"/>
    </row>
    <row r="3890" spans="2:2" ht="15.6">
      <c r="B3890" s="159"/>
    </row>
    <row r="3891" spans="2:2" ht="15.6">
      <c r="B3891" s="159"/>
    </row>
    <row r="3892" spans="2:2" ht="15.6">
      <c r="B3892" s="159"/>
    </row>
    <row r="3893" spans="2:2" ht="15.6">
      <c r="B3893" s="159"/>
    </row>
    <row r="3894" spans="2:2" ht="15.6">
      <c r="B3894" s="159"/>
    </row>
    <row r="3895" spans="2:2" ht="15.6">
      <c r="B3895" s="159"/>
    </row>
    <row r="3896" spans="2:2" ht="15.6">
      <c r="B3896" s="159"/>
    </row>
    <row r="3897" spans="2:2" ht="15.6">
      <c r="B3897" s="159"/>
    </row>
    <row r="3898" spans="2:2" ht="15.6">
      <c r="B3898" s="159"/>
    </row>
    <row r="3899" spans="2:2" ht="15.6">
      <c r="B3899" s="159"/>
    </row>
    <row r="3900" spans="2:2" ht="15.6">
      <c r="B3900" s="159"/>
    </row>
    <row r="3901" spans="2:2" ht="15.6">
      <c r="B3901" s="159"/>
    </row>
    <row r="3902" spans="2:2" ht="15.6">
      <c r="B3902" s="159"/>
    </row>
    <row r="3903" spans="2:2" ht="15.6">
      <c r="B3903" s="159"/>
    </row>
    <row r="3904" spans="2:2" ht="15.6">
      <c r="B3904" s="159"/>
    </row>
    <row r="3905" spans="2:2" ht="15.6">
      <c r="B3905" s="159"/>
    </row>
    <row r="3906" spans="2:2" ht="15.6">
      <c r="B3906" s="159"/>
    </row>
    <row r="3907" spans="2:2" ht="15.6">
      <c r="B3907" s="159"/>
    </row>
    <row r="3908" spans="2:2" ht="15.6">
      <c r="B3908" s="159"/>
    </row>
    <row r="3909" spans="2:2" ht="15.6">
      <c r="B3909" s="159"/>
    </row>
    <row r="3910" spans="2:2" ht="15.6">
      <c r="B3910" s="159"/>
    </row>
    <row r="3911" spans="2:2" ht="15.6">
      <c r="B3911" s="159"/>
    </row>
    <row r="3912" spans="2:2" ht="15.6">
      <c r="B3912" s="159"/>
    </row>
    <row r="3913" spans="2:2" ht="15.6">
      <c r="B3913" s="159"/>
    </row>
    <row r="3914" spans="2:2" ht="15.6">
      <c r="B3914" s="159"/>
    </row>
    <row r="3915" spans="2:2" ht="15.6">
      <c r="B3915" s="159"/>
    </row>
    <row r="3916" spans="2:2" ht="15.6">
      <c r="B3916" s="159"/>
    </row>
    <row r="3917" spans="2:2" ht="15.6">
      <c r="B3917" s="159"/>
    </row>
    <row r="3918" spans="2:2" ht="15.6">
      <c r="B3918" s="159"/>
    </row>
    <row r="3919" spans="2:2" ht="15.6">
      <c r="B3919" s="159"/>
    </row>
    <row r="3920" spans="2:2" ht="15.6">
      <c r="B3920" s="159"/>
    </row>
    <row r="3921" spans="2:2" ht="15.6">
      <c r="B3921" s="159"/>
    </row>
    <row r="3922" spans="2:2" ht="15.6">
      <c r="B3922" s="159"/>
    </row>
    <row r="3923" spans="2:2" ht="15.6">
      <c r="B3923" s="159"/>
    </row>
    <row r="3924" spans="2:2" ht="15.6">
      <c r="B3924" s="159"/>
    </row>
    <row r="3925" spans="2:2" ht="15.6">
      <c r="B3925" s="159"/>
    </row>
    <row r="3926" spans="2:2" ht="15.6">
      <c r="B3926" s="159"/>
    </row>
    <row r="3927" spans="2:2" ht="15.6">
      <c r="B3927" s="159"/>
    </row>
    <row r="3928" spans="2:2" ht="15.6">
      <c r="B3928" s="159"/>
    </row>
    <row r="3929" spans="2:2" ht="15.6">
      <c r="B3929" s="159"/>
    </row>
    <row r="3930" spans="2:2" ht="15.6">
      <c r="B3930" s="159"/>
    </row>
    <row r="3931" spans="2:2" ht="15.6">
      <c r="B3931" s="159"/>
    </row>
    <row r="3932" spans="2:2" ht="15.6">
      <c r="B3932" s="159"/>
    </row>
    <row r="3933" spans="2:2" ht="15.6">
      <c r="B3933" s="159"/>
    </row>
    <row r="3934" spans="2:2" ht="15.6">
      <c r="B3934" s="159"/>
    </row>
    <row r="3935" spans="2:2" ht="15.6">
      <c r="B3935" s="159"/>
    </row>
    <row r="3936" spans="2:2" ht="15.6">
      <c r="B3936" s="159"/>
    </row>
    <row r="3937" spans="2:2" ht="15.6">
      <c r="B3937" s="159"/>
    </row>
    <row r="3938" spans="2:2" ht="15.6">
      <c r="B3938" s="159"/>
    </row>
    <row r="3939" spans="2:2" ht="15.6">
      <c r="B3939" s="159"/>
    </row>
    <row r="3940" spans="2:2" ht="15.6">
      <c r="B3940" s="159"/>
    </row>
    <row r="3941" spans="2:2" ht="15.6">
      <c r="B3941" s="159"/>
    </row>
    <row r="3942" spans="2:2" ht="15.6">
      <c r="B3942" s="159"/>
    </row>
    <row r="3943" spans="2:2" ht="15.6">
      <c r="B3943" s="159"/>
    </row>
    <row r="3944" spans="2:2" ht="15.6">
      <c r="B3944" s="159"/>
    </row>
    <row r="3945" spans="2:2" ht="15.6">
      <c r="B3945" s="159"/>
    </row>
    <row r="3946" spans="2:2" ht="15.6">
      <c r="B3946" s="159"/>
    </row>
    <row r="3947" spans="2:2" ht="15.6">
      <c r="B3947" s="159"/>
    </row>
    <row r="3948" spans="2:2" ht="15.6">
      <c r="B3948" s="159"/>
    </row>
    <row r="3949" spans="2:2" ht="15.6">
      <c r="B3949" s="159"/>
    </row>
    <row r="3950" spans="2:2" ht="15.6">
      <c r="B3950" s="159"/>
    </row>
    <row r="3951" spans="2:2" ht="15.6">
      <c r="B3951" s="159"/>
    </row>
    <row r="3952" spans="2:2" ht="15.6">
      <c r="B3952" s="159"/>
    </row>
    <row r="3953" spans="2:2" ht="15.6">
      <c r="B3953" s="159"/>
    </row>
    <row r="3954" spans="2:2" ht="15.6">
      <c r="B3954" s="159"/>
    </row>
    <row r="3955" spans="2:2" ht="15.6">
      <c r="B3955" s="159"/>
    </row>
    <row r="3956" spans="2:2" ht="15.6">
      <c r="B3956" s="159"/>
    </row>
    <row r="3957" spans="2:2" ht="15.6">
      <c r="B3957" s="159"/>
    </row>
    <row r="3958" spans="2:2" ht="15.6">
      <c r="B3958" s="159"/>
    </row>
    <row r="3959" spans="2:2" ht="15.6">
      <c r="B3959" s="159"/>
    </row>
    <row r="3960" spans="2:2" ht="15.6">
      <c r="B3960" s="159"/>
    </row>
    <row r="3961" spans="2:2" ht="15.6">
      <c r="B3961" s="159"/>
    </row>
    <row r="3962" spans="2:2" ht="15.6">
      <c r="B3962" s="159"/>
    </row>
    <row r="3963" spans="2:2" ht="15.6">
      <c r="B3963" s="159"/>
    </row>
    <row r="3964" spans="2:2" ht="15.6">
      <c r="B3964" s="159"/>
    </row>
    <row r="3965" spans="2:2" ht="15.6">
      <c r="B3965" s="159"/>
    </row>
    <row r="3966" spans="2:2" ht="15.6">
      <c r="B3966" s="159"/>
    </row>
    <row r="3967" spans="2:2" ht="15.6">
      <c r="B3967" s="159"/>
    </row>
    <row r="3968" spans="2:2" ht="15.6">
      <c r="B3968" s="159"/>
    </row>
    <row r="3969" spans="2:2" ht="15.6">
      <c r="B3969" s="159"/>
    </row>
    <row r="3970" spans="2:2" ht="15.6">
      <c r="B3970" s="159"/>
    </row>
    <row r="3971" spans="2:2" ht="15.6">
      <c r="B3971" s="159"/>
    </row>
    <row r="3972" spans="2:2" ht="15.6">
      <c r="B3972" s="159"/>
    </row>
    <row r="3973" spans="2:2" ht="15.6">
      <c r="B3973" s="159"/>
    </row>
    <row r="3974" spans="2:2" ht="15.6">
      <c r="B3974" s="159"/>
    </row>
    <row r="3975" spans="2:2" ht="15.6">
      <c r="B3975" s="159"/>
    </row>
    <row r="3976" spans="2:2" ht="15.6">
      <c r="B3976" s="159"/>
    </row>
    <row r="3977" spans="2:2" ht="15.6">
      <c r="B3977" s="159"/>
    </row>
    <row r="3978" spans="2:2" ht="15.6">
      <c r="B3978" s="159"/>
    </row>
    <row r="3979" spans="2:2" ht="15.6">
      <c r="B3979" s="159"/>
    </row>
    <row r="3980" spans="2:2" ht="15.6">
      <c r="B3980" s="159"/>
    </row>
    <row r="3981" spans="2:2" ht="15.6">
      <c r="B3981" s="159"/>
    </row>
    <row r="3982" spans="2:2" ht="15.6">
      <c r="B3982" s="159"/>
    </row>
    <row r="3983" spans="2:2" ht="15.6">
      <c r="B3983" s="159"/>
    </row>
    <row r="3984" spans="2:2" ht="15.6">
      <c r="B3984" s="159"/>
    </row>
    <row r="3985" spans="2:2" ht="15.6">
      <c r="B3985" s="159"/>
    </row>
    <row r="3986" spans="2:2" ht="15.6">
      <c r="B3986" s="159"/>
    </row>
    <row r="3987" spans="2:2" ht="15.6">
      <c r="B3987" s="159"/>
    </row>
    <row r="3988" spans="2:2" ht="15.6">
      <c r="B3988" s="159"/>
    </row>
    <row r="3989" spans="2:2" ht="15.6">
      <c r="B3989" s="159"/>
    </row>
    <row r="3990" spans="2:2" ht="15.6">
      <c r="B3990" s="159"/>
    </row>
    <row r="3991" spans="2:2" ht="15.6">
      <c r="B3991" s="159"/>
    </row>
    <row r="3992" spans="2:2" ht="15.6">
      <c r="B3992" s="159"/>
    </row>
    <row r="3993" spans="2:2" ht="15.6">
      <c r="B3993" s="159"/>
    </row>
    <row r="3994" spans="2:2" ht="15.6">
      <c r="B3994" s="159"/>
    </row>
    <row r="3995" spans="2:2" ht="15.6">
      <c r="B3995" s="159"/>
    </row>
    <row r="3996" spans="2:2" ht="15.6">
      <c r="B3996" s="159"/>
    </row>
    <row r="3997" spans="2:2" ht="15.6">
      <c r="B3997" s="159"/>
    </row>
    <row r="3998" spans="2:2" ht="15.6">
      <c r="B3998" s="159"/>
    </row>
    <row r="3999" spans="2:2" ht="15.6">
      <c r="B3999" s="159"/>
    </row>
    <row r="4000" spans="2:2" ht="15.6">
      <c r="B4000" s="159"/>
    </row>
    <row r="4001" spans="2:2" ht="15.6">
      <c r="B4001" s="159"/>
    </row>
    <row r="4002" spans="2:2" ht="15.6">
      <c r="B4002" s="159"/>
    </row>
    <row r="4003" spans="2:2" ht="15.6">
      <c r="B4003" s="159"/>
    </row>
    <row r="4004" spans="2:2" ht="15.6">
      <c r="B4004" s="159"/>
    </row>
    <row r="4005" spans="2:2" ht="15.6">
      <c r="B4005" s="159"/>
    </row>
    <row r="4006" spans="2:2" ht="15.6">
      <c r="B4006" s="159"/>
    </row>
    <row r="4007" spans="2:2" ht="15.6">
      <c r="B4007" s="159"/>
    </row>
    <row r="4008" spans="2:2" ht="15.6">
      <c r="B4008" s="159"/>
    </row>
    <row r="4009" spans="2:2" ht="15.6">
      <c r="B4009" s="159"/>
    </row>
    <row r="4010" spans="2:2" ht="15.6">
      <c r="B4010" s="159"/>
    </row>
    <row r="4011" spans="2:2" ht="15.6">
      <c r="B4011" s="159"/>
    </row>
    <row r="4012" spans="2:2" ht="15.6">
      <c r="B4012" s="159"/>
    </row>
    <row r="4013" spans="2:2" ht="15.6">
      <c r="B4013" s="159"/>
    </row>
    <row r="4014" spans="2:2" ht="15.6">
      <c r="B4014" s="159"/>
    </row>
    <row r="4015" spans="2:2" ht="15.6">
      <c r="B4015" s="159"/>
    </row>
    <row r="4016" spans="2:2" ht="15.6">
      <c r="B4016" s="159"/>
    </row>
    <row r="4017" spans="2:2" ht="15.6">
      <c r="B4017" s="159"/>
    </row>
    <row r="4018" spans="2:2" ht="15.6">
      <c r="B4018" s="159"/>
    </row>
    <row r="4019" spans="2:2" ht="15.6">
      <c r="B4019" s="159"/>
    </row>
    <row r="4020" spans="2:2" ht="15.6">
      <c r="B4020" s="159"/>
    </row>
    <row r="4021" spans="2:2" ht="15.6">
      <c r="B4021" s="159"/>
    </row>
    <row r="4022" spans="2:2" ht="15.6">
      <c r="B4022" s="159"/>
    </row>
    <row r="4023" spans="2:2" ht="15.6">
      <c r="B4023" s="159"/>
    </row>
    <row r="4024" spans="2:2" ht="15.6">
      <c r="B4024" s="159"/>
    </row>
    <row r="4025" spans="2:2" ht="15.6">
      <c r="B4025" s="159"/>
    </row>
    <row r="4026" spans="2:2" ht="15.6">
      <c r="B4026" s="159"/>
    </row>
    <row r="4027" spans="2:2" ht="15.6">
      <c r="B4027" s="159"/>
    </row>
    <row r="4028" spans="2:2" ht="15.6">
      <c r="B4028" s="159"/>
    </row>
    <row r="4029" spans="2:2" ht="15.6">
      <c r="B4029" s="159"/>
    </row>
    <row r="4030" spans="2:2" ht="15.6">
      <c r="B4030" s="159"/>
    </row>
    <row r="4031" spans="2:2" ht="15.6">
      <c r="B4031" s="159"/>
    </row>
    <row r="4032" spans="2:2" ht="15.6">
      <c r="B4032" s="159"/>
    </row>
    <row r="4033" spans="2:2" ht="15.6">
      <c r="B4033" s="159"/>
    </row>
    <row r="4034" spans="2:2" ht="15.6">
      <c r="B4034" s="159"/>
    </row>
    <row r="4035" spans="2:2" ht="15.6">
      <c r="B4035" s="159"/>
    </row>
    <row r="4036" spans="2:2" ht="15.6">
      <c r="B4036" s="159"/>
    </row>
    <row r="4037" spans="2:2" ht="15.6">
      <c r="B4037" s="159"/>
    </row>
    <row r="4038" spans="2:2" ht="15.6">
      <c r="B4038" s="159"/>
    </row>
    <row r="4039" spans="2:2" ht="15.6">
      <c r="B4039" s="159"/>
    </row>
    <row r="4040" spans="2:2" ht="15.6">
      <c r="B4040" s="159"/>
    </row>
    <row r="4041" spans="2:2" ht="15.6">
      <c r="B4041" s="159"/>
    </row>
    <row r="4042" spans="2:2" ht="15.6">
      <c r="B4042" s="159"/>
    </row>
    <row r="4043" spans="2:2" ht="15.6">
      <c r="B4043" s="159"/>
    </row>
    <row r="4044" spans="2:2" ht="15.6">
      <c r="B4044" s="159"/>
    </row>
    <row r="4045" spans="2:2" ht="15.6">
      <c r="B4045" s="159"/>
    </row>
    <row r="4046" spans="2:2" ht="15.6">
      <c r="B4046" s="159"/>
    </row>
    <row r="4047" spans="2:2" ht="15.6">
      <c r="B4047" s="159"/>
    </row>
    <row r="4048" spans="2:2" ht="15.6">
      <c r="B4048" s="159"/>
    </row>
    <row r="4049" spans="2:2" ht="15.6">
      <c r="B4049" s="159"/>
    </row>
    <row r="4050" spans="2:2" ht="15.6">
      <c r="B4050" s="159"/>
    </row>
    <row r="4051" spans="2:2" ht="15.6">
      <c r="B4051" s="159"/>
    </row>
    <row r="4052" spans="2:2" ht="15.6">
      <c r="B4052" s="159"/>
    </row>
    <row r="4053" spans="2:2" ht="15.6">
      <c r="B4053" s="159"/>
    </row>
    <row r="4054" spans="2:2" ht="15.6">
      <c r="B4054" s="159"/>
    </row>
    <row r="4055" spans="2:2" ht="15.6">
      <c r="B4055" s="159"/>
    </row>
    <row r="4056" spans="2:2" ht="15.6">
      <c r="B4056" s="159"/>
    </row>
    <row r="4057" spans="2:2" ht="15.6">
      <c r="B4057" s="159"/>
    </row>
    <row r="4058" spans="2:2" ht="15.6">
      <c r="B4058" s="159"/>
    </row>
    <row r="4059" spans="2:2" ht="15.6">
      <c r="B4059" s="159"/>
    </row>
    <row r="4060" spans="2:2" ht="15.6">
      <c r="B4060" s="159"/>
    </row>
    <row r="4061" spans="2:2" ht="15.6">
      <c r="B4061" s="159"/>
    </row>
    <row r="4062" spans="2:2" ht="15.6">
      <c r="B4062" s="159"/>
    </row>
    <row r="4063" spans="2:2" ht="15.6">
      <c r="B4063" s="159"/>
    </row>
    <row r="4064" spans="2:2" ht="15.6">
      <c r="B4064" s="159"/>
    </row>
    <row r="4065" spans="2:2" ht="15.6">
      <c r="B4065" s="159"/>
    </row>
    <row r="4066" spans="2:2" ht="15.6">
      <c r="B4066" s="159"/>
    </row>
    <row r="4067" spans="2:2" ht="15.6">
      <c r="B4067" s="159"/>
    </row>
    <row r="4068" spans="2:2" ht="15.6">
      <c r="B4068" s="159"/>
    </row>
    <row r="4069" spans="2:2" ht="15.6">
      <c r="B4069" s="159"/>
    </row>
    <row r="4070" spans="2:2" ht="15.6">
      <c r="B4070" s="159"/>
    </row>
    <row r="4071" spans="2:2" ht="15.6">
      <c r="B4071" s="159"/>
    </row>
    <row r="4072" spans="2:2" ht="15.6">
      <c r="B4072" s="159"/>
    </row>
    <row r="4073" spans="2:2" ht="15.6">
      <c r="B4073" s="159"/>
    </row>
    <row r="4074" spans="2:2" ht="15.6">
      <c r="B4074" s="159"/>
    </row>
    <row r="4075" spans="2:2" ht="15.6">
      <c r="B4075" s="159"/>
    </row>
    <row r="4076" spans="2:2" ht="15.6">
      <c r="B4076" s="159"/>
    </row>
    <row r="4077" spans="2:2" ht="15.6">
      <c r="B4077" s="159"/>
    </row>
    <row r="4078" spans="2:2" ht="15.6">
      <c r="B4078" s="159"/>
    </row>
    <row r="4079" spans="2:2" ht="15.6">
      <c r="B4079" s="159"/>
    </row>
    <row r="4080" spans="2:2" ht="15.6">
      <c r="B4080" s="159"/>
    </row>
    <row r="4081" spans="2:2" ht="15.6">
      <c r="B4081" s="159"/>
    </row>
    <row r="4082" spans="2:2" ht="15.6">
      <c r="B4082" s="159"/>
    </row>
    <row r="4083" spans="2:2" ht="15.6">
      <c r="B4083" s="159"/>
    </row>
    <row r="4084" spans="2:2" ht="15.6">
      <c r="B4084" s="159"/>
    </row>
    <row r="4085" spans="2:2" ht="15.6">
      <c r="B4085" s="159"/>
    </row>
    <row r="4086" spans="2:2" ht="15.6">
      <c r="B4086" s="159"/>
    </row>
    <row r="4087" spans="2:2" ht="15.6">
      <c r="B4087" s="159"/>
    </row>
    <row r="4088" spans="2:2" ht="15.6">
      <c r="B4088" s="159"/>
    </row>
    <row r="4089" spans="2:2" ht="15.6">
      <c r="B4089" s="159"/>
    </row>
    <row r="4090" spans="2:2" ht="15.6">
      <c r="B4090" s="159"/>
    </row>
    <row r="4091" spans="2:2" ht="15.6">
      <c r="B4091" s="159"/>
    </row>
    <row r="4092" spans="2:2" ht="15.6">
      <c r="B4092" s="159"/>
    </row>
    <row r="4093" spans="2:2" ht="15.6">
      <c r="B4093" s="159"/>
    </row>
    <row r="4094" spans="2:2" ht="15.6">
      <c r="B4094" s="159"/>
    </row>
    <row r="4095" spans="2:2" ht="15.6">
      <c r="B4095" s="159"/>
    </row>
    <row r="4096" spans="2:2" ht="15.6">
      <c r="B4096" s="159"/>
    </row>
    <row r="4097" spans="2:2" ht="15.6">
      <c r="B4097" s="159"/>
    </row>
    <row r="4098" spans="2:2" ht="15.6">
      <c r="B4098" s="159"/>
    </row>
    <row r="4099" spans="2:2" ht="15.6">
      <c r="B4099" s="159"/>
    </row>
    <row r="4100" spans="2:2" ht="15.6">
      <c r="B4100" s="159"/>
    </row>
    <row r="4101" spans="2:2" ht="15.6">
      <c r="B4101" s="159"/>
    </row>
    <row r="4102" spans="2:2" ht="15.6">
      <c r="B4102" s="159"/>
    </row>
    <row r="4103" spans="2:2" ht="15.6">
      <c r="B4103" s="159"/>
    </row>
    <row r="4104" spans="2:2" ht="15.6">
      <c r="B4104" s="159"/>
    </row>
    <row r="4105" spans="2:2" ht="15.6">
      <c r="B4105" s="159"/>
    </row>
    <row r="4106" spans="2:2" ht="15.6">
      <c r="B4106" s="159"/>
    </row>
    <row r="4107" spans="2:2" ht="15.6">
      <c r="B4107" s="159"/>
    </row>
    <row r="4108" spans="2:2" ht="15.6">
      <c r="B4108" s="159"/>
    </row>
    <row r="4109" spans="2:2" ht="15.6">
      <c r="B4109" s="159"/>
    </row>
    <row r="4110" spans="2:2" ht="15.6">
      <c r="B4110" s="159"/>
    </row>
    <row r="4111" spans="2:2" ht="15.6">
      <c r="B4111" s="159"/>
    </row>
    <row r="4112" spans="2:2" ht="15.6">
      <c r="B4112" s="159"/>
    </row>
    <row r="4113" spans="2:2" ht="15.6">
      <c r="B4113" s="159"/>
    </row>
    <row r="4114" spans="2:2" ht="15.6">
      <c r="B4114" s="159"/>
    </row>
    <row r="4115" spans="2:2" ht="15.6">
      <c r="B4115" s="159"/>
    </row>
    <row r="4116" spans="2:2" ht="15.6">
      <c r="B4116" s="159"/>
    </row>
    <row r="4117" spans="2:2" ht="15.6">
      <c r="B4117" s="159"/>
    </row>
    <row r="4118" spans="2:2" ht="15.6">
      <c r="B4118" s="159"/>
    </row>
    <row r="4119" spans="2:2" ht="15.6">
      <c r="B4119" s="159"/>
    </row>
    <row r="4120" spans="2:2" ht="15.6">
      <c r="B4120" s="159"/>
    </row>
    <row r="4121" spans="2:2" ht="15.6">
      <c r="B4121" s="159"/>
    </row>
    <row r="4122" spans="2:2" ht="15.6">
      <c r="B4122" s="159"/>
    </row>
    <row r="4123" spans="2:2" ht="15.6">
      <c r="B4123" s="159"/>
    </row>
    <row r="4124" spans="2:2" ht="15.6">
      <c r="B4124" s="159"/>
    </row>
    <row r="4125" spans="2:2" ht="15.6">
      <c r="B4125" s="159"/>
    </row>
    <row r="4126" spans="2:2" ht="15.6">
      <c r="B4126" s="159"/>
    </row>
    <row r="4127" spans="2:2" ht="15.6">
      <c r="B4127" s="159"/>
    </row>
    <row r="4128" spans="2:2" ht="15.6">
      <c r="B4128" s="159"/>
    </row>
    <row r="4129" spans="2:2" ht="15.6">
      <c r="B4129" s="159"/>
    </row>
    <row r="4130" spans="2:2" ht="15.6">
      <c r="B4130" s="159"/>
    </row>
    <row r="4131" spans="2:2" ht="15.6">
      <c r="B4131" s="159"/>
    </row>
    <row r="4132" spans="2:2" ht="15.6">
      <c r="B4132" s="159"/>
    </row>
    <row r="4133" spans="2:2" ht="15.6">
      <c r="B4133" s="159"/>
    </row>
    <row r="4134" spans="2:2" ht="15.6">
      <c r="B4134" s="159"/>
    </row>
    <row r="4135" spans="2:2" ht="15.6">
      <c r="B4135" s="159"/>
    </row>
    <row r="4136" spans="2:2" ht="15.6">
      <c r="B4136" s="159"/>
    </row>
    <row r="4137" spans="2:2" ht="15.6">
      <c r="B4137" s="159"/>
    </row>
    <row r="4138" spans="2:2" ht="15.6">
      <c r="B4138" s="159"/>
    </row>
    <row r="4139" spans="2:2" ht="15.6">
      <c r="B4139" s="159"/>
    </row>
    <row r="4140" spans="2:2" ht="15.6">
      <c r="B4140" s="159"/>
    </row>
    <row r="4141" spans="2:2" ht="15.6">
      <c r="B4141" s="159"/>
    </row>
    <row r="4142" spans="2:2" ht="15.6">
      <c r="B4142" s="159"/>
    </row>
    <row r="4143" spans="2:2" ht="15.6">
      <c r="B4143" s="159"/>
    </row>
    <row r="4144" spans="2:2" ht="15.6">
      <c r="B4144" s="159"/>
    </row>
    <row r="4145" spans="2:2" ht="15.6">
      <c r="B4145" s="159"/>
    </row>
    <row r="4146" spans="2:2" ht="15.6">
      <c r="B4146" s="159"/>
    </row>
    <row r="4147" spans="2:2" ht="15.6">
      <c r="B4147" s="159"/>
    </row>
    <row r="4148" spans="2:2" ht="15.6">
      <c r="B4148" s="159"/>
    </row>
    <row r="4149" spans="2:2" ht="15.6">
      <c r="B4149" s="159"/>
    </row>
    <row r="4150" spans="2:2" ht="15.6">
      <c r="B4150" s="159"/>
    </row>
    <row r="4151" spans="2:2" ht="15.6">
      <c r="B4151" s="159"/>
    </row>
    <row r="4152" spans="2:2" ht="15.6">
      <c r="B4152" s="159"/>
    </row>
    <row r="4153" spans="2:2" ht="15.6">
      <c r="B4153" s="159"/>
    </row>
    <row r="4154" spans="2:2" ht="15.6">
      <c r="B4154" s="159"/>
    </row>
    <row r="4155" spans="2:2" ht="15.6">
      <c r="B4155" s="159"/>
    </row>
    <row r="4156" spans="2:2" ht="15.6">
      <c r="B4156" s="159"/>
    </row>
    <row r="4157" spans="2:2" ht="15.6">
      <c r="B4157" s="159"/>
    </row>
    <row r="4158" spans="2:2" ht="15.6">
      <c r="B4158" s="159"/>
    </row>
    <row r="4159" spans="2:2" ht="15.6">
      <c r="B4159" s="159"/>
    </row>
    <row r="4160" spans="2:2" ht="15.6">
      <c r="B4160" s="159"/>
    </row>
    <row r="4161" spans="2:2" ht="15.6">
      <c r="B4161" s="159"/>
    </row>
    <row r="4162" spans="2:2" ht="15.6">
      <c r="B4162" s="159"/>
    </row>
    <row r="4163" spans="2:2" ht="15.6">
      <c r="B4163" s="159"/>
    </row>
    <row r="4164" spans="2:2" ht="15.6">
      <c r="B4164" s="159"/>
    </row>
    <row r="4165" spans="2:2" ht="15.6">
      <c r="B4165" s="159"/>
    </row>
    <row r="4166" spans="2:2" ht="15.6">
      <c r="B4166" s="159"/>
    </row>
    <row r="4167" spans="2:2" ht="15.6">
      <c r="B4167" s="159"/>
    </row>
    <row r="4168" spans="2:2" ht="15.6">
      <c r="B4168" s="159"/>
    </row>
    <row r="4169" spans="2:2" ht="15.6">
      <c r="B4169" s="159"/>
    </row>
    <row r="4170" spans="2:2" ht="15.6">
      <c r="B4170" s="159"/>
    </row>
    <row r="4171" spans="2:2" ht="15.6">
      <c r="B4171" s="159"/>
    </row>
    <row r="4172" spans="2:2" ht="15.6">
      <c r="B4172" s="159"/>
    </row>
    <row r="4173" spans="2:2" ht="15.6">
      <c r="B4173" s="159"/>
    </row>
    <row r="4174" spans="2:2" ht="15.6">
      <c r="B4174" s="159"/>
    </row>
    <row r="4175" spans="2:2" ht="15.6">
      <c r="B4175" s="159"/>
    </row>
    <row r="4176" spans="2:2" ht="15.6">
      <c r="B4176" s="159"/>
    </row>
    <row r="4177" spans="2:2" ht="15.6">
      <c r="B4177" s="159"/>
    </row>
    <row r="4178" spans="2:2" ht="15.6">
      <c r="B4178" s="159"/>
    </row>
    <row r="4179" spans="2:2" ht="15.6">
      <c r="B4179" s="159"/>
    </row>
    <row r="4180" spans="2:2" ht="15.6">
      <c r="B4180" s="159"/>
    </row>
    <row r="4181" spans="2:2" ht="15.6">
      <c r="B4181" s="159"/>
    </row>
    <row r="4182" spans="2:2" ht="15.6">
      <c r="B4182" s="159"/>
    </row>
    <row r="4183" spans="2:2" ht="15.6">
      <c r="B4183" s="159"/>
    </row>
    <row r="4184" spans="2:2" ht="15.6">
      <c r="B4184" s="159"/>
    </row>
    <row r="4185" spans="2:2" ht="15.6">
      <c r="B4185" s="159"/>
    </row>
    <row r="4186" spans="2:2" ht="15.6">
      <c r="B4186" s="159"/>
    </row>
    <row r="4187" spans="2:2" ht="15.6">
      <c r="B4187" s="159"/>
    </row>
    <row r="4188" spans="2:2" ht="15.6">
      <c r="B4188" s="159"/>
    </row>
    <row r="4189" spans="2:2" ht="15.6">
      <c r="B4189" s="159"/>
    </row>
    <row r="4190" spans="2:2" ht="15.6">
      <c r="B4190" s="159"/>
    </row>
    <row r="4191" spans="2:2" ht="15.6">
      <c r="B4191" s="159"/>
    </row>
    <row r="4192" spans="2:2" ht="15.6">
      <c r="B4192" s="159"/>
    </row>
    <row r="4193" spans="2:2" ht="15.6">
      <c r="B4193" s="159"/>
    </row>
    <row r="4194" spans="2:2" ht="15.6">
      <c r="B4194" s="159"/>
    </row>
    <row r="4195" spans="2:2" ht="15.6">
      <c r="B4195" s="159"/>
    </row>
    <row r="4196" spans="2:2" ht="15.6">
      <c r="B4196" s="159"/>
    </row>
    <row r="4197" spans="2:2" ht="15.6">
      <c r="B4197" s="159"/>
    </row>
    <row r="4198" spans="2:2" ht="15.6">
      <c r="B4198" s="159"/>
    </row>
    <row r="4199" spans="2:2" ht="15.6">
      <c r="B4199" s="159"/>
    </row>
    <row r="4200" spans="2:2" ht="15.6">
      <c r="B4200" s="159"/>
    </row>
    <row r="4201" spans="2:2" ht="15.6">
      <c r="B4201" s="159"/>
    </row>
    <row r="4202" spans="2:2" ht="15.6">
      <c r="B4202" s="159"/>
    </row>
    <row r="4203" spans="2:2" ht="15.6">
      <c r="B4203" s="159"/>
    </row>
    <row r="4204" spans="2:2" ht="15.6">
      <c r="B4204" s="159"/>
    </row>
    <row r="4205" spans="2:2" ht="15.6">
      <c r="B4205" s="159"/>
    </row>
    <row r="4206" spans="2:2" ht="15.6">
      <c r="B4206" s="159"/>
    </row>
    <row r="4207" spans="2:2" ht="15.6">
      <c r="B4207" s="159"/>
    </row>
    <row r="4208" spans="2:2" ht="15.6">
      <c r="B4208" s="159"/>
    </row>
    <row r="4209" spans="2:2" ht="15.6">
      <c r="B4209" s="159"/>
    </row>
    <row r="4210" spans="2:2" ht="15.6">
      <c r="B4210" s="159"/>
    </row>
    <row r="4211" spans="2:2" ht="15.6">
      <c r="B4211" s="159"/>
    </row>
    <row r="4212" spans="2:2" ht="15.6">
      <c r="B4212" s="159"/>
    </row>
    <row r="4213" spans="2:2" ht="15.6">
      <c r="B4213" s="159"/>
    </row>
    <row r="4214" spans="2:2" ht="15.6">
      <c r="B4214" s="159"/>
    </row>
    <row r="4215" spans="2:2" ht="15.6">
      <c r="B4215" s="159"/>
    </row>
    <row r="4216" spans="2:2" ht="15.6">
      <c r="B4216" s="159"/>
    </row>
    <row r="4217" spans="2:2" ht="15.6">
      <c r="B4217" s="159"/>
    </row>
    <row r="4218" spans="2:2" ht="15.6">
      <c r="B4218" s="159"/>
    </row>
    <row r="4219" spans="2:2" ht="15.6">
      <c r="B4219" s="159"/>
    </row>
    <row r="4220" spans="2:2" ht="15.6">
      <c r="B4220" s="159"/>
    </row>
    <row r="4221" spans="2:2" ht="15.6">
      <c r="B4221" s="159"/>
    </row>
    <row r="4222" spans="2:2" ht="15.6">
      <c r="B4222" s="159"/>
    </row>
    <row r="4223" spans="2:2" ht="15.6">
      <c r="B4223" s="159"/>
    </row>
    <row r="4224" spans="2:2" ht="15.6">
      <c r="B4224" s="159"/>
    </row>
    <row r="4225" spans="2:2" ht="15.6">
      <c r="B4225" s="159"/>
    </row>
    <row r="4226" spans="2:2" ht="15.6">
      <c r="B4226" s="159"/>
    </row>
    <row r="4227" spans="2:2" ht="15.6">
      <c r="B4227" s="159"/>
    </row>
    <row r="4228" spans="2:2" ht="15.6">
      <c r="B4228" s="159"/>
    </row>
    <row r="4229" spans="2:2" ht="15.6">
      <c r="B4229" s="159"/>
    </row>
    <row r="4230" spans="2:2" ht="15.6">
      <c r="B4230" s="159"/>
    </row>
    <row r="4231" spans="2:2" ht="15.6">
      <c r="B4231" s="159"/>
    </row>
    <row r="4232" spans="2:2" ht="15.6">
      <c r="B4232" s="159"/>
    </row>
    <row r="4233" spans="2:2" ht="15.6">
      <c r="B4233" s="159"/>
    </row>
    <row r="4234" spans="2:2" ht="15.6">
      <c r="B4234" s="159"/>
    </row>
    <row r="4235" spans="2:2" ht="15.6">
      <c r="B4235" s="159"/>
    </row>
    <row r="4236" spans="2:2" ht="15.6">
      <c r="B4236" s="159"/>
    </row>
    <row r="4237" spans="2:2" ht="15.6">
      <c r="B4237" s="159"/>
    </row>
    <row r="4238" spans="2:2" ht="15.6">
      <c r="B4238" s="159"/>
    </row>
    <row r="4239" spans="2:2" ht="15.6">
      <c r="B4239" s="159"/>
    </row>
    <row r="4240" spans="2:2" ht="15.6">
      <c r="B4240" s="159"/>
    </row>
    <row r="4241" spans="2:2" ht="15.6">
      <c r="B4241" s="159"/>
    </row>
    <row r="4242" spans="2:2" ht="15.6">
      <c r="B4242" s="159"/>
    </row>
    <row r="4243" spans="2:2" ht="15.6">
      <c r="B4243" s="159"/>
    </row>
    <row r="4244" spans="2:2" ht="15.6">
      <c r="B4244" s="159"/>
    </row>
    <row r="4245" spans="2:2" ht="15.6">
      <c r="B4245" s="159"/>
    </row>
    <row r="4246" spans="2:2" ht="15.6">
      <c r="B4246" s="159"/>
    </row>
    <row r="4247" spans="2:2" ht="15.6">
      <c r="B4247" s="159"/>
    </row>
    <row r="4248" spans="2:2" ht="15.6">
      <c r="B4248" s="159"/>
    </row>
    <row r="4249" spans="2:2" ht="15.6">
      <c r="B4249" s="159"/>
    </row>
    <row r="4250" spans="2:2" ht="15.6">
      <c r="B4250" s="159"/>
    </row>
    <row r="4251" spans="2:2" ht="15.6">
      <c r="B4251" s="159"/>
    </row>
    <row r="4252" spans="2:2" ht="15.6">
      <c r="B4252" s="159"/>
    </row>
    <row r="4253" spans="2:2" ht="15.6">
      <c r="B4253" s="159"/>
    </row>
    <row r="4254" spans="2:2" ht="15.6">
      <c r="B4254" s="159"/>
    </row>
    <row r="4255" spans="2:2" ht="15.6">
      <c r="B4255" s="159"/>
    </row>
    <row r="4256" spans="2:2" ht="15.6">
      <c r="B4256" s="159"/>
    </row>
    <row r="4257" spans="2:2" ht="15.6">
      <c r="B4257" s="159"/>
    </row>
    <row r="4258" spans="2:2" ht="15.6">
      <c r="B4258" s="159"/>
    </row>
    <row r="4259" spans="2:2" ht="15.6">
      <c r="B4259" s="159"/>
    </row>
    <row r="4260" spans="2:2" ht="15.6">
      <c r="B4260" s="159"/>
    </row>
    <row r="4261" spans="2:2" ht="15.6">
      <c r="B4261" s="159"/>
    </row>
    <row r="4262" spans="2:2" ht="15.6">
      <c r="B4262" s="159"/>
    </row>
    <row r="4263" spans="2:2" ht="15.6">
      <c r="B4263" s="159"/>
    </row>
    <row r="4264" spans="2:2" ht="15.6">
      <c r="B4264" s="159"/>
    </row>
    <row r="4265" spans="2:2" ht="15.6">
      <c r="B4265" s="159"/>
    </row>
    <row r="4266" spans="2:2" ht="15.6">
      <c r="B4266" s="159"/>
    </row>
    <row r="4267" spans="2:2" ht="15.6">
      <c r="B4267" s="159"/>
    </row>
    <row r="4268" spans="2:2" ht="15.6">
      <c r="B4268" s="159"/>
    </row>
    <row r="4269" spans="2:2" ht="15.6">
      <c r="B4269" s="159"/>
    </row>
    <row r="4270" spans="2:2" ht="15.6">
      <c r="B4270" s="159"/>
    </row>
    <row r="4271" spans="2:2" ht="15.6">
      <c r="B4271" s="159"/>
    </row>
    <row r="4272" spans="2:2" ht="15.6">
      <c r="B4272" s="159"/>
    </row>
    <row r="4273" spans="2:2" ht="15.6">
      <c r="B4273" s="159"/>
    </row>
    <row r="4274" spans="2:2" ht="15.6">
      <c r="B4274" s="159"/>
    </row>
    <row r="4275" spans="2:2" ht="15.6">
      <c r="B4275" s="159"/>
    </row>
    <row r="4276" spans="2:2" ht="15.6">
      <c r="B4276" s="159"/>
    </row>
    <row r="4277" spans="2:2" ht="15.6">
      <c r="B4277" s="159"/>
    </row>
    <row r="4278" spans="2:2" ht="15.6">
      <c r="B4278" s="159"/>
    </row>
    <row r="4279" spans="2:2" ht="15.6">
      <c r="B4279" s="159"/>
    </row>
    <row r="4280" spans="2:2" ht="15.6">
      <c r="B4280" s="159"/>
    </row>
    <row r="4281" spans="2:2" ht="15.6">
      <c r="B4281" s="159"/>
    </row>
    <row r="4282" spans="2:2" ht="15.6">
      <c r="B4282" s="159"/>
    </row>
    <row r="4283" spans="2:2" ht="15.6">
      <c r="B4283" s="159"/>
    </row>
    <row r="4284" spans="2:2" ht="15.6">
      <c r="B4284" s="159"/>
    </row>
    <row r="4285" spans="2:2" ht="15.6">
      <c r="B4285" s="159"/>
    </row>
    <row r="4286" spans="2:2" ht="15.6">
      <c r="B4286" s="159"/>
    </row>
    <row r="4287" spans="2:2" ht="15.6">
      <c r="B4287" s="159"/>
    </row>
    <row r="4288" spans="2:2" ht="15.6">
      <c r="B4288" s="159"/>
    </row>
    <row r="4289" spans="2:2" ht="15.6">
      <c r="B4289" s="159"/>
    </row>
    <row r="4290" spans="2:2" ht="15.6">
      <c r="B4290" s="159"/>
    </row>
    <row r="4291" spans="2:2" ht="15.6">
      <c r="B4291" s="159"/>
    </row>
    <row r="4292" spans="2:2" ht="15.6">
      <c r="B4292" s="159"/>
    </row>
    <row r="4293" spans="2:2" ht="15.6">
      <c r="B4293" s="159"/>
    </row>
    <row r="4294" spans="2:2" ht="15.6">
      <c r="B4294" s="159"/>
    </row>
    <row r="4295" spans="2:2" ht="15.6">
      <c r="B4295" s="159"/>
    </row>
    <row r="4296" spans="2:2" ht="15.6">
      <c r="B4296" s="159"/>
    </row>
    <row r="4297" spans="2:2" ht="15.6">
      <c r="B4297" s="159"/>
    </row>
    <row r="4298" spans="2:2" ht="15.6">
      <c r="B4298" s="159"/>
    </row>
    <row r="4299" spans="2:2" ht="15.6">
      <c r="B4299" s="159"/>
    </row>
    <row r="4300" spans="2:2" ht="15.6">
      <c r="B4300" s="159"/>
    </row>
    <row r="4301" spans="2:2" ht="15.6">
      <c r="B4301" s="159"/>
    </row>
    <row r="4302" spans="2:2" ht="15.6">
      <c r="B4302" s="159"/>
    </row>
    <row r="4303" spans="2:2" ht="15.6">
      <c r="B4303" s="159"/>
    </row>
    <row r="4304" spans="2:2" ht="15.6">
      <c r="B4304" s="159"/>
    </row>
    <row r="4305" spans="2:2" ht="15.6">
      <c r="B4305" s="159"/>
    </row>
    <row r="4306" spans="2:2" ht="15.6">
      <c r="B4306" s="159"/>
    </row>
    <row r="4307" spans="2:2" ht="15.6">
      <c r="B4307" s="159"/>
    </row>
    <row r="4308" spans="2:2" ht="15.6">
      <c r="B4308" s="159"/>
    </row>
    <row r="4309" spans="2:2" ht="15.6">
      <c r="B4309" s="159"/>
    </row>
    <row r="4310" spans="2:2" ht="15.6">
      <c r="B4310" s="159"/>
    </row>
    <row r="4311" spans="2:2" ht="15.6">
      <c r="B4311" s="159"/>
    </row>
    <row r="4312" spans="2:2" ht="15.6">
      <c r="B4312" s="159"/>
    </row>
    <row r="4313" spans="2:2" ht="15.6">
      <c r="B4313" s="159"/>
    </row>
    <row r="4314" spans="2:2" ht="15.6">
      <c r="B4314" s="159"/>
    </row>
    <row r="4315" spans="2:2" ht="15.6">
      <c r="B4315" s="159"/>
    </row>
    <row r="4316" spans="2:2" ht="15.6">
      <c r="B4316" s="159"/>
    </row>
    <row r="4317" spans="2:2" ht="15.6">
      <c r="B4317" s="159"/>
    </row>
    <row r="4318" spans="2:2" ht="15.6">
      <c r="B4318" s="159"/>
    </row>
    <row r="4319" spans="2:2" ht="15.6">
      <c r="B4319" s="159"/>
    </row>
    <row r="4320" spans="2:2" ht="15.6">
      <c r="B4320" s="159"/>
    </row>
    <row r="4321" spans="2:2" ht="15.6">
      <c r="B4321" s="159"/>
    </row>
    <row r="4322" spans="2:2" ht="15.6">
      <c r="B4322" s="159"/>
    </row>
    <row r="4323" spans="2:2" ht="15.6">
      <c r="B4323" s="159"/>
    </row>
    <row r="4324" spans="2:2" ht="15.6">
      <c r="B4324" s="159"/>
    </row>
    <row r="4325" spans="2:2" ht="15.6">
      <c r="B4325" s="159"/>
    </row>
    <row r="4326" spans="2:2" ht="15.6">
      <c r="B4326" s="159"/>
    </row>
    <row r="4327" spans="2:2" ht="15.6">
      <c r="B4327" s="159"/>
    </row>
    <row r="4328" spans="2:2" ht="15.6">
      <c r="B4328" s="159"/>
    </row>
    <row r="4329" spans="2:2" ht="15.6">
      <c r="B4329" s="159"/>
    </row>
    <row r="4330" spans="2:2" ht="15.6">
      <c r="B4330" s="159"/>
    </row>
    <row r="4331" spans="2:2" ht="15.6">
      <c r="B4331" s="159"/>
    </row>
    <row r="4332" spans="2:2" ht="15.6">
      <c r="B4332" s="159"/>
    </row>
    <row r="4333" spans="2:2" ht="15.6">
      <c r="B4333" s="159"/>
    </row>
    <row r="4334" spans="2:2" ht="15.6">
      <c r="B4334" s="159"/>
    </row>
    <row r="4335" spans="2:2" ht="15.6">
      <c r="B4335" s="159"/>
    </row>
    <row r="4336" spans="2:2" ht="15.6">
      <c r="B4336" s="159"/>
    </row>
    <row r="4337" spans="2:2" ht="15.6">
      <c r="B4337" s="159"/>
    </row>
    <row r="4338" spans="2:2" ht="15.6">
      <c r="B4338" s="159"/>
    </row>
    <row r="4339" spans="2:2" ht="15.6">
      <c r="B4339" s="159"/>
    </row>
    <row r="4340" spans="2:2" ht="15.6">
      <c r="B4340" s="159"/>
    </row>
    <row r="4341" spans="2:2" ht="15.6">
      <c r="B4341" s="159"/>
    </row>
    <row r="4342" spans="2:2" ht="15.6">
      <c r="B4342" s="159"/>
    </row>
    <row r="4343" spans="2:2" ht="15.6">
      <c r="B4343" s="159"/>
    </row>
    <row r="4344" spans="2:2" ht="15.6">
      <c r="B4344" s="159"/>
    </row>
    <row r="4345" spans="2:2" ht="15.6">
      <c r="B4345" s="159"/>
    </row>
    <row r="4346" spans="2:2" ht="15.6">
      <c r="B4346" s="159"/>
    </row>
    <row r="4347" spans="2:2" ht="15.6">
      <c r="B4347" s="159"/>
    </row>
    <row r="4348" spans="2:2" ht="15.6">
      <c r="B4348" s="159"/>
    </row>
    <row r="4349" spans="2:2" ht="15.6">
      <c r="B4349" s="159"/>
    </row>
    <row r="4350" spans="2:2" ht="15.6">
      <c r="B4350" s="159"/>
    </row>
    <row r="4351" spans="2:2" ht="15.6">
      <c r="B4351" s="159"/>
    </row>
    <row r="4352" spans="2:2" ht="15.6">
      <c r="B4352" s="159"/>
    </row>
    <row r="4353" spans="2:2" ht="15.6">
      <c r="B4353" s="159"/>
    </row>
    <row r="4354" spans="2:2" ht="15.6">
      <c r="B4354" s="159"/>
    </row>
    <row r="4355" spans="2:2" ht="15.6">
      <c r="B4355" s="159"/>
    </row>
    <row r="4356" spans="2:2" ht="15.6">
      <c r="B4356" s="159"/>
    </row>
    <row r="4357" spans="2:2" ht="15.6">
      <c r="B4357" s="159"/>
    </row>
    <row r="4358" spans="2:2" ht="15.6">
      <c r="B4358" s="159"/>
    </row>
    <row r="4359" spans="2:2" ht="15.6">
      <c r="B4359" s="159"/>
    </row>
    <row r="4360" spans="2:2" ht="15.6">
      <c r="B4360" s="159"/>
    </row>
    <row r="4361" spans="2:2" ht="15.6">
      <c r="B4361" s="159"/>
    </row>
    <row r="4362" spans="2:2" ht="15.6">
      <c r="B4362" s="159"/>
    </row>
    <row r="4363" spans="2:2" ht="15.6">
      <c r="B4363" s="159"/>
    </row>
    <row r="4364" spans="2:2" ht="15.6">
      <c r="B4364" s="159"/>
    </row>
    <row r="4365" spans="2:2" ht="15.6">
      <c r="B4365" s="159"/>
    </row>
    <row r="4366" spans="2:2" ht="15.6">
      <c r="B4366" s="159"/>
    </row>
    <row r="4367" spans="2:2" ht="15.6">
      <c r="B4367" s="159"/>
    </row>
    <row r="4368" spans="2:2" ht="15.6">
      <c r="B4368" s="159"/>
    </row>
    <row r="4369" spans="2:2" ht="15.6">
      <c r="B4369" s="159"/>
    </row>
    <row r="4370" spans="2:2" ht="15.6">
      <c r="B4370" s="159"/>
    </row>
    <row r="4371" spans="2:2" ht="15.6">
      <c r="B4371" s="159"/>
    </row>
    <row r="4372" spans="2:2" ht="15.6">
      <c r="B4372" s="159"/>
    </row>
    <row r="4373" spans="2:2" ht="15.6">
      <c r="B4373" s="159"/>
    </row>
    <row r="4374" spans="2:2" ht="15.6">
      <c r="B4374" s="159"/>
    </row>
    <row r="4375" spans="2:2" ht="15.6">
      <c r="B4375" s="159"/>
    </row>
    <row r="4376" spans="2:2" ht="15.6">
      <c r="B4376" s="159"/>
    </row>
    <row r="4377" spans="2:2" ht="15.6">
      <c r="B4377" s="159"/>
    </row>
    <row r="4378" spans="2:2" ht="15.6">
      <c r="B4378" s="159"/>
    </row>
    <row r="4379" spans="2:2" ht="15.6">
      <c r="B4379" s="159"/>
    </row>
    <row r="4380" spans="2:2" ht="15.6">
      <c r="B4380" s="159"/>
    </row>
    <row r="4381" spans="2:2" ht="15.6">
      <c r="B4381" s="159"/>
    </row>
    <row r="4382" spans="2:2" ht="15.6">
      <c r="B4382" s="159"/>
    </row>
    <row r="4383" spans="2:2" ht="15.6">
      <c r="B4383" s="159"/>
    </row>
    <row r="4384" spans="2:2" ht="15.6">
      <c r="B4384" s="159"/>
    </row>
    <row r="4385" spans="2:2" ht="15.6">
      <c r="B4385" s="159"/>
    </row>
    <row r="4386" spans="2:2" ht="15.6">
      <c r="B4386" s="159"/>
    </row>
    <row r="4387" spans="2:2" ht="15.6">
      <c r="B4387" s="159"/>
    </row>
    <row r="4388" spans="2:2" ht="15.6">
      <c r="B4388" s="159"/>
    </row>
    <row r="4389" spans="2:2" ht="15.6">
      <c r="B4389" s="159"/>
    </row>
    <row r="4390" spans="2:2" ht="15.6">
      <c r="B4390" s="159"/>
    </row>
    <row r="4391" spans="2:2" ht="15.6">
      <c r="B4391" s="159"/>
    </row>
    <row r="4392" spans="2:2" ht="15.6">
      <c r="B4392" s="159"/>
    </row>
    <row r="4393" spans="2:2" ht="15.6">
      <c r="B4393" s="159"/>
    </row>
    <row r="4394" spans="2:2" ht="15.6">
      <c r="B4394" s="159"/>
    </row>
    <row r="4395" spans="2:2" ht="15.6">
      <c r="B4395" s="159"/>
    </row>
    <row r="4396" spans="2:2" ht="15.6">
      <c r="B4396" s="159"/>
    </row>
    <row r="4397" spans="2:2" ht="15.6">
      <c r="B4397" s="159"/>
    </row>
    <row r="4398" spans="2:2" ht="15.6">
      <c r="B4398" s="159"/>
    </row>
    <row r="4399" spans="2:2" ht="15.6">
      <c r="B4399" s="159"/>
    </row>
    <row r="4400" spans="2:2" ht="15.6">
      <c r="B4400" s="159"/>
    </row>
    <row r="4401" spans="2:2" ht="15.6">
      <c r="B4401" s="159"/>
    </row>
    <row r="4402" spans="2:2" ht="15.6">
      <c r="B4402" s="159"/>
    </row>
    <row r="4403" spans="2:2" ht="15.6">
      <c r="B4403" s="159"/>
    </row>
    <row r="4404" spans="2:2" ht="15.6">
      <c r="B4404" s="159"/>
    </row>
    <row r="4405" spans="2:2" ht="15.6">
      <c r="B4405" s="159"/>
    </row>
    <row r="4406" spans="2:2" ht="15.6">
      <c r="B4406" s="159"/>
    </row>
    <row r="4407" spans="2:2" ht="15.6">
      <c r="B4407" s="159"/>
    </row>
    <row r="4408" spans="2:2" ht="15.6">
      <c r="B4408" s="159"/>
    </row>
    <row r="4409" spans="2:2" ht="15.6">
      <c r="B4409" s="159"/>
    </row>
    <row r="4410" spans="2:2" ht="15.6">
      <c r="B4410" s="159"/>
    </row>
    <row r="4411" spans="2:2" ht="15.6">
      <c r="B4411" s="159"/>
    </row>
    <row r="4412" spans="2:2" ht="15.6">
      <c r="B4412" s="159"/>
    </row>
    <row r="4413" spans="2:2" ht="15.6">
      <c r="B4413" s="159"/>
    </row>
    <row r="4414" spans="2:2" ht="15.6">
      <c r="B4414" s="159"/>
    </row>
    <row r="4415" spans="2:2" ht="15.6">
      <c r="B4415" s="159"/>
    </row>
    <row r="4416" spans="2:2" ht="15.6">
      <c r="B4416" s="159"/>
    </row>
    <row r="4417" spans="2:2" ht="15.6">
      <c r="B4417" s="159"/>
    </row>
    <row r="4418" spans="2:2" ht="15.6">
      <c r="B4418" s="159"/>
    </row>
    <row r="4419" spans="2:2" ht="15.6">
      <c r="B4419" s="159"/>
    </row>
    <row r="4420" spans="2:2" ht="15.6">
      <c r="B4420" s="159"/>
    </row>
    <row r="4421" spans="2:2" ht="15.6">
      <c r="B4421" s="159"/>
    </row>
    <row r="4422" spans="2:2" ht="15.6">
      <c r="B4422" s="159"/>
    </row>
    <row r="4423" spans="2:2" ht="15.6">
      <c r="B4423" s="159"/>
    </row>
    <row r="4424" spans="2:2" ht="15.6">
      <c r="B4424" s="159"/>
    </row>
    <row r="4425" spans="2:2" ht="15.6">
      <c r="B4425" s="159"/>
    </row>
    <row r="4426" spans="2:2" ht="15.6">
      <c r="B4426" s="159"/>
    </row>
    <row r="4427" spans="2:2" ht="15.6">
      <c r="B4427" s="159"/>
    </row>
    <row r="4428" spans="2:2" ht="15.6">
      <c r="B4428" s="159"/>
    </row>
    <row r="4429" spans="2:2" ht="15.6">
      <c r="B4429" s="159"/>
    </row>
    <row r="4430" spans="2:2" ht="15.6">
      <c r="B4430" s="159"/>
    </row>
    <row r="4431" spans="2:2" ht="15.6">
      <c r="B4431" s="159"/>
    </row>
    <row r="4432" spans="2:2" ht="15.6">
      <c r="B4432" s="159"/>
    </row>
    <row r="4433" spans="2:2" ht="15.6">
      <c r="B4433" s="159"/>
    </row>
    <row r="4434" spans="2:2" ht="15.6">
      <c r="B4434" s="159"/>
    </row>
    <row r="4435" spans="2:2" ht="15.6">
      <c r="B4435" s="159"/>
    </row>
    <row r="4436" spans="2:2" ht="15.6">
      <c r="B4436" s="159"/>
    </row>
    <row r="4437" spans="2:2" ht="15.6">
      <c r="B4437" s="159"/>
    </row>
    <row r="4438" spans="2:2" ht="15.6">
      <c r="B4438" s="159"/>
    </row>
    <row r="4439" spans="2:2" ht="15.6">
      <c r="B4439" s="159"/>
    </row>
    <row r="4440" spans="2:2" ht="15.6">
      <c r="B4440" s="159"/>
    </row>
    <row r="4441" spans="2:2" ht="15.6">
      <c r="B4441" s="159"/>
    </row>
    <row r="4442" spans="2:2" ht="15.6">
      <c r="B4442" s="159"/>
    </row>
    <row r="4443" spans="2:2" ht="15.6">
      <c r="B4443" s="159"/>
    </row>
    <row r="4444" spans="2:2" ht="15.6">
      <c r="B4444" s="159"/>
    </row>
    <row r="4445" spans="2:2" ht="15.6">
      <c r="B4445" s="159"/>
    </row>
    <row r="4446" spans="2:2" ht="15.6">
      <c r="B4446" s="159"/>
    </row>
    <row r="4447" spans="2:2" ht="15.6">
      <c r="B4447" s="159"/>
    </row>
    <row r="4448" spans="2:2" ht="15.6">
      <c r="B4448" s="159"/>
    </row>
    <row r="4449" spans="2:2" ht="15.6">
      <c r="B4449" s="159"/>
    </row>
    <row r="4450" spans="2:2" ht="15.6">
      <c r="B4450" s="159"/>
    </row>
    <row r="4451" spans="2:2" ht="15.6">
      <c r="B4451" s="159"/>
    </row>
    <row r="4452" spans="2:2" ht="15.6">
      <c r="B4452" s="159"/>
    </row>
    <row r="4453" spans="2:2" ht="15.6">
      <c r="B4453" s="159"/>
    </row>
    <row r="4454" spans="2:2" ht="15.6">
      <c r="B4454" s="159"/>
    </row>
    <row r="4455" spans="2:2" ht="15.6">
      <c r="B4455" s="159"/>
    </row>
    <row r="4456" spans="2:2" ht="15.6">
      <c r="B4456" s="159"/>
    </row>
    <row r="4457" spans="2:2" ht="15.6">
      <c r="B4457" s="159"/>
    </row>
    <row r="4458" spans="2:2" ht="15.6">
      <c r="B4458" s="159"/>
    </row>
    <row r="4459" spans="2:2" ht="15.6">
      <c r="B4459" s="159"/>
    </row>
    <row r="4460" spans="2:2" ht="15.6">
      <c r="B4460" s="159"/>
    </row>
    <row r="4461" spans="2:2" ht="15.6">
      <c r="B4461" s="159"/>
    </row>
    <row r="4462" spans="2:2" ht="15.6">
      <c r="B4462" s="159"/>
    </row>
    <row r="4463" spans="2:2" ht="15.6">
      <c r="B4463" s="159"/>
    </row>
    <row r="4464" spans="2:2" ht="15.6">
      <c r="B4464" s="159"/>
    </row>
    <row r="4465" spans="2:2" ht="15.6">
      <c r="B4465" s="159"/>
    </row>
    <row r="4466" spans="2:2" ht="15.6">
      <c r="B4466" s="159"/>
    </row>
    <row r="4467" spans="2:2" ht="15.6">
      <c r="B4467" s="159"/>
    </row>
    <row r="4468" spans="2:2" ht="15.6">
      <c r="B4468" s="159"/>
    </row>
    <row r="4469" spans="2:2" ht="15.6">
      <c r="B4469" s="159"/>
    </row>
    <row r="4470" spans="2:2" ht="15.6">
      <c r="B4470" s="159"/>
    </row>
    <row r="4471" spans="2:2" ht="15.6">
      <c r="B4471" s="159"/>
    </row>
    <row r="4472" spans="2:2" ht="15.6">
      <c r="B4472" s="159"/>
    </row>
    <row r="4473" spans="2:2" ht="15.6">
      <c r="B4473" s="159"/>
    </row>
    <row r="4474" spans="2:2" ht="15.6">
      <c r="B4474" s="159"/>
    </row>
    <row r="4475" spans="2:2" ht="15.6">
      <c r="B4475" s="159"/>
    </row>
    <row r="4476" spans="2:2" ht="15.6">
      <c r="B4476" s="159"/>
    </row>
    <row r="4477" spans="2:2" ht="15.6">
      <c r="B4477" s="159"/>
    </row>
    <row r="4478" spans="2:2" ht="15.6">
      <c r="B4478" s="159"/>
    </row>
    <row r="4479" spans="2:2" ht="15.6">
      <c r="B4479" s="159"/>
    </row>
    <row r="4480" spans="2:2" ht="15.6">
      <c r="B4480" s="159"/>
    </row>
    <row r="4481" spans="2:2" ht="15.6">
      <c r="B4481" s="159"/>
    </row>
    <row r="4482" spans="2:2" ht="15.6">
      <c r="B4482" s="159"/>
    </row>
    <row r="4483" spans="2:2" ht="15.6">
      <c r="B4483" s="159"/>
    </row>
    <row r="4484" spans="2:2" ht="15.6">
      <c r="B4484" s="159"/>
    </row>
    <row r="4485" spans="2:2" ht="15.6">
      <c r="B4485" s="159"/>
    </row>
    <row r="4486" spans="2:2" ht="15.6">
      <c r="B4486" s="159"/>
    </row>
    <row r="4487" spans="2:2" ht="15.6">
      <c r="B4487" s="159"/>
    </row>
    <row r="4488" spans="2:2" ht="15.6">
      <c r="B4488" s="159"/>
    </row>
    <row r="4489" spans="2:2" ht="15.6">
      <c r="B4489" s="159"/>
    </row>
    <row r="4490" spans="2:2" ht="15.6">
      <c r="B4490" s="159"/>
    </row>
    <row r="4491" spans="2:2" ht="15.6">
      <c r="B4491" s="159"/>
    </row>
    <row r="4492" spans="2:2" ht="15.6">
      <c r="B4492" s="159"/>
    </row>
    <row r="4493" spans="2:2" ht="15.6">
      <c r="B4493" s="159"/>
    </row>
    <row r="4494" spans="2:2" ht="15.6">
      <c r="B4494" s="159"/>
    </row>
    <row r="4495" spans="2:2" ht="15.6">
      <c r="B4495" s="159"/>
    </row>
    <row r="4496" spans="2:2" ht="15.6">
      <c r="B4496" s="159"/>
    </row>
    <row r="4497" spans="2:2" ht="15.6">
      <c r="B4497" s="159"/>
    </row>
    <row r="4498" spans="2:2" ht="15.6">
      <c r="B4498" s="159"/>
    </row>
    <row r="4499" spans="2:2" ht="15.6">
      <c r="B4499" s="159"/>
    </row>
    <row r="4500" spans="2:2" ht="15.6">
      <c r="B4500" s="159"/>
    </row>
    <row r="4501" spans="2:2" ht="15.6">
      <c r="B4501" s="159"/>
    </row>
    <row r="4502" spans="2:2" ht="15.6">
      <c r="B4502" s="159"/>
    </row>
    <row r="4503" spans="2:2" ht="15.6">
      <c r="B4503" s="159"/>
    </row>
    <row r="4504" spans="2:2" ht="15.6">
      <c r="B4504" s="159"/>
    </row>
    <row r="4505" spans="2:2" ht="15.6">
      <c r="B4505" s="159"/>
    </row>
    <row r="4506" spans="2:2" ht="15.6">
      <c r="B4506" s="159"/>
    </row>
    <row r="4507" spans="2:2" ht="15.6">
      <c r="B4507" s="159"/>
    </row>
    <row r="4508" spans="2:2" ht="15.6">
      <c r="B4508" s="159"/>
    </row>
    <row r="4509" spans="2:2" ht="15.6">
      <c r="B4509" s="159"/>
    </row>
    <row r="4510" spans="2:2" ht="15.6">
      <c r="B4510" s="159"/>
    </row>
    <row r="4511" spans="2:2" ht="15.6">
      <c r="B4511" s="159"/>
    </row>
    <row r="4512" spans="2:2" ht="15.6">
      <c r="B4512" s="159"/>
    </row>
    <row r="4513" spans="2:2" ht="15.6">
      <c r="B4513" s="159"/>
    </row>
    <row r="4514" spans="2:2" ht="15.6">
      <c r="B4514" s="159"/>
    </row>
    <row r="4515" spans="2:2" ht="15.6">
      <c r="B4515" s="159"/>
    </row>
    <row r="4516" spans="2:2" ht="15.6">
      <c r="B4516" s="159"/>
    </row>
    <row r="4517" spans="2:2" ht="15.6">
      <c r="B4517" s="159"/>
    </row>
    <row r="4518" spans="2:2" ht="15.6">
      <c r="B4518" s="159"/>
    </row>
    <row r="4519" spans="2:2" ht="15.6">
      <c r="B4519" s="159"/>
    </row>
    <row r="4520" spans="2:2" ht="15.6">
      <c r="B4520" s="159"/>
    </row>
    <row r="4521" spans="2:2" ht="15.6">
      <c r="B4521" s="159"/>
    </row>
    <row r="4522" spans="2:2" ht="15.6">
      <c r="B4522" s="159"/>
    </row>
    <row r="4523" spans="2:2" ht="15.6">
      <c r="B4523" s="159"/>
    </row>
    <row r="4524" spans="2:2" ht="15.6">
      <c r="B4524" s="159"/>
    </row>
    <row r="4525" spans="2:2" ht="15.6">
      <c r="B4525" s="159"/>
    </row>
    <row r="4526" spans="2:2" ht="15.6">
      <c r="B4526" s="159"/>
    </row>
    <row r="4527" spans="2:2" ht="15.6">
      <c r="B4527" s="159"/>
    </row>
    <row r="4528" spans="2:2" ht="15.6">
      <c r="B4528" s="159"/>
    </row>
    <row r="4529" spans="2:2" ht="15.6">
      <c r="B4529" s="159"/>
    </row>
    <row r="4530" spans="2:2" ht="15.6">
      <c r="B4530" s="159"/>
    </row>
    <row r="4531" spans="2:2" ht="15.6">
      <c r="B4531" s="159"/>
    </row>
    <row r="4532" spans="2:2" ht="15.6">
      <c r="B4532" s="159"/>
    </row>
    <row r="4533" spans="2:2" ht="15.6">
      <c r="B4533" s="159"/>
    </row>
    <row r="4534" spans="2:2" ht="15.6">
      <c r="B4534" s="159"/>
    </row>
    <row r="4535" spans="2:2" ht="15.6">
      <c r="B4535" s="159"/>
    </row>
    <row r="4536" spans="2:2" ht="15.6">
      <c r="B4536" s="159"/>
    </row>
    <row r="4537" spans="2:2" ht="15.6">
      <c r="B4537" s="159"/>
    </row>
    <row r="4538" spans="2:2" ht="15.6">
      <c r="B4538" s="159"/>
    </row>
    <row r="4539" spans="2:2" ht="15.6">
      <c r="B4539" s="159"/>
    </row>
    <row r="4540" spans="2:2" ht="15.6">
      <c r="B4540" s="159"/>
    </row>
    <row r="4541" spans="2:2" ht="15.6">
      <c r="B4541" s="159"/>
    </row>
    <row r="4542" spans="2:2" ht="15.6">
      <c r="B4542" s="159"/>
    </row>
    <row r="4543" spans="2:2" ht="15.6">
      <c r="B4543" s="159"/>
    </row>
    <row r="4544" spans="2:2" ht="15.6">
      <c r="B4544" s="159"/>
    </row>
    <row r="4545" spans="2:2" ht="15.6">
      <c r="B4545" s="159"/>
    </row>
    <row r="4546" spans="2:2" ht="15.6">
      <c r="B4546" s="159"/>
    </row>
    <row r="4547" spans="2:2" ht="15.6">
      <c r="B4547" s="159"/>
    </row>
    <row r="4548" spans="2:2" ht="15.6">
      <c r="B4548" s="159"/>
    </row>
    <row r="4549" spans="2:2" ht="15.6">
      <c r="B4549" s="159"/>
    </row>
    <row r="4550" spans="2:2" ht="15.6">
      <c r="B4550" s="159"/>
    </row>
    <row r="4551" spans="2:2" ht="15.6">
      <c r="B4551" s="159"/>
    </row>
    <row r="4552" spans="2:2" ht="15.6">
      <c r="B4552" s="159"/>
    </row>
    <row r="4553" spans="2:2" ht="15.6">
      <c r="B4553" s="159"/>
    </row>
    <row r="4554" spans="2:2" ht="15.6">
      <c r="B4554" s="159"/>
    </row>
    <row r="4555" spans="2:2" ht="15.6">
      <c r="B4555" s="159"/>
    </row>
    <row r="4556" spans="2:2" ht="15.6">
      <c r="B4556" s="159"/>
    </row>
    <row r="4557" spans="2:2" ht="15.6">
      <c r="B4557" s="159"/>
    </row>
    <row r="4558" spans="2:2" ht="15.6">
      <c r="B4558" s="159"/>
    </row>
    <row r="4559" spans="2:2" ht="15.6">
      <c r="B4559" s="159"/>
    </row>
    <row r="4560" spans="2:2" ht="15.6">
      <c r="B4560" s="159"/>
    </row>
    <row r="4561" spans="2:2" ht="15.6">
      <c r="B4561" s="159"/>
    </row>
    <row r="4562" spans="2:2" ht="15.6">
      <c r="B4562" s="159"/>
    </row>
    <row r="4563" spans="2:2" ht="15.6">
      <c r="B4563" s="159"/>
    </row>
    <row r="4564" spans="2:2" ht="15.6">
      <c r="B4564" s="159"/>
    </row>
    <row r="4565" spans="2:2" ht="15.6">
      <c r="B4565" s="159"/>
    </row>
    <row r="4566" spans="2:2" ht="15.6">
      <c r="B4566" s="159"/>
    </row>
    <row r="4567" spans="2:2" ht="15.6">
      <c r="B4567" s="159"/>
    </row>
    <row r="4568" spans="2:2" ht="15.6">
      <c r="B4568" s="159"/>
    </row>
    <row r="4569" spans="2:2" ht="15.6">
      <c r="B4569" s="159"/>
    </row>
    <row r="4570" spans="2:2" ht="15.6">
      <c r="B4570" s="159"/>
    </row>
    <row r="4571" spans="2:2" ht="15.6">
      <c r="B4571" s="159"/>
    </row>
    <row r="4572" spans="2:2" ht="15.6">
      <c r="B4572" s="159"/>
    </row>
    <row r="4573" spans="2:2" ht="15.6">
      <c r="B4573" s="159"/>
    </row>
    <row r="4574" spans="2:2" ht="15.6">
      <c r="B4574" s="159"/>
    </row>
    <row r="4575" spans="2:2" ht="15.6">
      <c r="B4575" s="159"/>
    </row>
    <row r="4576" spans="2:2" ht="15.6">
      <c r="B4576" s="159"/>
    </row>
    <row r="4577" spans="2:2" ht="15.6">
      <c r="B4577" s="159"/>
    </row>
    <row r="4578" spans="2:2" ht="15.6">
      <c r="B4578" s="159"/>
    </row>
    <row r="4579" spans="2:2" ht="15.6">
      <c r="B4579" s="159"/>
    </row>
    <row r="4580" spans="2:2" ht="15.6">
      <c r="B4580" s="159"/>
    </row>
    <row r="4581" spans="2:2" ht="15.6">
      <c r="B4581" s="159"/>
    </row>
    <row r="4582" spans="2:2" ht="15.6">
      <c r="B4582" s="159"/>
    </row>
    <row r="4583" spans="2:2" ht="15.6">
      <c r="B4583" s="159"/>
    </row>
    <row r="4584" spans="2:2" ht="15.6">
      <c r="B4584" s="159"/>
    </row>
    <row r="4585" spans="2:2" ht="15.6">
      <c r="B4585" s="159"/>
    </row>
    <row r="4586" spans="2:2" ht="15.6">
      <c r="B4586" s="159"/>
    </row>
    <row r="4587" spans="2:2" ht="15.6">
      <c r="B4587" s="159"/>
    </row>
    <row r="4588" spans="2:2" ht="15.6">
      <c r="B4588" s="159"/>
    </row>
    <row r="4589" spans="2:2" ht="15.6">
      <c r="B4589" s="159"/>
    </row>
    <row r="4590" spans="2:2" ht="15.6">
      <c r="B4590" s="159"/>
    </row>
    <row r="4591" spans="2:2" ht="15.6">
      <c r="B4591" s="159"/>
    </row>
    <row r="4592" spans="2:2" ht="15.6">
      <c r="B4592" s="159"/>
    </row>
    <row r="4593" spans="2:2" ht="15.6">
      <c r="B4593" s="159"/>
    </row>
    <row r="4594" spans="2:2" ht="15.6">
      <c r="B4594" s="159"/>
    </row>
    <row r="4595" spans="2:2" ht="15.6">
      <c r="B4595" s="159"/>
    </row>
    <row r="4596" spans="2:2" ht="15.6">
      <c r="B4596" s="159"/>
    </row>
    <row r="4597" spans="2:2" ht="15.6">
      <c r="B4597" s="159"/>
    </row>
    <row r="4598" spans="2:2" ht="15.6">
      <c r="B4598" s="159"/>
    </row>
    <row r="4599" spans="2:2" ht="15.6">
      <c r="B4599" s="159"/>
    </row>
    <row r="4600" spans="2:2" ht="15.6">
      <c r="B4600" s="159"/>
    </row>
    <row r="4601" spans="2:2" ht="15.6">
      <c r="B4601" s="159"/>
    </row>
    <row r="4602" spans="2:2" ht="15.6">
      <c r="B4602" s="159"/>
    </row>
    <row r="4603" spans="2:2" ht="15.6">
      <c r="B4603" s="159"/>
    </row>
    <row r="4604" spans="2:2" ht="15.6">
      <c r="B4604" s="159"/>
    </row>
    <row r="4605" spans="2:2" ht="15.6">
      <c r="B4605" s="159"/>
    </row>
    <row r="4606" spans="2:2" ht="15.6">
      <c r="B4606" s="159"/>
    </row>
    <row r="4607" spans="2:2" ht="15.6">
      <c r="B4607" s="159"/>
    </row>
    <row r="4608" spans="2:2" ht="15.6">
      <c r="B4608" s="159"/>
    </row>
    <row r="4609" spans="2:2" ht="15.6">
      <c r="B4609" s="159"/>
    </row>
    <row r="4610" spans="2:2" ht="15.6">
      <c r="B4610" s="159"/>
    </row>
    <row r="4611" spans="2:2" ht="15.6">
      <c r="B4611" s="159"/>
    </row>
    <row r="4612" spans="2:2" ht="15.6">
      <c r="B4612" s="159"/>
    </row>
    <row r="4613" spans="2:2" ht="15.6">
      <c r="B4613" s="159"/>
    </row>
    <row r="4614" spans="2:2" ht="15.6">
      <c r="B4614" s="159"/>
    </row>
    <row r="4615" spans="2:2" ht="15.6">
      <c r="B4615" s="159"/>
    </row>
    <row r="4616" spans="2:2" ht="15.6">
      <c r="B4616" s="159"/>
    </row>
    <row r="4617" spans="2:2" ht="15.6">
      <c r="B4617" s="159"/>
    </row>
    <row r="4618" spans="2:2" ht="15.6">
      <c r="B4618" s="159"/>
    </row>
    <row r="4619" spans="2:2" ht="15.6">
      <c r="B4619" s="159"/>
    </row>
    <row r="4620" spans="2:2" ht="15.6">
      <c r="B4620" s="159"/>
    </row>
    <row r="4621" spans="2:2" ht="15.6">
      <c r="B4621" s="159"/>
    </row>
    <row r="4622" spans="2:2" ht="15.6">
      <c r="B4622" s="159"/>
    </row>
    <row r="4623" spans="2:2" ht="15.6">
      <c r="B4623" s="159"/>
    </row>
    <row r="4624" spans="2:2" ht="15.6">
      <c r="B4624" s="159"/>
    </row>
    <row r="4625" spans="2:2" ht="15.6">
      <c r="B4625" s="159"/>
    </row>
    <row r="4626" spans="2:2" ht="15.6">
      <c r="B4626" s="159"/>
    </row>
    <row r="4627" spans="2:2" ht="15.6">
      <c r="B4627" s="159"/>
    </row>
    <row r="4628" spans="2:2" ht="15.6">
      <c r="B4628" s="159"/>
    </row>
    <row r="4629" spans="2:2" ht="15.6">
      <c r="B4629" s="159"/>
    </row>
    <row r="4630" spans="2:2" ht="15.6">
      <c r="B4630" s="159"/>
    </row>
    <row r="4631" spans="2:2" ht="15.6">
      <c r="B4631" s="159"/>
    </row>
    <row r="4632" spans="2:2" ht="15.6">
      <c r="B4632" s="159"/>
    </row>
    <row r="4633" spans="2:2" ht="15.6">
      <c r="B4633" s="159"/>
    </row>
    <row r="4634" spans="2:2" ht="15.6">
      <c r="B4634" s="159"/>
    </row>
    <row r="4635" spans="2:2" ht="15.6">
      <c r="B4635" s="159"/>
    </row>
    <row r="4636" spans="2:2" ht="15.6">
      <c r="B4636" s="159"/>
    </row>
    <row r="4637" spans="2:2" ht="15.6">
      <c r="B4637" s="159"/>
    </row>
    <row r="4638" spans="2:2" ht="15.6">
      <c r="B4638" s="159"/>
    </row>
    <row r="4639" spans="2:2" ht="15.6">
      <c r="B4639" s="159"/>
    </row>
    <row r="4640" spans="2:2" ht="15.6">
      <c r="B4640" s="159"/>
    </row>
    <row r="4641" spans="2:2" ht="15.6">
      <c r="B4641" s="159"/>
    </row>
    <row r="4642" spans="2:2" ht="15.6">
      <c r="B4642" s="159"/>
    </row>
    <row r="4643" spans="2:2" ht="15.6">
      <c r="B4643" s="159"/>
    </row>
    <row r="4644" spans="2:2" ht="15.6">
      <c r="B4644" s="159"/>
    </row>
    <row r="4645" spans="2:2" ht="15.6">
      <c r="B4645" s="159"/>
    </row>
    <row r="4646" spans="2:2" ht="15.6">
      <c r="B4646" s="159"/>
    </row>
    <row r="4647" spans="2:2" ht="15.6">
      <c r="B4647" s="159"/>
    </row>
    <row r="4648" spans="2:2" ht="15.6">
      <c r="B4648" s="159"/>
    </row>
    <row r="4649" spans="2:2" ht="15.6">
      <c r="B4649" s="159"/>
    </row>
    <row r="4650" spans="2:2" ht="15.6">
      <c r="B4650" s="159"/>
    </row>
    <row r="4651" spans="2:2" ht="15.6">
      <c r="B4651" s="159"/>
    </row>
    <row r="4652" spans="2:2" ht="15.6">
      <c r="B4652" s="159"/>
    </row>
    <row r="4653" spans="2:2" ht="15.6">
      <c r="B4653" s="159"/>
    </row>
    <row r="4654" spans="2:2" ht="15.6">
      <c r="B4654" s="159"/>
    </row>
    <row r="4655" spans="2:2" ht="15.6">
      <c r="B4655" s="159"/>
    </row>
    <row r="4656" spans="2:2" ht="15.6">
      <c r="B4656" s="159"/>
    </row>
    <row r="4657" spans="2:2" ht="15.6">
      <c r="B4657" s="159"/>
    </row>
    <row r="4658" spans="2:2" ht="15.6">
      <c r="B4658" s="159"/>
    </row>
    <row r="4659" spans="2:2" ht="15.6">
      <c r="B4659" s="159"/>
    </row>
    <row r="4660" spans="2:2" ht="15.6">
      <c r="B4660" s="159"/>
    </row>
    <row r="4661" spans="2:2" ht="15.6">
      <c r="B4661" s="159"/>
    </row>
    <row r="4662" spans="2:2" ht="15.6">
      <c r="B4662" s="159"/>
    </row>
    <row r="4663" spans="2:2" ht="15.6">
      <c r="B4663" s="159"/>
    </row>
    <row r="4664" spans="2:2" ht="15.6">
      <c r="B4664" s="159"/>
    </row>
    <row r="4665" spans="2:2" ht="15.6">
      <c r="B4665" s="159"/>
    </row>
    <row r="4666" spans="2:2" ht="15.6">
      <c r="B4666" s="159"/>
    </row>
    <row r="4667" spans="2:2" ht="15.6">
      <c r="B4667" s="159"/>
    </row>
    <row r="4668" spans="2:2" ht="15.6">
      <c r="B4668" s="159"/>
    </row>
    <row r="4669" spans="2:2" ht="15.6">
      <c r="B4669" s="159"/>
    </row>
    <row r="4670" spans="2:2" ht="15.6">
      <c r="B4670" s="159"/>
    </row>
    <row r="4671" spans="2:2" ht="15.6">
      <c r="B4671" s="159"/>
    </row>
    <row r="4672" spans="2:2" ht="15.6">
      <c r="B4672" s="159"/>
    </row>
    <row r="4673" spans="2:2" ht="15.6">
      <c r="B4673" s="159"/>
    </row>
    <row r="4674" spans="2:2" ht="15.6">
      <c r="B4674" s="159"/>
    </row>
    <row r="4675" spans="2:2" ht="15.6">
      <c r="B4675" s="159"/>
    </row>
    <row r="4676" spans="2:2" ht="15.6">
      <c r="B4676" s="159"/>
    </row>
    <row r="4677" spans="2:2" ht="15.6">
      <c r="B4677" s="159"/>
    </row>
    <row r="4678" spans="2:2" ht="15.6">
      <c r="B4678" s="159"/>
    </row>
    <row r="4679" spans="2:2" ht="15.6">
      <c r="B4679" s="159"/>
    </row>
    <row r="4680" spans="2:2" ht="15.6">
      <c r="B4680" s="159"/>
    </row>
    <row r="4681" spans="2:2" ht="15.6">
      <c r="B4681" s="159"/>
    </row>
    <row r="4682" spans="2:2" ht="15.6">
      <c r="B4682" s="159"/>
    </row>
    <row r="4683" spans="2:2" ht="15.6">
      <c r="B4683" s="159"/>
    </row>
    <row r="4684" spans="2:2" ht="15.6">
      <c r="B4684" s="159"/>
    </row>
    <row r="4685" spans="2:2" ht="15.6">
      <c r="B4685" s="159"/>
    </row>
    <row r="4686" spans="2:2" ht="15.6">
      <c r="B4686" s="159"/>
    </row>
    <row r="4687" spans="2:2" ht="15.6">
      <c r="B4687" s="159"/>
    </row>
    <row r="4688" spans="2:2" ht="15.6">
      <c r="B4688" s="159"/>
    </row>
    <row r="4689" spans="2:2" ht="15.6">
      <c r="B4689" s="159"/>
    </row>
    <row r="4690" spans="2:2" ht="15.6">
      <c r="B4690" s="159"/>
    </row>
    <row r="4691" spans="2:2" ht="15.6">
      <c r="B4691" s="159"/>
    </row>
    <row r="4692" spans="2:2" ht="15.6">
      <c r="B4692" s="159"/>
    </row>
    <row r="4693" spans="2:2" ht="15.6">
      <c r="B4693" s="159"/>
    </row>
    <row r="4694" spans="2:2" ht="15.6">
      <c r="B4694" s="159"/>
    </row>
    <row r="4695" spans="2:2" ht="15.6">
      <c r="B4695" s="159"/>
    </row>
    <row r="4696" spans="2:2" ht="15.6">
      <c r="B4696" s="159"/>
    </row>
    <row r="4697" spans="2:2" ht="15.6">
      <c r="B4697" s="159"/>
    </row>
    <row r="4698" spans="2:2" ht="15.6">
      <c r="B4698" s="159"/>
    </row>
    <row r="4699" spans="2:2" ht="15.6">
      <c r="B4699" s="159"/>
    </row>
    <row r="4700" spans="2:2" ht="15.6">
      <c r="B4700" s="159"/>
    </row>
    <row r="4701" spans="2:2" ht="15.6">
      <c r="B4701" s="159"/>
    </row>
    <row r="4702" spans="2:2" ht="15.6">
      <c r="B4702" s="159"/>
    </row>
    <row r="4703" spans="2:2" ht="15.6">
      <c r="B4703" s="159"/>
    </row>
    <row r="4704" spans="2:2" ht="15.6">
      <c r="B4704" s="159"/>
    </row>
    <row r="4705" spans="2:2" ht="15.6">
      <c r="B4705" s="159"/>
    </row>
    <row r="4706" spans="2:2" ht="15.6">
      <c r="B4706" s="159"/>
    </row>
    <row r="4707" spans="2:2" ht="15.6">
      <c r="B4707" s="159"/>
    </row>
    <row r="4708" spans="2:2" ht="15.6">
      <c r="B4708" s="159"/>
    </row>
    <row r="4709" spans="2:2" ht="15.6">
      <c r="B4709" s="159"/>
    </row>
    <row r="4710" spans="2:2" ht="15.6">
      <c r="B4710" s="159"/>
    </row>
    <row r="4711" spans="2:2" ht="15.6">
      <c r="B4711" s="159"/>
    </row>
    <row r="4712" spans="2:2" ht="15.6">
      <c r="B4712" s="159"/>
    </row>
    <row r="4713" spans="2:2" ht="15.6">
      <c r="B4713" s="159"/>
    </row>
    <row r="4714" spans="2:2" ht="15.6">
      <c r="B4714" s="159"/>
    </row>
    <row r="4715" spans="2:2" ht="15.6">
      <c r="B4715" s="159"/>
    </row>
    <row r="4716" spans="2:2" ht="15.6">
      <c r="B4716" s="159"/>
    </row>
    <row r="4717" spans="2:2" ht="15.6">
      <c r="B4717" s="159"/>
    </row>
    <row r="4718" spans="2:2" ht="15.6">
      <c r="B4718" s="159"/>
    </row>
    <row r="4719" spans="2:2" ht="15.6">
      <c r="B4719" s="159"/>
    </row>
    <row r="4720" spans="2:2" ht="15.6">
      <c r="B4720" s="159"/>
    </row>
    <row r="4721" spans="2:2" ht="15.6">
      <c r="B4721" s="159"/>
    </row>
    <row r="4722" spans="2:2" ht="15.6">
      <c r="B4722" s="159"/>
    </row>
    <row r="4723" spans="2:2" ht="15.6">
      <c r="B4723" s="159"/>
    </row>
    <row r="4724" spans="2:2" ht="15.6">
      <c r="B4724" s="159"/>
    </row>
    <row r="4725" spans="2:2" ht="15.6">
      <c r="B4725" s="159"/>
    </row>
    <row r="4726" spans="2:2" ht="15.6">
      <c r="B4726" s="159"/>
    </row>
    <row r="4727" spans="2:2" ht="15.6">
      <c r="B4727" s="159"/>
    </row>
    <row r="4728" spans="2:2" ht="15.6">
      <c r="B4728" s="159"/>
    </row>
    <row r="4729" spans="2:2" ht="15.6">
      <c r="B4729" s="159"/>
    </row>
    <row r="4730" spans="2:2" ht="15.6">
      <c r="B4730" s="159"/>
    </row>
    <row r="4731" spans="2:2" ht="15.6">
      <c r="B4731" s="159"/>
    </row>
    <row r="4732" spans="2:2" ht="15.6">
      <c r="B4732" s="159"/>
    </row>
    <row r="4733" spans="2:2" ht="15.6">
      <c r="B4733" s="159"/>
    </row>
    <row r="4734" spans="2:2" ht="15.6">
      <c r="B4734" s="159"/>
    </row>
    <row r="4735" spans="2:2" ht="15.6">
      <c r="B4735" s="159"/>
    </row>
    <row r="4736" spans="2:2" ht="15.6">
      <c r="B4736" s="159"/>
    </row>
    <row r="4737" spans="2:2" ht="15.6">
      <c r="B4737" s="159"/>
    </row>
    <row r="4738" spans="2:2" ht="15.6">
      <c r="B4738" s="159"/>
    </row>
    <row r="4739" spans="2:2" ht="15.6">
      <c r="B4739" s="159"/>
    </row>
    <row r="4740" spans="2:2" ht="15.6">
      <c r="B4740" s="159"/>
    </row>
    <row r="4741" spans="2:2" ht="15.6">
      <c r="B4741" s="159"/>
    </row>
    <row r="4742" spans="2:2" ht="15.6">
      <c r="B4742" s="159"/>
    </row>
    <row r="4743" spans="2:2" ht="15.6">
      <c r="B4743" s="159"/>
    </row>
    <row r="4744" spans="2:2" ht="15.6">
      <c r="B4744" s="159"/>
    </row>
    <row r="4745" spans="2:2" ht="15.6">
      <c r="B4745" s="159"/>
    </row>
    <row r="4746" spans="2:2" ht="15.6">
      <c r="B4746" s="159"/>
    </row>
    <row r="4747" spans="2:2" ht="15.6">
      <c r="B4747" s="159"/>
    </row>
    <row r="4748" spans="2:2" ht="15.6">
      <c r="B4748" s="159"/>
    </row>
    <row r="4749" spans="2:2" ht="15.6">
      <c r="B4749" s="159"/>
    </row>
    <row r="4750" spans="2:2" ht="15.6">
      <c r="B4750" s="159"/>
    </row>
    <row r="4751" spans="2:2" ht="15.6">
      <c r="B4751" s="159"/>
    </row>
    <row r="4752" spans="2:2" ht="15.6">
      <c r="B4752" s="159"/>
    </row>
    <row r="4753" spans="2:2" ht="15.6">
      <c r="B4753" s="159"/>
    </row>
    <row r="4754" spans="2:2" ht="15.6">
      <c r="B4754" s="159"/>
    </row>
    <row r="4755" spans="2:2" ht="15.6">
      <c r="B4755" s="159"/>
    </row>
    <row r="4756" spans="2:2" ht="15.6">
      <c r="B4756" s="159"/>
    </row>
    <row r="4757" spans="2:2" ht="15.6">
      <c r="B4757" s="159"/>
    </row>
    <row r="4758" spans="2:2" ht="15.6">
      <c r="B4758" s="159"/>
    </row>
    <row r="4759" spans="2:2" ht="15.6">
      <c r="B4759" s="159"/>
    </row>
    <row r="4760" spans="2:2" ht="15.6">
      <c r="B4760" s="159"/>
    </row>
    <row r="4761" spans="2:2" ht="15.6">
      <c r="B4761" s="159"/>
    </row>
    <row r="4762" spans="2:2" ht="15.6">
      <c r="B4762" s="159"/>
    </row>
    <row r="4763" spans="2:2" ht="15.6">
      <c r="B4763" s="159"/>
    </row>
    <row r="4764" spans="2:2" ht="15.6">
      <c r="B4764" s="159"/>
    </row>
    <row r="4765" spans="2:2" ht="15.6">
      <c r="B4765" s="159"/>
    </row>
    <row r="4766" spans="2:2" ht="15.6">
      <c r="B4766" s="159"/>
    </row>
    <row r="4767" spans="2:2" ht="15.6">
      <c r="B4767" s="159"/>
    </row>
    <row r="4768" spans="2:2" ht="15.6">
      <c r="B4768" s="159"/>
    </row>
    <row r="4769" spans="2:2" ht="15.6">
      <c r="B4769" s="159"/>
    </row>
    <row r="4770" spans="2:2" ht="15.6">
      <c r="B4770" s="159"/>
    </row>
    <row r="4771" spans="2:2" ht="15.6">
      <c r="B4771" s="159"/>
    </row>
    <row r="4772" spans="2:2" ht="15.6">
      <c r="B4772" s="159"/>
    </row>
    <row r="4773" spans="2:2" ht="15.6">
      <c r="B4773" s="159"/>
    </row>
    <row r="4774" spans="2:2" ht="15.6">
      <c r="B4774" s="159"/>
    </row>
    <row r="4775" spans="2:2" ht="15.6">
      <c r="B4775" s="159"/>
    </row>
    <row r="4776" spans="2:2" ht="15.6">
      <c r="B4776" s="159"/>
    </row>
    <row r="4777" spans="2:2" ht="15.6">
      <c r="B4777" s="159"/>
    </row>
    <row r="4778" spans="2:2" ht="15.6">
      <c r="B4778" s="159"/>
    </row>
    <row r="4779" spans="2:2" ht="15.6">
      <c r="B4779" s="159"/>
    </row>
    <row r="4780" spans="2:2" ht="15.6">
      <c r="B4780" s="159"/>
    </row>
    <row r="4781" spans="2:2" ht="15.6">
      <c r="B4781" s="159"/>
    </row>
    <row r="4782" spans="2:2" ht="15.6">
      <c r="B4782" s="159"/>
    </row>
    <row r="4783" spans="2:2" ht="15.6">
      <c r="B4783" s="159"/>
    </row>
    <row r="4784" spans="2:2" ht="15.6">
      <c r="B4784" s="159"/>
    </row>
    <row r="4785" spans="2:2" ht="15.6">
      <c r="B4785" s="159"/>
    </row>
    <row r="4786" spans="2:2" ht="15.6">
      <c r="B4786" s="159"/>
    </row>
    <row r="4787" spans="2:2" ht="15.6">
      <c r="B4787" s="159"/>
    </row>
    <row r="4788" spans="2:2" ht="15.6">
      <c r="B4788" s="159"/>
    </row>
    <row r="4789" spans="2:2" ht="15.6">
      <c r="B4789" s="159"/>
    </row>
    <row r="4790" spans="2:2" ht="15.6">
      <c r="B4790" s="159"/>
    </row>
    <row r="4791" spans="2:2" ht="15.6">
      <c r="B4791" s="159"/>
    </row>
    <row r="4792" spans="2:2" ht="15.6">
      <c r="B4792" s="159"/>
    </row>
    <row r="4793" spans="2:2" ht="15.6">
      <c r="B4793" s="159"/>
    </row>
    <row r="4794" spans="2:2" ht="15.6">
      <c r="B4794" s="159"/>
    </row>
    <row r="4795" spans="2:2" ht="15.6">
      <c r="B4795" s="159"/>
    </row>
    <row r="4796" spans="2:2" ht="15.6">
      <c r="B4796" s="159"/>
    </row>
    <row r="4797" spans="2:2" ht="15.6">
      <c r="B4797" s="159"/>
    </row>
    <row r="4798" spans="2:2" ht="15.6">
      <c r="B4798" s="159"/>
    </row>
    <row r="4799" spans="2:2" ht="15.6">
      <c r="B4799" s="159"/>
    </row>
    <row r="4800" spans="2:2" ht="15.6">
      <c r="B4800" s="159"/>
    </row>
    <row r="4801" spans="2:2" ht="15.6">
      <c r="B4801" s="159"/>
    </row>
    <row r="4802" spans="2:2" ht="15.6">
      <c r="B4802" s="159"/>
    </row>
    <row r="4803" spans="2:2" ht="15.6">
      <c r="B4803" s="159"/>
    </row>
    <row r="4804" spans="2:2" ht="15.6">
      <c r="B4804" s="159"/>
    </row>
    <row r="4805" spans="2:2" ht="15.6">
      <c r="B4805" s="159"/>
    </row>
    <row r="4806" spans="2:2" ht="15.6">
      <c r="B4806" s="159"/>
    </row>
    <row r="4807" spans="2:2" ht="15.6">
      <c r="B4807" s="159"/>
    </row>
    <row r="4808" spans="2:2" ht="15.6">
      <c r="B4808" s="159"/>
    </row>
    <row r="4809" spans="2:2" ht="15.6">
      <c r="B4809" s="159"/>
    </row>
    <row r="4810" spans="2:2" ht="15.6">
      <c r="B4810" s="159"/>
    </row>
    <row r="4811" spans="2:2" ht="15.6">
      <c r="B4811" s="159"/>
    </row>
    <row r="4812" spans="2:2" ht="15.6">
      <c r="B4812" s="159"/>
    </row>
    <row r="4813" spans="2:2" ht="15.6">
      <c r="B4813" s="159"/>
    </row>
    <row r="4814" spans="2:2" ht="15.6">
      <c r="B4814" s="159"/>
    </row>
    <row r="4815" spans="2:2" ht="15.6">
      <c r="B4815" s="159"/>
    </row>
    <row r="4816" spans="2:2" ht="15.6">
      <c r="B4816" s="159"/>
    </row>
    <row r="4817" spans="2:2" ht="15.6">
      <c r="B4817" s="159"/>
    </row>
    <row r="4818" spans="2:2" ht="15.6">
      <c r="B4818" s="159"/>
    </row>
    <row r="4819" spans="2:2" ht="15.6">
      <c r="B4819" s="159"/>
    </row>
    <row r="4820" spans="2:2" ht="15.6">
      <c r="B4820" s="159"/>
    </row>
    <row r="4821" spans="2:2" ht="15.6">
      <c r="B4821" s="159"/>
    </row>
    <row r="4822" spans="2:2" ht="15.6">
      <c r="B4822" s="159"/>
    </row>
    <row r="4823" spans="2:2" ht="15.6">
      <c r="B4823" s="159"/>
    </row>
    <row r="4824" spans="2:2" ht="15.6">
      <c r="B4824" s="159"/>
    </row>
    <row r="4825" spans="2:2" ht="15.6">
      <c r="B4825" s="159"/>
    </row>
    <row r="4826" spans="2:2" ht="15.6">
      <c r="B4826" s="159"/>
    </row>
    <row r="4827" spans="2:2" ht="15.6">
      <c r="B4827" s="159"/>
    </row>
    <row r="4828" spans="2:2" ht="15.6">
      <c r="B4828" s="159"/>
    </row>
    <row r="4829" spans="2:2" ht="15.6">
      <c r="B4829" s="159"/>
    </row>
    <row r="4830" spans="2:2" ht="15.6">
      <c r="B4830" s="159"/>
    </row>
    <row r="4831" spans="2:2" ht="15.6">
      <c r="B4831" s="159"/>
    </row>
    <row r="4832" spans="2:2" ht="15.6">
      <c r="B4832" s="159"/>
    </row>
    <row r="4833" spans="2:2" ht="15.6">
      <c r="B4833" s="159"/>
    </row>
    <row r="4834" spans="2:2" ht="15.6">
      <c r="B4834" s="159"/>
    </row>
    <row r="4835" spans="2:2" ht="15.6">
      <c r="B4835" s="159"/>
    </row>
    <row r="4836" spans="2:2" ht="15.6">
      <c r="B4836" s="159"/>
    </row>
    <row r="4837" spans="2:2" ht="15.6">
      <c r="B4837" s="159"/>
    </row>
    <row r="4838" spans="2:2" ht="15.6">
      <c r="B4838" s="159"/>
    </row>
    <row r="4839" spans="2:2" ht="15.6">
      <c r="B4839" s="159"/>
    </row>
    <row r="4840" spans="2:2" ht="15.6">
      <c r="B4840" s="159"/>
    </row>
    <row r="4841" spans="2:2" ht="15.6">
      <c r="B4841" s="159"/>
    </row>
    <row r="4842" spans="2:2" ht="15.6">
      <c r="B4842" s="159"/>
    </row>
    <row r="4843" spans="2:2" ht="15.6">
      <c r="B4843" s="159"/>
    </row>
    <row r="4844" spans="2:2" ht="15.6">
      <c r="B4844" s="159"/>
    </row>
    <row r="4845" spans="2:2" ht="15.6">
      <c r="B4845" s="159"/>
    </row>
    <row r="4846" spans="2:2" ht="15.6">
      <c r="B4846" s="159"/>
    </row>
    <row r="4847" spans="2:2" ht="15.6">
      <c r="B4847" s="159"/>
    </row>
    <row r="4848" spans="2:2" ht="15.6">
      <c r="B4848" s="159"/>
    </row>
    <row r="4849" spans="2:2" ht="15.6">
      <c r="B4849" s="159"/>
    </row>
    <row r="4850" spans="2:2" ht="15.6">
      <c r="B4850" s="159"/>
    </row>
    <row r="4851" spans="2:2" ht="15.6">
      <c r="B4851" s="159"/>
    </row>
    <row r="4852" spans="2:2" ht="15.6">
      <c r="B4852" s="159"/>
    </row>
    <row r="4853" spans="2:2" ht="15.6">
      <c r="B4853" s="159"/>
    </row>
    <row r="4854" spans="2:2" ht="15.6">
      <c r="B4854" s="159"/>
    </row>
    <row r="4855" spans="2:2" ht="15.6">
      <c r="B4855" s="159"/>
    </row>
    <row r="4856" spans="2:2" ht="15.6">
      <c r="B4856" s="159"/>
    </row>
    <row r="4857" spans="2:2" ht="15.6">
      <c r="B4857" s="159"/>
    </row>
    <row r="4858" spans="2:2" ht="15.6">
      <c r="B4858" s="159"/>
    </row>
    <row r="4859" spans="2:2" ht="15.6">
      <c r="B4859" s="159"/>
    </row>
    <row r="4860" spans="2:2" ht="15.6">
      <c r="B4860" s="159"/>
    </row>
    <row r="4861" spans="2:2" ht="15.6">
      <c r="B4861" s="159"/>
    </row>
    <row r="4862" spans="2:2" ht="15.6">
      <c r="B4862" s="159"/>
    </row>
    <row r="4863" spans="2:2" ht="15.6">
      <c r="B4863" s="159"/>
    </row>
    <row r="4864" spans="2:2" ht="15.6">
      <c r="B4864" s="159"/>
    </row>
    <row r="4865" spans="2:2" ht="15.6">
      <c r="B4865" s="159"/>
    </row>
    <row r="4866" spans="2:2" ht="15.6">
      <c r="B4866" s="159"/>
    </row>
    <row r="4867" spans="2:2" ht="15.6">
      <c r="B4867" s="159"/>
    </row>
    <row r="4868" spans="2:2" ht="15.6">
      <c r="B4868" s="159"/>
    </row>
    <row r="4869" spans="2:2" ht="15.6">
      <c r="B4869" s="159"/>
    </row>
    <row r="4870" spans="2:2" ht="15.6">
      <c r="B4870" s="159"/>
    </row>
    <row r="4871" spans="2:2" ht="15.6">
      <c r="B4871" s="159"/>
    </row>
    <row r="4872" spans="2:2" ht="15.6">
      <c r="B4872" s="159"/>
    </row>
    <row r="4873" spans="2:2" ht="15.6">
      <c r="B4873" s="159"/>
    </row>
    <row r="4874" spans="2:2" ht="15.6">
      <c r="B4874" s="159"/>
    </row>
    <row r="4875" spans="2:2" ht="15.6">
      <c r="B4875" s="159"/>
    </row>
    <row r="4876" spans="2:2" ht="15.6">
      <c r="B4876" s="159"/>
    </row>
    <row r="4877" spans="2:2" ht="15.6">
      <c r="B4877" s="159"/>
    </row>
    <row r="4878" spans="2:2" ht="15.6">
      <c r="B4878" s="159"/>
    </row>
    <row r="4879" spans="2:2" ht="15.6">
      <c r="B4879" s="159"/>
    </row>
    <row r="4880" spans="2:2" ht="15.6">
      <c r="B4880" s="159"/>
    </row>
    <row r="4881" spans="2:2" ht="15.6">
      <c r="B4881" s="159"/>
    </row>
    <row r="4882" spans="2:2" ht="15.6">
      <c r="B4882" s="159"/>
    </row>
    <row r="4883" spans="2:2" ht="15.6">
      <c r="B4883" s="159"/>
    </row>
    <row r="4884" spans="2:2" ht="15.6">
      <c r="B4884" s="159"/>
    </row>
    <row r="4885" spans="2:2" ht="15.6">
      <c r="B4885" s="159"/>
    </row>
    <row r="4886" spans="2:2" ht="15.6">
      <c r="B4886" s="159"/>
    </row>
    <row r="4887" spans="2:2" ht="15.6">
      <c r="B4887" s="159"/>
    </row>
    <row r="4888" spans="2:2" ht="15.6">
      <c r="B4888" s="159"/>
    </row>
    <row r="4889" spans="2:2" ht="15.6">
      <c r="B4889" s="159"/>
    </row>
    <row r="4890" spans="2:2" ht="15.6">
      <c r="B4890" s="159"/>
    </row>
    <row r="4891" spans="2:2" ht="15.6">
      <c r="B4891" s="159"/>
    </row>
    <row r="4892" spans="2:2" ht="15.6">
      <c r="B4892" s="159"/>
    </row>
    <row r="4893" spans="2:2" ht="15.6">
      <c r="B4893" s="159"/>
    </row>
    <row r="4894" spans="2:2" ht="15.6">
      <c r="B4894" s="159"/>
    </row>
    <row r="4895" spans="2:2" ht="15.6">
      <c r="B4895" s="159"/>
    </row>
    <row r="4896" spans="2:2" ht="15.6">
      <c r="B4896" s="159"/>
    </row>
    <row r="4897" spans="2:2" ht="15.6">
      <c r="B4897" s="159"/>
    </row>
    <row r="4898" spans="2:2" ht="15.6">
      <c r="B4898" s="159"/>
    </row>
    <row r="4899" spans="2:2" ht="15.6">
      <c r="B4899" s="159"/>
    </row>
    <row r="4900" spans="2:2" ht="15.6">
      <c r="B4900" s="159"/>
    </row>
    <row r="4901" spans="2:2" ht="15.6">
      <c r="B4901" s="159"/>
    </row>
    <row r="4902" spans="2:2" ht="15.6">
      <c r="B4902" s="159"/>
    </row>
    <row r="4903" spans="2:2" ht="15.6">
      <c r="B4903" s="159"/>
    </row>
    <row r="4904" spans="2:2" ht="15.6">
      <c r="B4904" s="159"/>
    </row>
    <row r="4905" spans="2:2" ht="15.6">
      <c r="B4905" s="159"/>
    </row>
    <row r="4906" spans="2:2" ht="15.6">
      <c r="B4906" s="159"/>
    </row>
    <row r="4907" spans="2:2" ht="15.6">
      <c r="B4907" s="159"/>
    </row>
    <row r="4908" spans="2:2" ht="15.6">
      <c r="B4908" s="159"/>
    </row>
    <row r="4909" spans="2:2" ht="15.6">
      <c r="B4909" s="159"/>
    </row>
    <row r="4910" spans="2:2" ht="15.6">
      <c r="B4910" s="159"/>
    </row>
    <row r="4911" spans="2:2" ht="15.6">
      <c r="B4911" s="159"/>
    </row>
    <row r="4912" spans="2:2" ht="15.6">
      <c r="B4912" s="159"/>
    </row>
    <row r="4913" spans="2:2" ht="15.6">
      <c r="B4913" s="159"/>
    </row>
    <row r="4914" spans="2:2" ht="15.6">
      <c r="B4914" s="159"/>
    </row>
    <row r="4915" spans="2:2" ht="15.6">
      <c r="B4915" s="159"/>
    </row>
    <row r="4916" spans="2:2" ht="15.6">
      <c r="B4916" s="159"/>
    </row>
    <row r="4917" spans="2:2" ht="15.6">
      <c r="B4917" s="159"/>
    </row>
    <row r="4918" spans="2:2" ht="15.6">
      <c r="B4918" s="159"/>
    </row>
    <row r="4919" spans="2:2" ht="15.6">
      <c r="B4919" s="159"/>
    </row>
    <row r="4920" spans="2:2" ht="15.6">
      <c r="B4920" s="159"/>
    </row>
    <row r="4921" spans="2:2" ht="15.6">
      <c r="B4921" s="159"/>
    </row>
    <row r="4922" spans="2:2" ht="15.6">
      <c r="B4922" s="159"/>
    </row>
    <row r="4923" spans="2:2" ht="15.6">
      <c r="B4923" s="159"/>
    </row>
    <row r="4924" spans="2:2" ht="15.6">
      <c r="B4924" s="159"/>
    </row>
    <row r="4925" spans="2:2" ht="15.6">
      <c r="B4925" s="159"/>
    </row>
    <row r="4926" spans="2:2" ht="15.6">
      <c r="B4926" s="159"/>
    </row>
    <row r="4927" spans="2:2" ht="15.6">
      <c r="B4927" s="159"/>
    </row>
    <row r="4928" spans="2:2" ht="15.6">
      <c r="B4928" s="159"/>
    </row>
    <row r="4929" spans="2:2" ht="15.6">
      <c r="B4929" s="159"/>
    </row>
    <row r="4930" spans="2:2" ht="15.6">
      <c r="B4930" s="159"/>
    </row>
    <row r="4931" spans="2:2" ht="15.6">
      <c r="B4931" s="159"/>
    </row>
    <row r="4932" spans="2:2" ht="15.6">
      <c r="B4932" s="159"/>
    </row>
    <row r="4933" spans="2:2" ht="15.6">
      <c r="B4933" s="159"/>
    </row>
    <row r="4934" spans="2:2" ht="15.6">
      <c r="B4934" s="159"/>
    </row>
    <row r="4935" spans="2:2" ht="15.6">
      <c r="B4935" s="159"/>
    </row>
    <row r="4936" spans="2:2" ht="15.6">
      <c r="B4936" s="159"/>
    </row>
    <row r="4937" spans="2:2" ht="15.6">
      <c r="B4937" s="159"/>
    </row>
    <row r="4938" spans="2:2" ht="15.6">
      <c r="B4938" s="159"/>
    </row>
    <row r="4939" spans="2:2" ht="15.6">
      <c r="B4939" s="159"/>
    </row>
    <row r="4940" spans="2:2" ht="15.6">
      <c r="B4940" s="159"/>
    </row>
    <row r="4941" spans="2:2" ht="15.6">
      <c r="B4941" s="159"/>
    </row>
    <row r="4942" spans="2:2" ht="15.6">
      <c r="B4942" s="159"/>
    </row>
    <row r="4943" spans="2:2" ht="15.6">
      <c r="B4943" s="159"/>
    </row>
    <row r="4944" spans="2:2" ht="15.6">
      <c r="B4944" s="159"/>
    </row>
    <row r="4945" spans="2:2" ht="15.6">
      <c r="B4945" s="159"/>
    </row>
    <row r="4946" spans="2:2" ht="15.6">
      <c r="B4946" s="159"/>
    </row>
    <row r="4947" spans="2:2" ht="15.6">
      <c r="B4947" s="159"/>
    </row>
    <row r="4948" spans="2:2" ht="15.6">
      <c r="B4948" s="159"/>
    </row>
    <row r="4949" spans="2:2" ht="15.6">
      <c r="B4949" s="159"/>
    </row>
    <row r="4950" spans="2:2" ht="15.6">
      <c r="B4950" s="159"/>
    </row>
    <row r="4951" spans="2:2" ht="15.6">
      <c r="B4951" s="159"/>
    </row>
    <row r="4952" spans="2:2" ht="15.6">
      <c r="B4952" s="159"/>
    </row>
    <row r="4953" spans="2:2" ht="15.6">
      <c r="B4953" s="159"/>
    </row>
    <row r="4954" spans="2:2" ht="15.6">
      <c r="B4954" s="159"/>
    </row>
    <row r="4955" spans="2:2" ht="15.6">
      <c r="B4955" s="159"/>
    </row>
    <row r="4956" spans="2:2" ht="15.6">
      <c r="B4956" s="159"/>
    </row>
    <row r="4957" spans="2:2" ht="15.6">
      <c r="B4957" s="159"/>
    </row>
    <row r="4958" spans="2:2" ht="15.6">
      <c r="B4958" s="159"/>
    </row>
    <row r="4959" spans="2:2" ht="15.6">
      <c r="B4959" s="159"/>
    </row>
    <row r="4960" spans="2:2" ht="15.6">
      <c r="B4960" s="159"/>
    </row>
    <row r="4961" spans="2:2" ht="15.6">
      <c r="B4961" s="159"/>
    </row>
    <row r="4962" spans="2:2" ht="15.6">
      <c r="B4962" s="159"/>
    </row>
    <row r="4963" spans="2:2" ht="15.6">
      <c r="B4963" s="159"/>
    </row>
    <row r="4964" spans="2:2" ht="15.6">
      <c r="B4964" s="159"/>
    </row>
    <row r="4965" spans="2:2" ht="15.6">
      <c r="B4965" s="159"/>
    </row>
    <row r="4966" spans="2:2" ht="15.6">
      <c r="B4966" s="159"/>
    </row>
    <row r="4967" spans="2:2" ht="15.6">
      <c r="B4967" s="159"/>
    </row>
    <row r="4968" spans="2:2" ht="15.6">
      <c r="B4968" s="159"/>
    </row>
    <row r="4969" spans="2:2" ht="15.6">
      <c r="B4969" s="159"/>
    </row>
    <row r="4970" spans="2:2" ht="15.6">
      <c r="B4970" s="159"/>
    </row>
    <row r="4971" spans="2:2" ht="15.6">
      <c r="B4971" s="159"/>
    </row>
    <row r="4972" spans="2:2" ht="15.6">
      <c r="B4972" s="159"/>
    </row>
    <row r="4973" spans="2:2" ht="15.6">
      <c r="B4973" s="159"/>
    </row>
    <row r="4974" spans="2:2" ht="15.6">
      <c r="B4974" s="159"/>
    </row>
    <row r="4975" spans="2:2" ht="15.6">
      <c r="B4975" s="159"/>
    </row>
    <row r="4976" spans="2:2" ht="15.6">
      <c r="B4976" s="159"/>
    </row>
    <row r="4977" spans="2:2" ht="15.6">
      <c r="B4977" s="159"/>
    </row>
    <row r="4978" spans="2:2" ht="15.6">
      <c r="B4978" s="159"/>
    </row>
    <row r="4979" spans="2:2" ht="15.6">
      <c r="B4979" s="159"/>
    </row>
    <row r="4980" spans="2:2" ht="15.6">
      <c r="B4980" s="159"/>
    </row>
    <row r="4981" spans="2:2" ht="15.6">
      <c r="B4981" s="159"/>
    </row>
    <row r="4982" spans="2:2" ht="15.6">
      <c r="B4982" s="159"/>
    </row>
    <row r="4983" spans="2:2" ht="15.6">
      <c r="B4983" s="159"/>
    </row>
    <row r="4984" spans="2:2" ht="15.6">
      <c r="B4984" s="159"/>
    </row>
    <row r="4985" spans="2:2" ht="15.6">
      <c r="B4985" s="159"/>
    </row>
    <row r="4986" spans="2:2" ht="15.6">
      <c r="B4986" s="159"/>
    </row>
    <row r="4987" spans="2:2" ht="15.6">
      <c r="B4987" s="159"/>
    </row>
    <row r="4988" spans="2:2" ht="15.6">
      <c r="B4988" s="159"/>
    </row>
    <row r="4989" spans="2:2" ht="15.6">
      <c r="B4989" s="159"/>
    </row>
    <row r="4990" spans="2:2" ht="15.6">
      <c r="B4990" s="159"/>
    </row>
    <row r="4991" spans="2:2" ht="15.6">
      <c r="B4991" s="159"/>
    </row>
    <row r="4992" spans="2:2" ht="15.6">
      <c r="B4992" s="159"/>
    </row>
    <row r="4993" spans="2:2" ht="15.6">
      <c r="B4993" s="159"/>
    </row>
    <row r="4994" spans="2:2" ht="15.6">
      <c r="B4994" s="159"/>
    </row>
    <row r="4995" spans="2:2" ht="15.6">
      <c r="B4995" s="159"/>
    </row>
    <row r="4996" spans="2:2" ht="15.6">
      <c r="B4996" s="159"/>
    </row>
    <row r="4997" spans="2:2" ht="15.6">
      <c r="B4997" s="159"/>
    </row>
    <row r="4998" spans="2:2" ht="15.6">
      <c r="B4998" s="159"/>
    </row>
    <row r="4999" spans="2:2" ht="15.6">
      <c r="B4999" s="159"/>
    </row>
    <row r="5000" spans="2:2" ht="15.6">
      <c r="B5000" s="159"/>
    </row>
    <row r="5001" spans="2:2" ht="15.6">
      <c r="B5001" s="159"/>
    </row>
    <row r="5002" spans="2:2" ht="15.6">
      <c r="B5002" s="159"/>
    </row>
    <row r="5003" spans="2:2" ht="15.6">
      <c r="B5003" s="159"/>
    </row>
    <row r="5004" spans="2:2" ht="15.6">
      <c r="B5004" s="159"/>
    </row>
    <row r="5005" spans="2:2" ht="15.6">
      <c r="B5005" s="159"/>
    </row>
    <row r="5006" spans="2:2" ht="15.6">
      <c r="B5006" s="159"/>
    </row>
    <row r="5007" spans="2:2" ht="15.6">
      <c r="B5007" s="159"/>
    </row>
    <row r="5008" spans="2:2" ht="15.6">
      <c r="B5008" s="159"/>
    </row>
    <row r="5009" spans="2:2" ht="15.6">
      <c r="B5009" s="159"/>
    </row>
    <row r="5010" spans="2:2" ht="15.6">
      <c r="B5010" s="159"/>
    </row>
    <row r="5011" spans="2:2" ht="15.6">
      <c r="B5011" s="159"/>
    </row>
    <row r="5012" spans="2:2" ht="15.6">
      <c r="B5012" s="159"/>
    </row>
    <row r="5013" spans="2:2" ht="15.6">
      <c r="B5013" s="159"/>
    </row>
    <row r="5014" spans="2:2" ht="15.6">
      <c r="B5014" s="159"/>
    </row>
    <row r="5015" spans="2:2" ht="15.6">
      <c r="B5015" s="159"/>
    </row>
    <row r="5016" spans="2:2" ht="15.6">
      <c r="B5016" s="159"/>
    </row>
    <row r="5017" spans="2:2" ht="15.6">
      <c r="B5017" s="159"/>
    </row>
    <row r="5018" spans="2:2" ht="15.6">
      <c r="B5018" s="159"/>
    </row>
    <row r="5019" spans="2:2" ht="15.6">
      <c r="B5019" s="159"/>
    </row>
    <row r="5020" spans="2:2" ht="15.6">
      <c r="B5020" s="159"/>
    </row>
    <row r="5021" spans="2:2" ht="15.6">
      <c r="B5021" s="159"/>
    </row>
    <row r="5022" spans="2:2" ht="15.6">
      <c r="B5022" s="159"/>
    </row>
    <row r="5023" spans="2:2" ht="15.6">
      <c r="B5023" s="159"/>
    </row>
    <row r="5024" spans="2:2" ht="15.6">
      <c r="B5024" s="159"/>
    </row>
    <row r="5025" spans="2:2" ht="15.6">
      <c r="B5025" s="159"/>
    </row>
    <row r="5026" spans="2:2" ht="15.6">
      <c r="B5026" s="159"/>
    </row>
    <row r="5027" spans="2:2" ht="15.6">
      <c r="B5027" s="159"/>
    </row>
    <row r="5028" spans="2:2" ht="15.6">
      <c r="B5028" s="159"/>
    </row>
    <row r="5029" spans="2:2" ht="15.6">
      <c r="B5029" s="159"/>
    </row>
    <row r="5030" spans="2:2" ht="15.6">
      <c r="B5030" s="159"/>
    </row>
    <row r="5031" spans="2:2" ht="15.6">
      <c r="B5031" s="159"/>
    </row>
    <row r="5032" spans="2:2" ht="15.6">
      <c r="B5032" s="159"/>
    </row>
    <row r="5033" spans="2:2" ht="15.6">
      <c r="B5033" s="159"/>
    </row>
    <row r="5034" spans="2:2" ht="15.6">
      <c r="B5034" s="159"/>
    </row>
    <row r="5035" spans="2:2" ht="15.6">
      <c r="B5035" s="159"/>
    </row>
    <row r="5036" spans="2:2" ht="15.6">
      <c r="B5036" s="159"/>
    </row>
    <row r="5037" spans="2:2" ht="15.6">
      <c r="B5037" s="159"/>
    </row>
    <row r="5038" spans="2:2" ht="15.6">
      <c r="B5038" s="159"/>
    </row>
    <row r="5039" spans="2:2" ht="15.6">
      <c r="B5039" s="159"/>
    </row>
    <row r="5040" spans="2:2" ht="15.6">
      <c r="B5040" s="159"/>
    </row>
    <row r="5041" spans="2:2" ht="15.6">
      <c r="B5041" s="159"/>
    </row>
    <row r="5042" spans="2:2" ht="15.6">
      <c r="B5042" s="159"/>
    </row>
    <row r="5043" spans="2:2" ht="15.6">
      <c r="B5043" s="159"/>
    </row>
    <row r="5044" spans="2:2" ht="15.6">
      <c r="B5044" s="159"/>
    </row>
    <row r="5045" spans="2:2" ht="15.6">
      <c r="B5045" s="159"/>
    </row>
    <row r="5046" spans="2:2" ht="15.6">
      <c r="B5046" s="159"/>
    </row>
    <row r="5047" spans="2:2" ht="15.6">
      <c r="B5047" s="159"/>
    </row>
    <row r="5048" spans="2:2" ht="15.6">
      <c r="B5048" s="159"/>
    </row>
    <row r="5049" spans="2:2" ht="15.6">
      <c r="B5049" s="159"/>
    </row>
    <row r="5050" spans="2:2" ht="15.6">
      <c r="B5050" s="159"/>
    </row>
    <row r="5051" spans="2:2" ht="15.6">
      <c r="B5051" s="159"/>
    </row>
    <row r="5052" spans="2:2" ht="15.6">
      <c r="B5052" s="159"/>
    </row>
    <row r="5053" spans="2:2" ht="15.6">
      <c r="B5053" s="159"/>
    </row>
    <row r="5054" spans="2:2" ht="15.6">
      <c r="B5054" s="159"/>
    </row>
    <row r="5055" spans="2:2" ht="15.6">
      <c r="B5055" s="159"/>
    </row>
    <row r="5056" spans="2:2" ht="15.6">
      <c r="B5056" s="159"/>
    </row>
    <row r="5057" spans="2:2" ht="15.6">
      <c r="B5057" s="159"/>
    </row>
    <row r="5058" spans="2:2" ht="15.6">
      <c r="B5058" s="159"/>
    </row>
    <row r="5059" spans="2:2" ht="15.6">
      <c r="B5059" s="159"/>
    </row>
    <row r="5060" spans="2:2" ht="15.6">
      <c r="B5060" s="159"/>
    </row>
    <row r="5061" spans="2:2" ht="15.6">
      <c r="B5061" s="159"/>
    </row>
    <row r="5062" spans="2:2" ht="15.6">
      <c r="B5062" s="159"/>
    </row>
    <row r="5063" spans="2:2" ht="15.6">
      <c r="B5063" s="159"/>
    </row>
    <row r="5064" spans="2:2" ht="15.6">
      <c r="B5064" s="159"/>
    </row>
    <row r="5065" spans="2:2" ht="15.6">
      <c r="B5065" s="159"/>
    </row>
    <row r="5066" spans="2:2" ht="15.6">
      <c r="B5066" s="159"/>
    </row>
    <row r="5067" spans="2:2" ht="15.6">
      <c r="B5067" s="159"/>
    </row>
    <row r="5068" spans="2:2" ht="15.6">
      <c r="B5068" s="159"/>
    </row>
    <row r="5069" spans="2:2" ht="15.6">
      <c r="B5069" s="159"/>
    </row>
    <row r="5070" spans="2:2" ht="15.6">
      <c r="B5070" s="159"/>
    </row>
    <row r="5071" spans="2:2" ht="15.6">
      <c r="B5071" s="159"/>
    </row>
    <row r="5072" spans="2:2" ht="15.6">
      <c r="B5072" s="159"/>
    </row>
    <row r="5073" spans="2:2" ht="15.6">
      <c r="B5073" s="159"/>
    </row>
    <row r="5074" spans="2:2" ht="15.6">
      <c r="B5074" s="159"/>
    </row>
    <row r="5075" spans="2:2" ht="15.6">
      <c r="B5075" s="159"/>
    </row>
    <row r="5076" spans="2:2" ht="15.6">
      <c r="B5076" s="159"/>
    </row>
    <row r="5077" spans="2:2" ht="15.6">
      <c r="B5077" s="159"/>
    </row>
    <row r="5078" spans="2:2" ht="15.6">
      <c r="B5078" s="159"/>
    </row>
    <row r="5079" spans="2:2" ht="15.6">
      <c r="B5079" s="159"/>
    </row>
    <row r="5080" spans="2:2" ht="15.6">
      <c r="B5080" s="159"/>
    </row>
    <row r="5081" spans="2:2" ht="15.6">
      <c r="B5081" s="159"/>
    </row>
    <row r="5082" spans="2:2" ht="15.6">
      <c r="B5082" s="159"/>
    </row>
    <row r="5083" spans="2:2" ht="15.6">
      <c r="B5083" s="159"/>
    </row>
    <row r="5084" spans="2:2" ht="15.6">
      <c r="B5084" s="159"/>
    </row>
    <row r="5085" spans="2:2" ht="15.6">
      <c r="B5085" s="159"/>
    </row>
    <row r="5086" spans="2:2" ht="15.6">
      <c r="B5086" s="159"/>
    </row>
    <row r="5087" spans="2:2" ht="15.6">
      <c r="B5087" s="159"/>
    </row>
    <row r="5088" spans="2:2" ht="15.6">
      <c r="B5088" s="159"/>
    </row>
    <row r="5089" spans="2:2" ht="15.6">
      <c r="B5089" s="159"/>
    </row>
    <row r="5090" spans="2:2" ht="15.6">
      <c r="B5090" s="159"/>
    </row>
    <row r="5091" spans="2:2" ht="15.6">
      <c r="B5091" s="159"/>
    </row>
    <row r="5092" spans="2:2" ht="15.6">
      <c r="B5092" s="159"/>
    </row>
    <row r="5093" spans="2:2" ht="15.6">
      <c r="B5093" s="159"/>
    </row>
    <row r="5094" spans="2:2" ht="15.6">
      <c r="B5094" s="159"/>
    </row>
    <row r="5095" spans="2:2" ht="15.6">
      <c r="B5095" s="159"/>
    </row>
    <row r="5096" spans="2:2" ht="15.6">
      <c r="B5096" s="159"/>
    </row>
    <row r="5097" spans="2:2" ht="15.6">
      <c r="B5097" s="159"/>
    </row>
    <row r="5098" spans="2:2" ht="15.6">
      <c r="B5098" s="159"/>
    </row>
    <row r="5099" spans="2:2" ht="15.6">
      <c r="B5099" s="159"/>
    </row>
    <row r="5100" spans="2:2" ht="15.6">
      <c r="B5100" s="159"/>
    </row>
    <row r="5101" spans="2:2" ht="15.6">
      <c r="B5101" s="159"/>
    </row>
    <row r="5102" spans="2:2" ht="15.6">
      <c r="B5102" s="159"/>
    </row>
    <row r="5103" spans="2:2" ht="15.6">
      <c r="B5103" s="159"/>
    </row>
    <row r="5104" spans="2:2" ht="15.6">
      <c r="B5104" s="159"/>
    </row>
    <row r="5105" spans="2:2" ht="15.6">
      <c r="B5105" s="159"/>
    </row>
    <row r="5106" spans="2:2" ht="15.6">
      <c r="B5106" s="159"/>
    </row>
    <row r="5107" spans="2:2" ht="15.6">
      <c r="B5107" s="159"/>
    </row>
    <row r="5108" spans="2:2" ht="15.6">
      <c r="B5108" s="159"/>
    </row>
    <row r="5109" spans="2:2" ht="15.6">
      <c r="B5109" s="159"/>
    </row>
    <row r="5110" spans="2:2" ht="15.6">
      <c r="B5110" s="159"/>
    </row>
    <row r="5111" spans="2:2" ht="15.6">
      <c r="B5111" s="159"/>
    </row>
    <row r="5112" spans="2:2" ht="15.6">
      <c r="B5112" s="159"/>
    </row>
    <row r="5113" spans="2:2" ht="15.6">
      <c r="B5113" s="159"/>
    </row>
    <row r="5114" spans="2:2" ht="15.6">
      <c r="B5114" s="159"/>
    </row>
    <row r="5115" spans="2:2" ht="15.6">
      <c r="B5115" s="159"/>
    </row>
    <row r="5116" spans="2:2" ht="15.6">
      <c r="B5116" s="159"/>
    </row>
    <row r="5117" spans="2:2" ht="15.6">
      <c r="B5117" s="159"/>
    </row>
    <row r="5118" spans="2:2" ht="15.6">
      <c r="B5118" s="159"/>
    </row>
    <row r="5119" spans="2:2" ht="15.6">
      <c r="B5119" s="159"/>
    </row>
    <row r="5120" spans="2:2" ht="15.6">
      <c r="B5120" s="159"/>
    </row>
    <row r="5121" spans="2:2" ht="15.6">
      <c r="B5121" s="159"/>
    </row>
    <row r="5122" spans="2:2" ht="15.6">
      <c r="B5122" s="159"/>
    </row>
    <row r="5123" spans="2:2" ht="15.6">
      <c r="B5123" s="159"/>
    </row>
    <row r="5124" spans="2:2" ht="15.6">
      <c r="B5124" s="159"/>
    </row>
    <row r="5125" spans="2:2" ht="15.6">
      <c r="B5125" s="159"/>
    </row>
    <row r="5126" spans="2:2" ht="15.6">
      <c r="B5126" s="159"/>
    </row>
    <row r="5127" spans="2:2" ht="15.6">
      <c r="B5127" s="159"/>
    </row>
    <row r="5128" spans="2:2" ht="15.6">
      <c r="B5128" s="159"/>
    </row>
    <row r="5129" spans="2:2" ht="15.6">
      <c r="B5129" s="159"/>
    </row>
    <row r="5130" spans="2:2" ht="15.6">
      <c r="B5130" s="159"/>
    </row>
    <row r="5131" spans="2:2" ht="15.6">
      <c r="B5131" s="159"/>
    </row>
    <row r="5132" spans="2:2" ht="15.6">
      <c r="B5132" s="159"/>
    </row>
    <row r="5133" spans="2:2" ht="15.6">
      <c r="B5133" s="159"/>
    </row>
    <row r="5134" spans="2:2" ht="15.6">
      <c r="B5134" s="159"/>
    </row>
    <row r="5135" spans="2:2" ht="15.6">
      <c r="B5135" s="159"/>
    </row>
    <row r="5136" spans="2:2" ht="15.6">
      <c r="B5136" s="159"/>
    </row>
    <row r="5137" spans="2:2" ht="15.6">
      <c r="B5137" s="159"/>
    </row>
    <row r="5138" spans="2:2" ht="15.6">
      <c r="B5138" s="159"/>
    </row>
    <row r="5139" spans="2:2" ht="15.6">
      <c r="B5139" s="159"/>
    </row>
    <row r="5140" spans="2:2" ht="15.6">
      <c r="B5140" s="159"/>
    </row>
    <row r="5141" spans="2:2" ht="15.6">
      <c r="B5141" s="159"/>
    </row>
    <row r="5142" spans="2:2" ht="15.6">
      <c r="B5142" s="159"/>
    </row>
    <row r="5143" spans="2:2" ht="15.6">
      <c r="B5143" s="159"/>
    </row>
    <row r="5144" spans="2:2" ht="15.6">
      <c r="B5144" s="159"/>
    </row>
    <row r="5145" spans="2:2" ht="15.6">
      <c r="B5145" s="159"/>
    </row>
    <row r="5146" spans="2:2" ht="15.6">
      <c r="B5146" s="159"/>
    </row>
    <row r="5147" spans="2:2" ht="15.6">
      <c r="B5147" s="159"/>
    </row>
    <row r="5148" spans="2:2" ht="15.6">
      <c r="B5148" s="159"/>
    </row>
    <row r="5149" spans="2:2" ht="15.6">
      <c r="B5149" s="159"/>
    </row>
    <row r="5150" spans="2:2" ht="15.6">
      <c r="B5150" s="159"/>
    </row>
    <row r="5151" spans="2:2" ht="15.6">
      <c r="B5151" s="159"/>
    </row>
    <row r="5152" spans="2:2" ht="15.6">
      <c r="B5152" s="159"/>
    </row>
    <row r="5153" spans="2:2" ht="15.6">
      <c r="B5153" s="159"/>
    </row>
    <row r="5154" spans="2:2" ht="15.6">
      <c r="B5154" s="159"/>
    </row>
    <row r="5155" spans="2:2" ht="15.6">
      <c r="B5155" s="159"/>
    </row>
    <row r="5156" spans="2:2" ht="15.6">
      <c r="B5156" s="159"/>
    </row>
    <row r="5157" spans="2:2" ht="15.6">
      <c r="B5157" s="159"/>
    </row>
    <row r="5158" spans="2:2" ht="15.6">
      <c r="B5158" s="159"/>
    </row>
    <row r="5159" spans="2:2" ht="15.6">
      <c r="B5159" s="159"/>
    </row>
    <row r="5160" spans="2:2" ht="15.6">
      <c r="B5160" s="159"/>
    </row>
    <row r="5161" spans="2:2" ht="15.6">
      <c r="B5161" s="159"/>
    </row>
    <row r="5162" spans="2:2" ht="15.6">
      <c r="B5162" s="159"/>
    </row>
    <row r="5163" spans="2:2" ht="15.6">
      <c r="B5163" s="159"/>
    </row>
    <row r="5164" spans="2:2" ht="15.6">
      <c r="B5164" s="159"/>
    </row>
    <row r="5165" spans="2:2" ht="15.6">
      <c r="B5165" s="159"/>
    </row>
    <row r="5166" spans="2:2" ht="15.6">
      <c r="B5166" s="159"/>
    </row>
    <row r="5167" spans="2:2" ht="15.6">
      <c r="B5167" s="159"/>
    </row>
    <row r="5168" spans="2:2" ht="15.6">
      <c r="B5168" s="159"/>
    </row>
    <row r="5169" spans="2:2" ht="15.6">
      <c r="B5169" s="159"/>
    </row>
    <row r="5170" spans="2:2" ht="15.6">
      <c r="B5170" s="159"/>
    </row>
    <row r="5171" spans="2:2" ht="15.6">
      <c r="B5171" s="159"/>
    </row>
    <row r="5172" spans="2:2" ht="15.6">
      <c r="B5172" s="159"/>
    </row>
    <row r="5173" spans="2:2" ht="15.6">
      <c r="B5173" s="159"/>
    </row>
    <row r="5174" spans="2:2" ht="15.6">
      <c r="B5174" s="159"/>
    </row>
    <row r="5175" spans="2:2" ht="15.6">
      <c r="B5175" s="159"/>
    </row>
    <row r="5176" spans="2:2" ht="15.6">
      <c r="B5176" s="159"/>
    </row>
    <row r="5177" spans="2:2" ht="15.6">
      <c r="B5177" s="159"/>
    </row>
    <row r="5178" spans="2:2" ht="15.6">
      <c r="B5178" s="159"/>
    </row>
    <row r="5179" spans="2:2" ht="15.6">
      <c r="B5179" s="159"/>
    </row>
    <row r="5180" spans="2:2" ht="15.6">
      <c r="B5180" s="159"/>
    </row>
    <row r="5181" spans="2:2" ht="15.6">
      <c r="B5181" s="159"/>
    </row>
    <row r="5182" spans="2:2" ht="15.6">
      <c r="B5182" s="159"/>
    </row>
    <row r="5183" spans="2:2" ht="15.6">
      <c r="B5183" s="159"/>
    </row>
    <row r="5184" spans="2:2" ht="15.6">
      <c r="B5184" s="159"/>
    </row>
    <row r="5185" spans="2:2" ht="15.6">
      <c r="B5185" s="159"/>
    </row>
    <row r="5186" spans="2:2" ht="15.6">
      <c r="B5186" s="159"/>
    </row>
    <row r="5187" spans="2:2" ht="15.6">
      <c r="B5187" s="159"/>
    </row>
    <row r="5188" spans="2:2" ht="15.6">
      <c r="B5188" s="159"/>
    </row>
    <row r="5189" spans="2:2" ht="15.6">
      <c r="B5189" s="159"/>
    </row>
    <row r="5190" spans="2:2" ht="15.6">
      <c r="B5190" s="159"/>
    </row>
    <row r="5191" spans="2:2" ht="15.6">
      <c r="B5191" s="159"/>
    </row>
    <row r="5192" spans="2:2" ht="15.6">
      <c r="B5192" s="159"/>
    </row>
    <row r="5193" spans="2:2" ht="15.6">
      <c r="B5193" s="159"/>
    </row>
    <row r="5194" spans="2:2" ht="15.6">
      <c r="B5194" s="159"/>
    </row>
    <row r="5195" spans="2:2" ht="15.6">
      <c r="B5195" s="159"/>
    </row>
    <row r="5196" spans="2:2" ht="15.6">
      <c r="B5196" s="159"/>
    </row>
    <row r="5197" spans="2:2" ht="15.6">
      <c r="B5197" s="159"/>
    </row>
    <row r="5198" spans="2:2" ht="15.6">
      <c r="B5198" s="159"/>
    </row>
    <row r="5199" spans="2:2" ht="15.6">
      <c r="B5199" s="159"/>
    </row>
    <row r="5200" spans="2:2" ht="15.6">
      <c r="B5200" s="159"/>
    </row>
    <row r="5201" spans="2:2" ht="15.6">
      <c r="B5201" s="159"/>
    </row>
    <row r="5202" spans="2:2" ht="15.6">
      <c r="B5202" s="159"/>
    </row>
    <row r="5203" spans="2:2" ht="15.6">
      <c r="B5203" s="159"/>
    </row>
    <row r="5204" spans="2:2" ht="15.6">
      <c r="B5204" s="159"/>
    </row>
    <row r="5205" spans="2:2" ht="15.6">
      <c r="B5205" s="159"/>
    </row>
    <row r="5206" spans="2:2" ht="15.6">
      <c r="B5206" s="159"/>
    </row>
    <row r="5207" spans="2:2" ht="15.6">
      <c r="B5207" s="159"/>
    </row>
    <row r="5208" spans="2:2" ht="15.6">
      <c r="B5208" s="159"/>
    </row>
    <row r="5209" spans="2:2" ht="15.6">
      <c r="B5209" s="159"/>
    </row>
    <row r="5210" spans="2:2" ht="15.6">
      <c r="B5210" s="159"/>
    </row>
    <row r="5211" spans="2:2" ht="15.6">
      <c r="B5211" s="159"/>
    </row>
    <row r="5212" spans="2:2" ht="15.6">
      <c r="B5212" s="159"/>
    </row>
    <row r="5213" spans="2:2" ht="15.6">
      <c r="B5213" s="159"/>
    </row>
    <row r="5214" spans="2:2" ht="15.6">
      <c r="B5214" s="159"/>
    </row>
    <row r="5215" spans="2:2" ht="15.6">
      <c r="B5215" s="159"/>
    </row>
    <row r="5216" spans="2:2" ht="15.6">
      <c r="B5216" s="159"/>
    </row>
    <row r="5217" spans="2:2" ht="15.6">
      <c r="B5217" s="159"/>
    </row>
    <row r="5218" spans="2:2" ht="15.6">
      <c r="B5218" s="159"/>
    </row>
    <row r="5219" spans="2:2" ht="15.6">
      <c r="B5219" s="159"/>
    </row>
    <row r="5220" spans="2:2" ht="15.6">
      <c r="B5220" s="159"/>
    </row>
    <row r="5221" spans="2:2" ht="15.6">
      <c r="B5221" s="159"/>
    </row>
    <row r="5222" spans="2:2" ht="15.6">
      <c r="B5222" s="159"/>
    </row>
    <row r="5223" spans="2:2" ht="15.6">
      <c r="B5223" s="159"/>
    </row>
    <row r="5224" spans="2:2" ht="15.6">
      <c r="B5224" s="159"/>
    </row>
    <row r="5225" spans="2:2" ht="15.6">
      <c r="B5225" s="159"/>
    </row>
    <row r="5226" spans="2:2" ht="15.6">
      <c r="B5226" s="159"/>
    </row>
    <row r="5227" spans="2:2" ht="15.6">
      <c r="B5227" s="159"/>
    </row>
    <row r="5228" spans="2:2" ht="15.6">
      <c r="B5228" s="159"/>
    </row>
    <row r="5229" spans="2:2" ht="15.6">
      <c r="B5229" s="159"/>
    </row>
    <row r="5230" spans="2:2" ht="15.6">
      <c r="B5230" s="159"/>
    </row>
    <row r="5231" spans="2:2" ht="15.6">
      <c r="B5231" s="159"/>
    </row>
    <row r="5232" spans="2:2" ht="15.6">
      <c r="B5232" s="159"/>
    </row>
    <row r="5233" spans="2:2" ht="15.6">
      <c r="B5233" s="159"/>
    </row>
    <row r="5234" spans="2:2" ht="15.6">
      <c r="B5234" s="159"/>
    </row>
    <row r="5235" spans="2:2" ht="15.6">
      <c r="B5235" s="159"/>
    </row>
    <row r="5236" spans="2:2" ht="15.6">
      <c r="B5236" s="159"/>
    </row>
    <row r="5237" spans="2:2" ht="15.6">
      <c r="B5237" s="159"/>
    </row>
    <row r="5238" spans="2:2" ht="15.6">
      <c r="B5238" s="159"/>
    </row>
    <row r="5239" spans="2:2" ht="15.6">
      <c r="B5239" s="159"/>
    </row>
    <row r="5240" spans="2:2" ht="15.6">
      <c r="B5240" s="159"/>
    </row>
    <row r="5241" spans="2:2" ht="15.6">
      <c r="B5241" s="159"/>
    </row>
    <row r="5242" spans="2:2" ht="15.6">
      <c r="B5242" s="159"/>
    </row>
    <row r="5243" spans="2:2" ht="15.6">
      <c r="B5243" s="159"/>
    </row>
    <row r="5244" spans="2:2" ht="15.6">
      <c r="B5244" s="159"/>
    </row>
    <row r="5245" spans="2:2" ht="15.6">
      <c r="B5245" s="159"/>
    </row>
    <row r="5246" spans="2:2" ht="15.6">
      <c r="B5246" s="159"/>
    </row>
    <row r="5247" spans="2:2" ht="15.6">
      <c r="B5247" s="159"/>
    </row>
    <row r="5248" spans="2:2" ht="15.6">
      <c r="B5248" s="159"/>
    </row>
    <row r="5249" spans="2:2" ht="15.6">
      <c r="B5249" s="159"/>
    </row>
    <row r="5250" spans="2:2" ht="15.6">
      <c r="B5250" s="159"/>
    </row>
    <row r="5251" spans="2:2" ht="15.6">
      <c r="B5251" s="159"/>
    </row>
    <row r="5252" spans="2:2" ht="15.6">
      <c r="B5252" s="159"/>
    </row>
    <row r="5253" spans="2:2" ht="15.6">
      <c r="B5253" s="159"/>
    </row>
    <row r="5254" spans="2:2" ht="15.6">
      <c r="B5254" s="159"/>
    </row>
    <row r="5255" spans="2:2" ht="15.6">
      <c r="B5255" s="159"/>
    </row>
    <row r="5256" spans="2:2" ht="15.6">
      <c r="B5256" s="159"/>
    </row>
    <row r="5257" spans="2:2" ht="15.6">
      <c r="B5257" s="159"/>
    </row>
    <row r="5258" spans="2:2" ht="15.6">
      <c r="B5258" s="159"/>
    </row>
    <row r="5259" spans="2:2" ht="15.6">
      <c r="B5259" s="159"/>
    </row>
    <row r="5260" spans="2:2" ht="15.6">
      <c r="B5260" s="159"/>
    </row>
    <row r="5261" spans="2:2" ht="15.6">
      <c r="B5261" s="159"/>
    </row>
    <row r="5262" spans="2:2" ht="15.6">
      <c r="B5262" s="159"/>
    </row>
    <row r="5263" spans="2:2" ht="15.6">
      <c r="B5263" s="159"/>
    </row>
    <row r="5264" spans="2:2" ht="15.6">
      <c r="B5264" s="159"/>
    </row>
    <row r="5265" spans="2:2" ht="15.6">
      <c r="B5265" s="159"/>
    </row>
    <row r="5266" spans="2:2" ht="15.6">
      <c r="B5266" s="159"/>
    </row>
    <row r="5267" spans="2:2" ht="15.6">
      <c r="B5267" s="159"/>
    </row>
    <row r="5268" spans="2:2" ht="15.6">
      <c r="B5268" s="159"/>
    </row>
    <row r="5269" spans="2:2" ht="15.6">
      <c r="B5269" s="159"/>
    </row>
    <row r="5270" spans="2:2" ht="15.6">
      <c r="B5270" s="159"/>
    </row>
    <row r="5271" spans="2:2" ht="15.6">
      <c r="B5271" s="159"/>
    </row>
    <row r="5272" spans="2:2" ht="15.6">
      <c r="B5272" s="159"/>
    </row>
    <row r="5273" spans="2:2" ht="15.6">
      <c r="B5273" s="159"/>
    </row>
    <row r="5274" spans="2:2" ht="15.6">
      <c r="B5274" s="159"/>
    </row>
    <row r="5275" spans="2:2" ht="15.6">
      <c r="B5275" s="159"/>
    </row>
    <row r="5276" spans="2:2" ht="15.6">
      <c r="B5276" s="159"/>
    </row>
    <row r="5277" spans="2:2" ht="15.6">
      <c r="B5277" s="159"/>
    </row>
    <row r="5278" spans="2:2" ht="15.6">
      <c r="B5278" s="159"/>
    </row>
    <row r="5279" spans="2:2" ht="15.6">
      <c r="B5279" s="159"/>
    </row>
    <row r="5280" spans="2:2" ht="15.6">
      <c r="B5280" s="159"/>
    </row>
    <row r="5281" spans="2:2" ht="15.6">
      <c r="B5281" s="159"/>
    </row>
    <row r="5282" spans="2:2" ht="15.6">
      <c r="B5282" s="159"/>
    </row>
    <row r="5283" spans="2:2" ht="15.6">
      <c r="B5283" s="159"/>
    </row>
    <row r="5284" spans="2:2" ht="15.6">
      <c r="B5284" s="159"/>
    </row>
    <row r="5285" spans="2:2" ht="15.6">
      <c r="B5285" s="159"/>
    </row>
    <row r="5286" spans="2:2" ht="15.6">
      <c r="B5286" s="159"/>
    </row>
    <row r="5287" spans="2:2" ht="15.6">
      <c r="B5287" s="159"/>
    </row>
    <row r="5288" spans="2:2" ht="15.6">
      <c r="B5288" s="159"/>
    </row>
    <row r="5289" spans="2:2" ht="15.6">
      <c r="B5289" s="159"/>
    </row>
    <row r="5290" spans="2:2" ht="15.6">
      <c r="B5290" s="159"/>
    </row>
    <row r="5291" spans="2:2" ht="15.6">
      <c r="B5291" s="159"/>
    </row>
    <row r="5292" spans="2:2" ht="15.6">
      <c r="B5292" s="159"/>
    </row>
    <row r="5293" spans="2:2" ht="15.6">
      <c r="B5293" s="159"/>
    </row>
    <row r="5294" spans="2:2" ht="15.6">
      <c r="B5294" s="159"/>
    </row>
    <row r="5295" spans="2:2" ht="15.6">
      <c r="B5295" s="159"/>
    </row>
    <row r="5296" spans="2:2" ht="15.6">
      <c r="B5296" s="159"/>
    </row>
    <row r="5297" spans="2:2" ht="15.6">
      <c r="B5297" s="159"/>
    </row>
    <row r="5298" spans="2:2" ht="15.6">
      <c r="B5298" s="159"/>
    </row>
    <row r="5299" spans="2:2" ht="15.6">
      <c r="B5299" s="159"/>
    </row>
    <row r="5300" spans="2:2" ht="15.6">
      <c r="B5300" s="159"/>
    </row>
    <row r="5301" spans="2:2" ht="15.6">
      <c r="B5301" s="159"/>
    </row>
    <row r="5302" spans="2:2" ht="15.6">
      <c r="B5302" s="159"/>
    </row>
    <row r="5303" spans="2:2" ht="15.6">
      <c r="B5303" s="159"/>
    </row>
    <row r="5304" spans="2:2" ht="15.6">
      <c r="B5304" s="159"/>
    </row>
    <row r="5305" spans="2:2" ht="15.6">
      <c r="B5305" s="159"/>
    </row>
    <row r="5306" spans="2:2" ht="15.6">
      <c r="B5306" s="159"/>
    </row>
    <row r="5307" spans="2:2" ht="15.6">
      <c r="B5307" s="159"/>
    </row>
    <row r="5308" spans="2:2" ht="15.6">
      <c r="B5308" s="159"/>
    </row>
    <row r="5309" spans="2:2" ht="15.6">
      <c r="B5309" s="159"/>
    </row>
    <row r="5310" spans="2:2" ht="15.6">
      <c r="B5310" s="159"/>
    </row>
    <row r="5311" spans="2:2" ht="15.6">
      <c r="B5311" s="159"/>
    </row>
    <row r="5312" spans="2:2" ht="15.6">
      <c r="B5312" s="159"/>
    </row>
    <row r="5313" spans="2:2" ht="15.6">
      <c r="B5313" s="159"/>
    </row>
    <row r="5314" spans="2:2" ht="15.6">
      <c r="B5314" s="159"/>
    </row>
    <row r="5315" spans="2:2" ht="15.6">
      <c r="B5315" s="159"/>
    </row>
    <row r="5316" spans="2:2" ht="15.6">
      <c r="B5316" s="159"/>
    </row>
    <row r="5317" spans="2:2" ht="15.6">
      <c r="B5317" s="159"/>
    </row>
    <row r="5318" spans="2:2" ht="15.6">
      <c r="B5318" s="159"/>
    </row>
    <row r="5319" spans="2:2" ht="15.6">
      <c r="B5319" s="159"/>
    </row>
    <row r="5320" spans="2:2" ht="15.6">
      <c r="B5320" s="159"/>
    </row>
    <row r="5321" spans="2:2" ht="15.6">
      <c r="B5321" s="159"/>
    </row>
    <row r="5322" spans="2:2" ht="15.6">
      <c r="B5322" s="159"/>
    </row>
    <row r="5323" spans="2:2" ht="15.6">
      <c r="B5323" s="159"/>
    </row>
    <row r="5324" spans="2:2" ht="15.6">
      <c r="B5324" s="159"/>
    </row>
    <row r="5325" spans="2:2" ht="15.6">
      <c r="B5325" s="159"/>
    </row>
    <row r="5326" spans="2:2" ht="15.6">
      <c r="B5326" s="159"/>
    </row>
    <row r="5327" spans="2:2" ht="15.6">
      <c r="B5327" s="159"/>
    </row>
    <row r="5328" spans="2:2" ht="15.6">
      <c r="B5328" s="159"/>
    </row>
    <row r="5329" spans="2:2" ht="15.6">
      <c r="B5329" s="159"/>
    </row>
    <row r="5330" spans="2:2" ht="15.6">
      <c r="B5330" s="159"/>
    </row>
    <row r="5331" spans="2:2" ht="15.6">
      <c r="B5331" s="159"/>
    </row>
    <row r="5332" spans="2:2" ht="15.6">
      <c r="B5332" s="159"/>
    </row>
    <row r="5333" spans="2:2" ht="15.6">
      <c r="B5333" s="159"/>
    </row>
    <row r="5334" spans="2:2" ht="15.6">
      <c r="B5334" s="159"/>
    </row>
    <row r="5335" spans="2:2" ht="15.6">
      <c r="B5335" s="159"/>
    </row>
    <row r="5336" spans="2:2" ht="15.6">
      <c r="B5336" s="159"/>
    </row>
    <row r="5337" spans="2:2" ht="15.6">
      <c r="B5337" s="159"/>
    </row>
    <row r="5338" spans="2:2" ht="15.6">
      <c r="B5338" s="159"/>
    </row>
    <row r="5339" spans="2:2" ht="15.6">
      <c r="B5339" s="159"/>
    </row>
    <row r="5340" spans="2:2" ht="15.6">
      <c r="B5340" s="159"/>
    </row>
    <row r="5341" spans="2:2" ht="15.6">
      <c r="B5341" s="159"/>
    </row>
    <row r="5342" spans="2:2" ht="15.6">
      <c r="B5342" s="159"/>
    </row>
    <row r="5343" spans="2:2" ht="15.6">
      <c r="B5343" s="159"/>
    </row>
    <row r="5344" spans="2:2" ht="15.6">
      <c r="B5344" s="159"/>
    </row>
    <row r="5345" spans="2:2" ht="15.6">
      <c r="B5345" s="159"/>
    </row>
    <row r="5346" spans="2:2" ht="15.6">
      <c r="B5346" s="159"/>
    </row>
    <row r="5347" spans="2:2" ht="15.6">
      <c r="B5347" s="159"/>
    </row>
    <row r="5348" spans="2:2" ht="15.6">
      <c r="B5348" s="159"/>
    </row>
    <row r="5349" spans="2:2" ht="15.6">
      <c r="B5349" s="159"/>
    </row>
    <row r="5350" spans="2:2" ht="15.6">
      <c r="B5350" s="159"/>
    </row>
    <row r="5351" spans="2:2" ht="15.6">
      <c r="B5351" s="159"/>
    </row>
    <row r="5352" spans="2:2" ht="15.6">
      <c r="B5352" s="159"/>
    </row>
    <row r="5353" spans="2:2" ht="15.6">
      <c r="B5353" s="159"/>
    </row>
    <row r="5354" spans="2:2" ht="15.6">
      <c r="B5354" s="159"/>
    </row>
    <row r="5355" spans="2:2" ht="15.6">
      <c r="B5355" s="159"/>
    </row>
    <row r="5356" spans="2:2" ht="15.6">
      <c r="B5356" s="159"/>
    </row>
    <row r="5357" spans="2:2" ht="15.6">
      <c r="B5357" s="159"/>
    </row>
    <row r="5358" spans="2:2" ht="15.6">
      <c r="B5358" s="159"/>
    </row>
    <row r="5359" spans="2:2" ht="15.6">
      <c r="B5359" s="159"/>
    </row>
    <row r="5360" spans="2:2" ht="15.6">
      <c r="B5360" s="159"/>
    </row>
    <row r="5361" spans="2:2" ht="15.6">
      <c r="B5361" s="159"/>
    </row>
    <row r="5362" spans="2:2" ht="15.6">
      <c r="B5362" s="159"/>
    </row>
    <row r="5363" spans="2:2" ht="15.6">
      <c r="B5363" s="159"/>
    </row>
    <row r="5364" spans="2:2" ht="15.6">
      <c r="B5364" s="159"/>
    </row>
    <row r="5365" spans="2:2" ht="15.6">
      <c r="B5365" s="159"/>
    </row>
    <row r="5366" spans="2:2" ht="15.6">
      <c r="B5366" s="159"/>
    </row>
    <row r="5367" spans="2:2" ht="15.6">
      <c r="B5367" s="159"/>
    </row>
    <row r="5368" spans="2:2" ht="15.6">
      <c r="B5368" s="159"/>
    </row>
    <row r="5369" spans="2:2" ht="15.6">
      <c r="B5369" s="159"/>
    </row>
    <row r="5370" spans="2:2" ht="15.6">
      <c r="B5370" s="159"/>
    </row>
    <row r="5371" spans="2:2" ht="15.6">
      <c r="B5371" s="159"/>
    </row>
    <row r="5372" spans="2:2" ht="15.6">
      <c r="B5372" s="159"/>
    </row>
    <row r="5373" spans="2:2" ht="15.6">
      <c r="B5373" s="159"/>
    </row>
    <row r="5374" spans="2:2" ht="15.6">
      <c r="B5374" s="159"/>
    </row>
    <row r="5375" spans="2:2" ht="15.6">
      <c r="B5375" s="159"/>
    </row>
    <row r="5376" spans="2:2" ht="15.6">
      <c r="B5376" s="159"/>
    </row>
    <row r="5377" spans="2:2" ht="15.6">
      <c r="B5377" s="159"/>
    </row>
    <row r="5378" spans="2:2" ht="15.6">
      <c r="B5378" s="159"/>
    </row>
    <row r="5379" spans="2:2" ht="15.6">
      <c r="B5379" s="159"/>
    </row>
    <row r="5380" spans="2:2" ht="15.6">
      <c r="B5380" s="159"/>
    </row>
    <row r="5381" spans="2:2" ht="15.6">
      <c r="B5381" s="159"/>
    </row>
    <row r="5382" spans="2:2" ht="15.6">
      <c r="B5382" s="159"/>
    </row>
    <row r="5383" spans="2:2" ht="15.6">
      <c r="B5383" s="159"/>
    </row>
    <row r="5384" spans="2:2" ht="15.6">
      <c r="B5384" s="159"/>
    </row>
    <row r="5385" spans="2:2" ht="15.6">
      <c r="B5385" s="159"/>
    </row>
    <row r="5386" spans="2:2" ht="15.6">
      <c r="B5386" s="159"/>
    </row>
    <row r="5387" spans="2:2" ht="15.6">
      <c r="B5387" s="159"/>
    </row>
    <row r="5388" spans="2:2" ht="15.6">
      <c r="B5388" s="159"/>
    </row>
    <row r="5389" spans="2:2" ht="15.6">
      <c r="B5389" s="159"/>
    </row>
    <row r="5390" spans="2:2" ht="15.6">
      <c r="B5390" s="159"/>
    </row>
    <row r="5391" spans="2:2" ht="15.6">
      <c r="B5391" s="159"/>
    </row>
    <row r="5392" spans="2:2" ht="15.6">
      <c r="B5392" s="159"/>
    </row>
    <row r="5393" spans="2:2" ht="15.6">
      <c r="B5393" s="159"/>
    </row>
    <row r="5394" spans="2:2" ht="15.6">
      <c r="B5394" s="159"/>
    </row>
    <row r="5395" spans="2:2" ht="15.6">
      <c r="B5395" s="159"/>
    </row>
    <row r="5396" spans="2:2" ht="15.6">
      <c r="B5396" s="159"/>
    </row>
    <row r="5397" spans="2:2" ht="15.6">
      <c r="B5397" s="159"/>
    </row>
    <row r="5398" spans="2:2" ht="15.6">
      <c r="B5398" s="159"/>
    </row>
    <row r="5399" spans="2:2" ht="15.6">
      <c r="B5399" s="159"/>
    </row>
    <row r="5400" spans="2:2" ht="15.6">
      <c r="B5400" s="159"/>
    </row>
    <row r="5401" spans="2:2" ht="15.6">
      <c r="B5401" s="159"/>
    </row>
    <row r="5402" spans="2:2" ht="15.6">
      <c r="B5402" s="159"/>
    </row>
    <row r="5403" spans="2:2" ht="15.6">
      <c r="B5403" s="159"/>
    </row>
    <row r="5404" spans="2:2" ht="15.6">
      <c r="B5404" s="159"/>
    </row>
    <row r="5405" spans="2:2" ht="15.6">
      <c r="B5405" s="159"/>
    </row>
    <row r="5406" spans="2:2" ht="15.6">
      <c r="B5406" s="159"/>
    </row>
    <row r="5407" spans="2:2" ht="15.6">
      <c r="B5407" s="159"/>
    </row>
    <row r="5408" spans="2:2" ht="15.6">
      <c r="B5408" s="159"/>
    </row>
    <row r="5409" spans="2:2" ht="15.6">
      <c r="B5409" s="159"/>
    </row>
    <row r="5410" spans="2:2" ht="15.6">
      <c r="B5410" s="159"/>
    </row>
    <row r="5411" spans="2:2" ht="15.6">
      <c r="B5411" s="159"/>
    </row>
    <row r="5412" spans="2:2" ht="15.6">
      <c r="B5412" s="159"/>
    </row>
    <row r="5413" spans="2:2" ht="15.6">
      <c r="B5413" s="159"/>
    </row>
    <row r="5414" spans="2:2" ht="15.6">
      <c r="B5414" s="159"/>
    </row>
    <row r="5415" spans="2:2" ht="15.6">
      <c r="B5415" s="159"/>
    </row>
    <row r="5416" spans="2:2" ht="15.6">
      <c r="B5416" s="159"/>
    </row>
    <row r="5417" spans="2:2" ht="15.6">
      <c r="B5417" s="159"/>
    </row>
    <row r="5418" spans="2:2" ht="15.6">
      <c r="B5418" s="159"/>
    </row>
    <row r="5419" spans="2:2" ht="15.6">
      <c r="B5419" s="159"/>
    </row>
    <row r="5420" spans="2:2" ht="15.6">
      <c r="B5420" s="159"/>
    </row>
    <row r="5421" spans="2:2" ht="15.6">
      <c r="B5421" s="159"/>
    </row>
    <row r="5422" spans="2:2" ht="15.6">
      <c r="B5422" s="159"/>
    </row>
    <row r="5423" spans="2:2" ht="15.6">
      <c r="B5423" s="159"/>
    </row>
    <row r="5424" spans="2:2" ht="15.6">
      <c r="B5424" s="159"/>
    </row>
    <row r="5425" spans="2:2" ht="15.6">
      <c r="B5425" s="159"/>
    </row>
    <row r="5426" spans="2:2" ht="15.6">
      <c r="B5426" s="159"/>
    </row>
    <row r="5427" spans="2:2" ht="15.6">
      <c r="B5427" s="159"/>
    </row>
    <row r="5428" spans="2:2" ht="15.6">
      <c r="B5428" s="159"/>
    </row>
    <row r="5429" spans="2:2" ht="15.6">
      <c r="B5429" s="159"/>
    </row>
    <row r="5430" spans="2:2" ht="15.6">
      <c r="B5430" s="159"/>
    </row>
    <row r="5431" spans="2:2" ht="15.6">
      <c r="B5431" s="159"/>
    </row>
    <row r="5432" spans="2:2" ht="15.6">
      <c r="B5432" s="159"/>
    </row>
    <row r="5433" spans="2:2" ht="15.6">
      <c r="B5433" s="159"/>
    </row>
    <row r="5434" spans="2:2" ht="15.6">
      <c r="B5434" s="159"/>
    </row>
    <row r="5435" spans="2:2" ht="15.6">
      <c r="B5435" s="159"/>
    </row>
    <row r="5436" spans="2:2" ht="15.6">
      <c r="B5436" s="159"/>
    </row>
    <row r="5437" spans="2:2" ht="15.6">
      <c r="B5437" s="159"/>
    </row>
    <row r="5438" spans="2:2" ht="15.6">
      <c r="B5438" s="159"/>
    </row>
    <row r="5439" spans="2:2" ht="15.6">
      <c r="B5439" s="159"/>
    </row>
    <row r="5440" spans="2:2" ht="15.6">
      <c r="B5440" s="159"/>
    </row>
    <row r="5441" spans="2:2" ht="15.6">
      <c r="B5441" s="159"/>
    </row>
    <row r="5442" spans="2:2" ht="15.6">
      <c r="B5442" s="159"/>
    </row>
    <row r="5443" spans="2:2" ht="15.6">
      <c r="B5443" s="159"/>
    </row>
    <row r="5444" spans="2:2" ht="15.6">
      <c r="B5444" s="159"/>
    </row>
    <row r="5445" spans="2:2" ht="15.6">
      <c r="B5445" s="159"/>
    </row>
    <row r="5446" spans="2:2" ht="15.6">
      <c r="B5446" s="159"/>
    </row>
    <row r="5447" spans="2:2" ht="15.6">
      <c r="B5447" s="159"/>
    </row>
    <row r="5448" spans="2:2" ht="15.6">
      <c r="B5448" s="159"/>
    </row>
    <row r="5449" spans="2:2" ht="15.6">
      <c r="B5449" s="159"/>
    </row>
    <row r="5450" spans="2:2" ht="15.6">
      <c r="B5450" s="159"/>
    </row>
    <row r="5451" spans="2:2" ht="15.6">
      <c r="B5451" s="159"/>
    </row>
    <row r="5452" spans="2:2" ht="15.6">
      <c r="B5452" s="159"/>
    </row>
    <row r="5453" spans="2:2" ht="15.6">
      <c r="B5453" s="159"/>
    </row>
    <row r="5454" spans="2:2" ht="15.6">
      <c r="B5454" s="159"/>
    </row>
    <row r="5455" spans="2:2" ht="15.6">
      <c r="B5455" s="159"/>
    </row>
    <row r="5456" spans="2:2" ht="15.6">
      <c r="B5456" s="159"/>
    </row>
    <row r="5457" spans="2:2" ht="15.6">
      <c r="B5457" s="159"/>
    </row>
    <row r="5458" spans="2:2" ht="15.6">
      <c r="B5458" s="159"/>
    </row>
    <row r="5459" spans="2:2" ht="15.6">
      <c r="B5459" s="159"/>
    </row>
    <row r="5460" spans="2:2" ht="15.6">
      <c r="B5460" s="159"/>
    </row>
    <row r="5461" spans="2:2" ht="15.6">
      <c r="B5461" s="159"/>
    </row>
    <row r="5462" spans="2:2" ht="15.6">
      <c r="B5462" s="159"/>
    </row>
    <row r="5463" spans="2:2" ht="15.6">
      <c r="B5463" s="159"/>
    </row>
    <row r="5464" spans="2:2" ht="15.6">
      <c r="B5464" s="159"/>
    </row>
    <row r="5465" spans="2:2" ht="15.6">
      <c r="B5465" s="159"/>
    </row>
    <row r="5466" spans="2:2" ht="15.6">
      <c r="B5466" s="159"/>
    </row>
    <row r="5467" spans="2:2" ht="15.6">
      <c r="B5467" s="159"/>
    </row>
    <row r="5468" spans="2:2" ht="15.6">
      <c r="B5468" s="159"/>
    </row>
    <row r="5469" spans="2:2" ht="15.6">
      <c r="B5469" s="159"/>
    </row>
    <row r="5470" spans="2:2" ht="15.6">
      <c r="B5470" s="159"/>
    </row>
    <row r="5471" spans="2:2" ht="15.6">
      <c r="B5471" s="159"/>
    </row>
    <row r="5472" spans="2:2" ht="15.6">
      <c r="B5472" s="159"/>
    </row>
    <row r="5473" spans="2:2" ht="15.6">
      <c r="B5473" s="159"/>
    </row>
    <row r="5474" spans="2:2" ht="15.6">
      <c r="B5474" s="159"/>
    </row>
    <row r="5475" spans="2:2" ht="15.6">
      <c r="B5475" s="159"/>
    </row>
    <row r="5476" spans="2:2" ht="15.6">
      <c r="B5476" s="159"/>
    </row>
    <row r="5477" spans="2:2" ht="15.6">
      <c r="B5477" s="159"/>
    </row>
    <row r="5478" spans="2:2" ht="15.6">
      <c r="B5478" s="159"/>
    </row>
    <row r="5479" spans="2:2" ht="15.6">
      <c r="B5479" s="159"/>
    </row>
    <row r="5480" spans="2:2" ht="15.6">
      <c r="B5480" s="159"/>
    </row>
    <row r="5481" spans="2:2" ht="15.6">
      <c r="B5481" s="159"/>
    </row>
    <row r="5482" spans="2:2" ht="15.6">
      <c r="B5482" s="159"/>
    </row>
    <row r="5483" spans="2:2" ht="15.6">
      <c r="B5483" s="159"/>
    </row>
    <row r="5484" spans="2:2" ht="15.6">
      <c r="B5484" s="159"/>
    </row>
    <row r="5485" spans="2:2" ht="15.6">
      <c r="B5485" s="159"/>
    </row>
    <row r="5486" spans="2:2" ht="15.6">
      <c r="B5486" s="159"/>
    </row>
    <row r="5487" spans="2:2" ht="15.6">
      <c r="B5487" s="159"/>
    </row>
    <row r="5488" spans="2:2" ht="15.6">
      <c r="B5488" s="159"/>
    </row>
    <row r="5489" spans="2:2" ht="15.6">
      <c r="B5489" s="159"/>
    </row>
    <row r="5490" spans="2:2" ht="15.6">
      <c r="B5490" s="159"/>
    </row>
    <row r="5491" spans="2:2" ht="15.6">
      <c r="B5491" s="159"/>
    </row>
    <row r="5492" spans="2:2" ht="15.6">
      <c r="B5492" s="159"/>
    </row>
    <row r="5493" spans="2:2" ht="15.6">
      <c r="B5493" s="159"/>
    </row>
    <row r="5494" spans="2:2" ht="15.6">
      <c r="B5494" s="159"/>
    </row>
    <row r="5495" spans="2:2" ht="15.6">
      <c r="B5495" s="159"/>
    </row>
    <row r="5496" spans="2:2" ht="15.6">
      <c r="B5496" s="159"/>
    </row>
    <row r="5497" spans="2:2" ht="15.6">
      <c r="B5497" s="159"/>
    </row>
    <row r="5498" spans="2:2" ht="15.6">
      <c r="B5498" s="159"/>
    </row>
    <row r="5499" spans="2:2" ht="15.6">
      <c r="B5499" s="159"/>
    </row>
    <row r="5500" spans="2:2" ht="15.6">
      <c r="B5500" s="159"/>
    </row>
    <row r="5501" spans="2:2" ht="15.6">
      <c r="B5501" s="159"/>
    </row>
    <row r="5502" spans="2:2" ht="15.6">
      <c r="B5502" s="159"/>
    </row>
    <row r="5503" spans="2:2" ht="15.6">
      <c r="B5503" s="159"/>
    </row>
    <row r="5504" spans="2:2" ht="15.6">
      <c r="B5504" s="159"/>
    </row>
    <row r="5505" spans="2:2" ht="15.6">
      <c r="B5505" s="159"/>
    </row>
    <row r="5506" spans="2:2" ht="15.6">
      <c r="B5506" s="159"/>
    </row>
    <row r="5507" spans="2:2" ht="15.6">
      <c r="B5507" s="159"/>
    </row>
    <row r="5508" spans="2:2" ht="15.6">
      <c r="B5508" s="159"/>
    </row>
    <row r="5509" spans="2:2" ht="15.6">
      <c r="B5509" s="159"/>
    </row>
    <row r="5510" spans="2:2" ht="15.6">
      <c r="B5510" s="159"/>
    </row>
    <row r="5511" spans="2:2" ht="15.6">
      <c r="B5511" s="159"/>
    </row>
    <row r="5512" spans="2:2" ht="15.6">
      <c r="B5512" s="159"/>
    </row>
    <row r="5513" spans="2:2" ht="15.6">
      <c r="B5513" s="159"/>
    </row>
    <row r="5514" spans="2:2" ht="15.6">
      <c r="B5514" s="159"/>
    </row>
    <row r="5515" spans="2:2" ht="15.6">
      <c r="B5515" s="159"/>
    </row>
    <row r="5516" spans="2:2" ht="15.6">
      <c r="B5516" s="159"/>
    </row>
    <row r="5517" spans="2:2" ht="15.6">
      <c r="B5517" s="159"/>
    </row>
    <row r="5518" spans="2:2" ht="15.6">
      <c r="B5518" s="159"/>
    </row>
    <row r="5519" spans="2:2" ht="15.6">
      <c r="B5519" s="159"/>
    </row>
    <row r="5520" spans="2:2" ht="15.6">
      <c r="B5520" s="159"/>
    </row>
    <row r="5521" spans="2:2" ht="15.6">
      <c r="B5521" s="159"/>
    </row>
    <row r="5522" spans="2:2" ht="15.6">
      <c r="B5522" s="159"/>
    </row>
    <row r="5523" spans="2:2" ht="15.6">
      <c r="B5523" s="159"/>
    </row>
    <row r="5524" spans="2:2" ht="15.6">
      <c r="B5524" s="159"/>
    </row>
    <row r="5525" spans="2:2" ht="15.6">
      <c r="B5525" s="159"/>
    </row>
    <row r="5526" spans="2:2" ht="15.6">
      <c r="B5526" s="159"/>
    </row>
    <row r="5527" spans="2:2" ht="15.6">
      <c r="B5527" s="159"/>
    </row>
    <row r="5528" spans="2:2" ht="15.6">
      <c r="B5528" s="159"/>
    </row>
    <row r="5529" spans="2:2" ht="15.6">
      <c r="B5529" s="159"/>
    </row>
    <row r="5530" spans="2:2" ht="15.6">
      <c r="B5530" s="159"/>
    </row>
    <row r="5531" spans="2:2" ht="15.6">
      <c r="B5531" s="159"/>
    </row>
    <row r="5532" spans="2:2" ht="15.6">
      <c r="B5532" s="159"/>
    </row>
    <row r="5533" spans="2:2" ht="15.6">
      <c r="B5533" s="159"/>
    </row>
    <row r="5534" spans="2:2" ht="15.6">
      <c r="B5534" s="159"/>
    </row>
    <row r="5535" spans="2:2" ht="15.6">
      <c r="B5535" s="159"/>
    </row>
    <row r="5536" spans="2:2" ht="15.6">
      <c r="B5536" s="159"/>
    </row>
    <row r="5537" spans="2:2" ht="15.6">
      <c r="B5537" s="159"/>
    </row>
    <row r="5538" spans="2:2" ht="15.6">
      <c r="B5538" s="159"/>
    </row>
    <row r="5539" spans="2:2" ht="15.6">
      <c r="B5539" s="159"/>
    </row>
    <row r="5540" spans="2:2" ht="15.6">
      <c r="B5540" s="159"/>
    </row>
    <row r="5541" spans="2:2" ht="15.6">
      <c r="B5541" s="159"/>
    </row>
    <row r="5542" spans="2:2" ht="15.6">
      <c r="B5542" s="159"/>
    </row>
    <row r="5543" spans="2:2" ht="15.6">
      <c r="B5543" s="159"/>
    </row>
    <row r="5544" spans="2:2" ht="15.6">
      <c r="B5544" s="159"/>
    </row>
    <row r="5545" spans="2:2" ht="15.6">
      <c r="B5545" s="159"/>
    </row>
    <row r="5546" spans="2:2" ht="15.6">
      <c r="B5546" s="159"/>
    </row>
    <row r="5547" spans="2:2" ht="15.6">
      <c r="B5547" s="159"/>
    </row>
    <row r="5548" spans="2:2" ht="15.6">
      <c r="B5548" s="159"/>
    </row>
    <row r="5549" spans="2:2" ht="15.6">
      <c r="B5549" s="159"/>
    </row>
    <row r="5550" spans="2:2" ht="15.6">
      <c r="B5550" s="159"/>
    </row>
    <row r="5551" spans="2:2" ht="15.6">
      <c r="B5551" s="159"/>
    </row>
    <row r="5552" spans="2:2" ht="15.6">
      <c r="B5552" s="159"/>
    </row>
    <row r="5553" spans="2:2" ht="15.6">
      <c r="B5553" s="159"/>
    </row>
    <row r="5554" spans="2:2" ht="15.6">
      <c r="B5554" s="159"/>
    </row>
    <row r="5555" spans="2:2" ht="15.6">
      <c r="B5555" s="159"/>
    </row>
    <row r="5556" spans="2:2" ht="15.6">
      <c r="B5556" s="159"/>
    </row>
    <row r="5557" spans="2:2" ht="15.6">
      <c r="B5557" s="159"/>
    </row>
    <row r="5558" spans="2:2" ht="15.6">
      <c r="B5558" s="159"/>
    </row>
    <row r="5559" spans="2:2" ht="15.6">
      <c r="B5559" s="159"/>
    </row>
    <row r="5560" spans="2:2" ht="15.6">
      <c r="B5560" s="159"/>
    </row>
    <row r="5561" spans="2:2" ht="15.6">
      <c r="B5561" s="159"/>
    </row>
    <row r="5562" spans="2:2" ht="15.6">
      <c r="B5562" s="159"/>
    </row>
    <row r="5563" spans="2:2" ht="15.6">
      <c r="B5563" s="159"/>
    </row>
    <row r="5564" spans="2:2" ht="15.6">
      <c r="B5564" s="159"/>
    </row>
    <row r="5565" spans="2:2" ht="15.6">
      <c r="B5565" s="159"/>
    </row>
    <row r="5566" spans="2:2" ht="15.6">
      <c r="B5566" s="159"/>
    </row>
    <row r="5567" spans="2:2" ht="15.6">
      <c r="B5567" s="159"/>
    </row>
    <row r="5568" spans="2:2" ht="15.6">
      <c r="B5568" s="159"/>
    </row>
    <row r="5569" spans="2:2" ht="15.6">
      <c r="B5569" s="159"/>
    </row>
    <row r="5570" spans="2:2" ht="15.6">
      <c r="B5570" s="159"/>
    </row>
    <row r="5571" spans="2:2" ht="15.6">
      <c r="B5571" s="159"/>
    </row>
    <row r="5572" spans="2:2" ht="15.6">
      <c r="B5572" s="159"/>
    </row>
    <row r="5573" spans="2:2" ht="15.6">
      <c r="B5573" s="159"/>
    </row>
    <row r="5574" spans="2:2" ht="15.6">
      <c r="B5574" s="159"/>
    </row>
    <row r="5575" spans="2:2" ht="15.6">
      <c r="B5575" s="159"/>
    </row>
    <row r="5576" spans="2:2" ht="15.6">
      <c r="B5576" s="159"/>
    </row>
    <row r="5577" spans="2:2" ht="15.6">
      <c r="B5577" s="159"/>
    </row>
    <row r="5578" spans="2:2" ht="15.6">
      <c r="B5578" s="159"/>
    </row>
    <row r="5579" spans="2:2" ht="15.6">
      <c r="B5579" s="159"/>
    </row>
    <row r="5580" spans="2:2" ht="15.6">
      <c r="B5580" s="159"/>
    </row>
    <row r="5581" spans="2:2" ht="15.6">
      <c r="B5581" s="159"/>
    </row>
    <row r="5582" spans="2:2" ht="15.6">
      <c r="B5582" s="159"/>
    </row>
    <row r="5583" spans="2:2" ht="15.6">
      <c r="B5583" s="159"/>
    </row>
    <row r="5584" spans="2:2" ht="15.6">
      <c r="B5584" s="159"/>
    </row>
    <row r="5585" spans="2:2" ht="15.6">
      <c r="B5585" s="159"/>
    </row>
    <row r="5586" spans="2:2" ht="15.6">
      <c r="B5586" s="159"/>
    </row>
    <row r="5587" spans="2:2" ht="15.6">
      <c r="B5587" s="159"/>
    </row>
    <row r="5588" spans="2:2" ht="15.6">
      <c r="B5588" s="159"/>
    </row>
    <row r="5589" spans="2:2" ht="15.6">
      <c r="B5589" s="159"/>
    </row>
    <row r="5590" spans="2:2" ht="15.6">
      <c r="B5590" s="159"/>
    </row>
    <row r="5591" spans="2:2" ht="15.6">
      <c r="B5591" s="159"/>
    </row>
    <row r="5592" spans="2:2" ht="15.6">
      <c r="B5592" s="159"/>
    </row>
    <row r="5593" spans="2:2" ht="15.6">
      <c r="B5593" s="159"/>
    </row>
    <row r="5594" spans="2:2" ht="15.6">
      <c r="B5594" s="159"/>
    </row>
    <row r="5595" spans="2:2" ht="15.6">
      <c r="B5595" s="159"/>
    </row>
    <row r="5596" spans="2:2" ht="15.6">
      <c r="B5596" s="159"/>
    </row>
    <row r="5597" spans="2:2" ht="15.6">
      <c r="B5597" s="159"/>
    </row>
    <row r="5598" spans="2:2" ht="15.6">
      <c r="B5598" s="159"/>
    </row>
    <row r="5599" spans="2:2" ht="15.6">
      <c r="B5599" s="159"/>
    </row>
    <row r="5600" spans="2:2" ht="15.6">
      <c r="B5600" s="159"/>
    </row>
    <row r="5601" spans="2:2" ht="15.6">
      <c r="B5601" s="159"/>
    </row>
    <row r="5602" spans="2:2" ht="15.6">
      <c r="B5602" s="159"/>
    </row>
    <row r="5603" spans="2:2" ht="15.6">
      <c r="B5603" s="159"/>
    </row>
    <row r="5604" spans="2:2" ht="15.6">
      <c r="B5604" s="159"/>
    </row>
    <row r="5605" spans="2:2" ht="15.6">
      <c r="B5605" s="159"/>
    </row>
    <row r="5606" spans="2:2" ht="15.6">
      <c r="B5606" s="159"/>
    </row>
    <row r="5607" spans="2:2" ht="15.6">
      <c r="B5607" s="159"/>
    </row>
    <row r="5608" spans="2:2" ht="15.6">
      <c r="B5608" s="159"/>
    </row>
    <row r="5609" spans="2:2" ht="15.6">
      <c r="B5609" s="159"/>
    </row>
    <row r="5610" spans="2:2" ht="15.6">
      <c r="B5610" s="159"/>
    </row>
    <row r="5611" spans="2:2" ht="15.6">
      <c r="B5611" s="159"/>
    </row>
    <row r="5612" spans="2:2" ht="15.6">
      <c r="B5612" s="159"/>
    </row>
    <row r="5613" spans="2:2" ht="15.6">
      <c r="B5613" s="159"/>
    </row>
    <row r="5614" spans="2:2" ht="15.6">
      <c r="B5614" s="159"/>
    </row>
    <row r="5615" spans="2:2" ht="15.6">
      <c r="B5615" s="159"/>
    </row>
    <row r="5616" spans="2:2" ht="15.6">
      <c r="B5616" s="159"/>
    </row>
    <row r="5617" spans="2:2" ht="15.6">
      <c r="B5617" s="159"/>
    </row>
    <row r="5618" spans="2:2" ht="15.6">
      <c r="B5618" s="159"/>
    </row>
    <row r="5619" spans="2:2" ht="15.6">
      <c r="B5619" s="159"/>
    </row>
    <row r="5620" spans="2:2" ht="15.6">
      <c r="B5620" s="159"/>
    </row>
    <row r="5621" spans="2:2" ht="15.6">
      <c r="B5621" s="159"/>
    </row>
    <row r="5622" spans="2:2" ht="15.6">
      <c r="B5622" s="159"/>
    </row>
    <row r="5623" spans="2:2" ht="15.6">
      <c r="B5623" s="159"/>
    </row>
    <row r="5624" spans="2:2" ht="15.6">
      <c r="B5624" s="159"/>
    </row>
    <row r="5625" spans="2:2" ht="15.6">
      <c r="B5625" s="159"/>
    </row>
    <row r="5626" spans="2:2" ht="15.6">
      <c r="B5626" s="159"/>
    </row>
    <row r="5627" spans="2:2" ht="15.6">
      <c r="B5627" s="159"/>
    </row>
    <row r="5628" spans="2:2" ht="15.6">
      <c r="B5628" s="159"/>
    </row>
    <row r="5629" spans="2:2" ht="15.6">
      <c r="B5629" s="159"/>
    </row>
    <row r="5630" spans="2:2" ht="15.6">
      <c r="B5630" s="159"/>
    </row>
    <row r="5631" spans="2:2" ht="15.6">
      <c r="B5631" s="159"/>
    </row>
    <row r="5632" spans="2:2" ht="15.6">
      <c r="B5632" s="159"/>
    </row>
    <row r="5633" spans="2:2" ht="15.6">
      <c r="B5633" s="159"/>
    </row>
    <row r="5634" spans="2:2" ht="15.6">
      <c r="B5634" s="159"/>
    </row>
    <row r="5635" spans="2:2" ht="15.6">
      <c r="B5635" s="159"/>
    </row>
    <row r="5636" spans="2:2" ht="15.6">
      <c r="B5636" s="159"/>
    </row>
    <row r="5637" spans="2:2" ht="15.6">
      <c r="B5637" s="159"/>
    </row>
    <row r="5638" spans="2:2" ht="15.6">
      <c r="B5638" s="159"/>
    </row>
    <row r="5639" spans="2:2" ht="15.6">
      <c r="B5639" s="159"/>
    </row>
    <row r="5640" spans="2:2" ht="15.6">
      <c r="B5640" s="159"/>
    </row>
    <row r="5641" spans="2:2" ht="15.6">
      <c r="B5641" s="159"/>
    </row>
    <row r="5642" spans="2:2" ht="15.6">
      <c r="B5642" s="159"/>
    </row>
    <row r="5643" spans="2:2" ht="15.6">
      <c r="B5643" s="159"/>
    </row>
    <row r="5644" spans="2:2" ht="15.6">
      <c r="B5644" s="159"/>
    </row>
    <row r="5645" spans="2:2" ht="15.6">
      <c r="B5645" s="159"/>
    </row>
    <row r="5646" spans="2:2" ht="15.6">
      <c r="B5646" s="159"/>
    </row>
    <row r="5647" spans="2:2" ht="15.6">
      <c r="B5647" s="159"/>
    </row>
    <row r="5648" spans="2:2" ht="15.6">
      <c r="B5648" s="159"/>
    </row>
    <row r="5649" spans="2:2" ht="15.6">
      <c r="B5649" s="159"/>
    </row>
    <row r="5650" spans="2:2" ht="15.6">
      <c r="B5650" s="159"/>
    </row>
    <row r="5651" spans="2:2" ht="15.6">
      <c r="B5651" s="159"/>
    </row>
    <row r="5652" spans="2:2" ht="15.6">
      <c r="B5652" s="159"/>
    </row>
    <row r="5653" spans="2:2" ht="15.6">
      <c r="B5653" s="159"/>
    </row>
    <row r="5654" spans="2:2" ht="15.6">
      <c r="B5654" s="159"/>
    </row>
    <row r="5655" spans="2:2" ht="15.6">
      <c r="B5655" s="159"/>
    </row>
    <row r="5656" spans="2:2" ht="15.6">
      <c r="B5656" s="159"/>
    </row>
    <row r="5657" spans="2:2" ht="15.6">
      <c r="B5657" s="159"/>
    </row>
    <row r="5658" spans="2:2" ht="15.6">
      <c r="B5658" s="159"/>
    </row>
    <row r="5659" spans="2:2" ht="15.6">
      <c r="B5659" s="159"/>
    </row>
    <row r="5660" spans="2:2" ht="15.6">
      <c r="B5660" s="159"/>
    </row>
    <row r="5661" spans="2:2" ht="15.6">
      <c r="B5661" s="159"/>
    </row>
    <row r="5662" spans="2:2" ht="15.6">
      <c r="B5662" s="159"/>
    </row>
    <row r="5663" spans="2:2" ht="15.6">
      <c r="B5663" s="159"/>
    </row>
    <row r="5664" spans="2:2" ht="15.6">
      <c r="B5664" s="159"/>
    </row>
    <row r="5665" spans="2:2" ht="15.6">
      <c r="B5665" s="159"/>
    </row>
    <row r="5666" spans="2:2" ht="15.6">
      <c r="B5666" s="159"/>
    </row>
    <row r="5667" spans="2:2" ht="15.6">
      <c r="B5667" s="159"/>
    </row>
    <row r="5668" spans="2:2" ht="15.6">
      <c r="B5668" s="159"/>
    </row>
    <row r="5669" spans="2:2" ht="15.6">
      <c r="B5669" s="159"/>
    </row>
    <row r="5670" spans="2:2" ht="15.6">
      <c r="B5670" s="159"/>
    </row>
    <row r="5671" spans="2:2" ht="15.6">
      <c r="B5671" s="159"/>
    </row>
    <row r="5672" spans="2:2" ht="15.6">
      <c r="B5672" s="159"/>
    </row>
    <row r="5673" spans="2:2" ht="15.6">
      <c r="B5673" s="159"/>
    </row>
    <row r="5674" spans="2:2" ht="15.6">
      <c r="B5674" s="159"/>
    </row>
    <row r="5675" spans="2:2" ht="15.6">
      <c r="B5675" s="159"/>
    </row>
    <row r="5676" spans="2:2" ht="15.6">
      <c r="B5676" s="159"/>
    </row>
    <row r="5677" spans="2:2" ht="15.6">
      <c r="B5677" s="159"/>
    </row>
    <row r="5678" spans="2:2" ht="15.6">
      <c r="B5678" s="159"/>
    </row>
    <row r="5679" spans="2:2" ht="15.6">
      <c r="B5679" s="159"/>
    </row>
    <row r="5680" spans="2:2" ht="15.6">
      <c r="B5680" s="159"/>
    </row>
    <row r="5681" spans="2:2" ht="15.6">
      <c r="B5681" s="159"/>
    </row>
    <row r="5682" spans="2:2" ht="15.6">
      <c r="B5682" s="159"/>
    </row>
    <row r="5683" spans="2:2" ht="15.6">
      <c r="B5683" s="159"/>
    </row>
    <row r="5684" spans="2:2" ht="15.6">
      <c r="B5684" s="159"/>
    </row>
    <row r="5685" spans="2:2" ht="15.6">
      <c r="B5685" s="159"/>
    </row>
    <row r="5686" spans="2:2" ht="15.6">
      <c r="B5686" s="159"/>
    </row>
    <row r="5687" spans="2:2" ht="15.6">
      <c r="B5687" s="159"/>
    </row>
    <row r="5688" spans="2:2" ht="15.6">
      <c r="B5688" s="159"/>
    </row>
    <row r="5689" spans="2:2" ht="15.6">
      <c r="B5689" s="159"/>
    </row>
    <row r="5690" spans="2:2" ht="15.6">
      <c r="B5690" s="159"/>
    </row>
    <row r="5691" spans="2:2" ht="15.6">
      <c r="B5691" s="159"/>
    </row>
    <row r="5692" spans="2:2" ht="15.6">
      <c r="B5692" s="159"/>
    </row>
    <row r="5693" spans="2:2" ht="15.6">
      <c r="B5693" s="159"/>
    </row>
    <row r="5694" spans="2:2" ht="15.6">
      <c r="B5694" s="159"/>
    </row>
    <row r="5695" spans="2:2" ht="15.6">
      <c r="B5695" s="159"/>
    </row>
    <row r="5696" spans="2:2" ht="15.6">
      <c r="B5696" s="159"/>
    </row>
    <row r="5697" spans="2:2" ht="15.6">
      <c r="B5697" s="159"/>
    </row>
    <row r="5698" spans="2:2" ht="15.6">
      <c r="B5698" s="159"/>
    </row>
    <row r="5699" spans="2:2" ht="15.6">
      <c r="B5699" s="159"/>
    </row>
    <row r="5700" spans="2:2" ht="15.6">
      <c r="B5700" s="159"/>
    </row>
    <row r="5701" spans="2:2" ht="15.6">
      <c r="B5701" s="159"/>
    </row>
    <row r="5702" spans="2:2" ht="15.6">
      <c r="B5702" s="159"/>
    </row>
    <row r="5703" spans="2:2" ht="15.6">
      <c r="B5703" s="159"/>
    </row>
    <row r="5704" spans="2:2" ht="15.6">
      <c r="B5704" s="159"/>
    </row>
    <row r="5705" spans="2:2" ht="15.6">
      <c r="B5705" s="159"/>
    </row>
    <row r="5706" spans="2:2" ht="15.6">
      <c r="B5706" s="159"/>
    </row>
    <row r="5707" spans="2:2" ht="15.6">
      <c r="B5707" s="159"/>
    </row>
    <row r="5708" spans="2:2" ht="15.6">
      <c r="B5708" s="159"/>
    </row>
    <row r="5709" spans="2:2" ht="15.6">
      <c r="B5709" s="159"/>
    </row>
    <row r="5710" spans="2:2" ht="15.6">
      <c r="B5710" s="159"/>
    </row>
    <row r="5711" spans="2:2" ht="15.6">
      <c r="B5711" s="159"/>
    </row>
    <row r="5712" spans="2:2" ht="15.6">
      <c r="B5712" s="159"/>
    </row>
    <row r="5713" spans="2:2" ht="15.6">
      <c r="B5713" s="159"/>
    </row>
    <row r="5714" spans="2:2" ht="15.6">
      <c r="B5714" s="159"/>
    </row>
    <row r="5715" spans="2:2" ht="15.6">
      <c r="B5715" s="159"/>
    </row>
    <row r="5716" spans="2:2" ht="15.6">
      <c r="B5716" s="159"/>
    </row>
    <row r="5717" spans="2:2" ht="15.6">
      <c r="B5717" s="159"/>
    </row>
    <row r="5718" spans="2:2" ht="15.6">
      <c r="B5718" s="159"/>
    </row>
    <row r="5719" spans="2:2" ht="15.6">
      <c r="B5719" s="159"/>
    </row>
    <row r="5720" spans="2:2" ht="15.6">
      <c r="B5720" s="159"/>
    </row>
    <row r="5721" spans="2:2" ht="15.6">
      <c r="B5721" s="159"/>
    </row>
    <row r="5722" spans="2:2" ht="15.6">
      <c r="B5722" s="159"/>
    </row>
    <row r="5723" spans="2:2" ht="15.6">
      <c r="B5723" s="159"/>
    </row>
    <row r="5724" spans="2:2" ht="15.6">
      <c r="B5724" s="159"/>
    </row>
    <row r="5725" spans="2:2" ht="15.6">
      <c r="B5725" s="159"/>
    </row>
    <row r="5726" spans="2:2" ht="15.6">
      <c r="B5726" s="159"/>
    </row>
    <row r="5727" spans="2:2" ht="15.6">
      <c r="B5727" s="159"/>
    </row>
    <row r="5728" spans="2:2" ht="15.6">
      <c r="B5728" s="159"/>
    </row>
    <row r="5729" spans="2:2" ht="15.6">
      <c r="B5729" s="159"/>
    </row>
    <row r="5730" spans="2:2" ht="15.6">
      <c r="B5730" s="159"/>
    </row>
    <row r="5731" spans="2:2" ht="15.6">
      <c r="B5731" s="159"/>
    </row>
    <row r="5732" spans="2:2" ht="15.6">
      <c r="B5732" s="159"/>
    </row>
    <row r="5733" spans="2:2" ht="15.6">
      <c r="B5733" s="159"/>
    </row>
    <row r="5734" spans="2:2" ht="15.6">
      <c r="B5734" s="159"/>
    </row>
    <row r="5735" spans="2:2" ht="15.6">
      <c r="B5735" s="159"/>
    </row>
    <row r="5736" spans="2:2" ht="15.6">
      <c r="B5736" s="159"/>
    </row>
    <row r="5737" spans="2:2" ht="15.6">
      <c r="B5737" s="159"/>
    </row>
    <row r="5738" spans="2:2" ht="15.6">
      <c r="B5738" s="159"/>
    </row>
    <row r="5739" spans="2:2" ht="15.6">
      <c r="B5739" s="159"/>
    </row>
    <row r="5740" spans="2:2" ht="15.6">
      <c r="B5740" s="159"/>
    </row>
    <row r="5741" spans="2:2" ht="15.6">
      <c r="B5741" s="159"/>
    </row>
    <row r="5742" spans="2:2" ht="15.6">
      <c r="B5742" s="159"/>
    </row>
    <row r="5743" spans="2:2" ht="15.6">
      <c r="B5743" s="159"/>
    </row>
    <row r="5744" spans="2:2" ht="15.6">
      <c r="B5744" s="159"/>
    </row>
    <row r="5745" spans="2:2" ht="15.6">
      <c r="B5745" s="159"/>
    </row>
    <row r="5746" spans="2:2" ht="15.6">
      <c r="B5746" s="159"/>
    </row>
    <row r="5747" spans="2:2" ht="15.6">
      <c r="B5747" s="159"/>
    </row>
    <row r="5748" spans="2:2" ht="15.6">
      <c r="B5748" s="159"/>
    </row>
    <row r="5749" spans="2:2" ht="15.6">
      <c r="B5749" s="159"/>
    </row>
    <row r="5750" spans="2:2" ht="15.6">
      <c r="B5750" s="159"/>
    </row>
    <row r="5751" spans="2:2" ht="15.6">
      <c r="B5751" s="159"/>
    </row>
    <row r="5752" spans="2:2" ht="15.6">
      <c r="B5752" s="159"/>
    </row>
    <row r="5753" spans="2:2" ht="15.6">
      <c r="B5753" s="159"/>
    </row>
    <row r="5754" spans="2:2" ht="15.6">
      <c r="B5754" s="159"/>
    </row>
    <row r="5755" spans="2:2" ht="15.6">
      <c r="B5755" s="159"/>
    </row>
    <row r="5756" spans="2:2" ht="15.6">
      <c r="B5756" s="159"/>
    </row>
    <row r="5757" spans="2:2" ht="15.6">
      <c r="B5757" s="159"/>
    </row>
    <row r="5758" spans="2:2" ht="15.6">
      <c r="B5758" s="159"/>
    </row>
    <row r="5759" spans="2:2" ht="15.6">
      <c r="B5759" s="159"/>
    </row>
    <row r="5760" spans="2:2" ht="15.6">
      <c r="B5760" s="159"/>
    </row>
    <row r="5761" spans="2:2" ht="15.6">
      <c r="B5761" s="159"/>
    </row>
    <row r="5762" spans="2:2" ht="15.6">
      <c r="B5762" s="159"/>
    </row>
    <row r="5763" spans="2:2" ht="15.6">
      <c r="B5763" s="159"/>
    </row>
    <row r="5764" spans="2:2" ht="15.6">
      <c r="B5764" s="159"/>
    </row>
    <row r="5765" spans="2:2" ht="15.6">
      <c r="B5765" s="159"/>
    </row>
    <row r="5766" spans="2:2" ht="15.6">
      <c r="B5766" s="159"/>
    </row>
    <row r="5767" spans="2:2" ht="15.6">
      <c r="B5767" s="159"/>
    </row>
    <row r="5768" spans="2:2" ht="15.6">
      <c r="B5768" s="159"/>
    </row>
    <row r="5769" spans="2:2" ht="15.6">
      <c r="B5769" s="159"/>
    </row>
    <row r="5770" spans="2:2" ht="15.6">
      <c r="B5770" s="159"/>
    </row>
    <row r="5771" spans="2:2" ht="15.6">
      <c r="B5771" s="159"/>
    </row>
    <row r="5772" spans="2:2" ht="15.6">
      <c r="B5772" s="159"/>
    </row>
    <row r="5773" spans="2:2" ht="15.6">
      <c r="B5773" s="159"/>
    </row>
    <row r="5774" spans="2:2" ht="15.6">
      <c r="B5774" s="159"/>
    </row>
    <row r="5775" spans="2:2" ht="15.6">
      <c r="B5775" s="159"/>
    </row>
    <row r="5776" spans="2:2" ht="15.6">
      <c r="B5776" s="159"/>
    </row>
    <row r="5777" spans="2:2" ht="15.6">
      <c r="B5777" s="159"/>
    </row>
    <row r="5778" spans="2:2" ht="15.6">
      <c r="B5778" s="159"/>
    </row>
    <row r="5779" spans="2:2" ht="15.6">
      <c r="B5779" s="159"/>
    </row>
    <row r="5780" spans="2:2" ht="15.6">
      <c r="B5780" s="159"/>
    </row>
    <row r="5781" spans="2:2" ht="15.6">
      <c r="B5781" s="159"/>
    </row>
    <row r="5782" spans="2:2" ht="15.6">
      <c r="B5782" s="159"/>
    </row>
    <row r="5783" spans="2:2" ht="15.6">
      <c r="B5783" s="159"/>
    </row>
    <row r="5784" spans="2:2" ht="15.6">
      <c r="B5784" s="159"/>
    </row>
    <row r="5785" spans="2:2" ht="15.6">
      <c r="B5785" s="159"/>
    </row>
    <row r="5786" spans="2:2" ht="15.6">
      <c r="B5786" s="159"/>
    </row>
    <row r="5787" spans="2:2" ht="15.6">
      <c r="B5787" s="159"/>
    </row>
    <row r="5788" spans="2:2" ht="15.6">
      <c r="B5788" s="159"/>
    </row>
    <row r="5789" spans="2:2" ht="15.6">
      <c r="B5789" s="159"/>
    </row>
    <row r="5790" spans="2:2" ht="15.6">
      <c r="B5790" s="159"/>
    </row>
    <row r="5791" spans="2:2" ht="15.6">
      <c r="B5791" s="159"/>
    </row>
    <row r="5792" spans="2:2" ht="15.6">
      <c r="B5792" s="159"/>
    </row>
    <row r="5793" spans="2:2" ht="15.6">
      <c r="B5793" s="159"/>
    </row>
    <row r="5794" spans="2:2" ht="15.6">
      <c r="B5794" s="159"/>
    </row>
    <row r="5795" spans="2:2" ht="15.6">
      <c r="B5795" s="159"/>
    </row>
    <row r="5796" spans="2:2" ht="15.6">
      <c r="B5796" s="159"/>
    </row>
    <row r="5797" spans="2:2" ht="15.6">
      <c r="B5797" s="159"/>
    </row>
    <row r="5798" spans="2:2" ht="15.6">
      <c r="B5798" s="159"/>
    </row>
    <row r="5799" spans="2:2" ht="15.6">
      <c r="B5799" s="159"/>
    </row>
    <row r="5800" spans="2:2" ht="15.6">
      <c r="B5800" s="159"/>
    </row>
    <row r="5801" spans="2:2" ht="15.6">
      <c r="B5801" s="159"/>
    </row>
    <row r="5802" spans="2:2" ht="15.6">
      <c r="B5802" s="159"/>
    </row>
    <row r="5803" spans="2:2" ht="15.6">
      <c r="B5803" s="159"/>
    </row>
    <row r="5804" spans="2:2" ht="15.6">
      <c r="B5804" s="159"/>
    </row>
    <row r="5805" spans="2:2" ht="15.6">
      <c r="B5805" s="159"/>
    </row>
    <row r="5806" spans="2:2" ht="15.6">
      <c r="B5806" s="159"/>
    </row>
    <row r="5807" spans="2:2" ht="15.6">
      <c r="B5807" s="159"/>
    </row>
    <row r="5808" spans="2:2" ht="15.6">
      <c r="B5808" s="159"/>
    </row>
    <row r="5809" spans="2:2" ht="15.6">
      <c r="B5809" s="159"/>
    </row>
    <row r="5810" spans="2:2" ht="15.6">
      <c r="B5810" s="159"/>
    </row>
    <row r="5811" spans="2:2" ht="15.6">
      <c r="B5811" s="159"/>
    </row>
    <row r="5812" spans="2:2" ht="15.6">
      <c r="B5812" s="159"/>
    </row>
    <row r="5813" spans="2:2" ht="15.6">
      <c r="B5813" s="159"/>
    </row>
    <row r="5814" spans="2:2" ht="15.6">
      <c r="B5814" s="159"/>
    </row>
    <row r="5815" spans="2:2" ht="15.6">
      <c r="B5815" s="159"/>
    </row>
    <row r="5816" spans="2:2" ht="15.6">
      <c r="B5816" s="159"/>
    </row>
    <row r="5817" spans="2:2" ht="15.6">
      <c r="B5817" s="159"/>
    </row>
    <row r="5818" spans="2:2" ht="15.6">
      <c r="B5818" s="159"/>
    </row>
    <row r="5819" spans="2:2" ht="15.6">
      <c r="B5819" s="159"/>
    </row>
    <row r="5820" spans="2:2" ht="15.6">
      <c r="B5820" s="159"/>
    </row>
    <row r="5821" spans="2:2" ht="15.6">
      <c r="B5821" s="159"/>
    </row>
    <row r="5822" spans="2:2" ht="15.6">
      <c r="B5822" s="159"/>
    </row>
    <row r="5823" spans="2:2" ht="15.6">
      <c r="B5823" s="159"/>
    </row>
    <row r="5824" spans="2:2" ht="15.6">
      <c r="B5824" s="159"/>
    </row>
    <row r="5825" spans="2:2" ht="15.6">
      <c r="B5825" s="159"/>
    </row>
    <row r="5826" spans="2:2" ht="15.6">
      <c r="B5826" s="159"/>
    </row>
    <row r="5827" spans="2:2" ht="15.6">
      <c r="B5827" s="159"/>
    </row>
    <row r="5828" spans="2:2" ht="15.6">
      <c r="B5828" s="159"/>
    </row>
    <row r="5829" spans="2:2" ht="15.6">
      <c r="B5829" s="159"/>
    </row>
    <row r="5830" spans="2:2" ht="15.6">
      <c r="B5830" s="159"/>
    </row>
    <row r="5831" spans="2:2" ht="15.6">
      <c r="B5831" s="159"/>
    </row>
    <row r="5832" spans="2:2" ht="15.6">
      <c r="B5832" s="159"/>
    </row>
    <row r="5833" spans="2:2" ht="15.6">
      <c r="B5833" s="159"/>
    </row>
    <row r="5834" spans="2:2" ht="15.6">
      <c r="B5834" s="159"/>
    </row>
    <row r="5835" spans="2:2" ht="15.6">
      <c r="B5835" s="159"/>
    </row>
    <row r="5836" spans="2:2" ht="15.6">
      <c r="B5836" s="159"/>
    </row>
    <row r="5837" spans="2:2" ht="15.6">
      <c r="B5837" s="159"/>
    </row>
    <row r="5838" spans="2:2" ht="15.6">
      <c r="B5838" s="159"/>
    </row>
    <row r="5839" spans="2:2" ht="15.6">
      <c r="B5839" s="159"/>
    </row>
    <row r="5840" spans="2:2" ht="15.6">
      <c r="B5840" s="159"/>
    </row>
    <row r="5841" spans="2:2" ht="15.6">
      <c r="B5841" s="159"/>
    </row>
    <row r="5842" spans="2:2" ht="15.6">
      <c r="B5842" s="159"/>
    </row>
    <row r="5843" spans="2:2" ht="15.6">
      <c r="B5843" s="159"/>
    </row>
    <row r="5844" spans="2:2" ht="15.6">
      <c r="B5844" s="159"/>
    </row>
    <row r="5845" spans="2:2" ht="15.6">
      <c r="B5845" s="159"/>
    </row>
    <row r="5846" spans="2:2" ht="15.6">
      <c r="B5846" s="159"/>
    </row>
    <row r="5847" spans="2:2" ht="15.6">
      <c r="B5847" s="159"/>
    </row>
    <row r="5848" spans="2:2" ht="15.6">
      <c r="B5848" s="159"/>
    </row>
    <row r="5849" spans="2:2" ht="15.6">
      <c r="B5849" s="159"/>
    </row>
    <row r="5850" spans="2:2" ht="15.6">
      <c r="B5850" s="159"/>
    </row>
    <row r="5851" spans="2:2" ht="15.6">
      <c r="B5851" s="159"/>
    </row>
    <row r="5852" spans="2:2" ht="15.6">
      <c r="B5852" s="159"/>
    </row>
    <row r="5853" spans="2:2" ht="15.6">
      <c r="B5853" s="159"/>
    </row>
    <row r="5854" spans="2:2" ht="15.6">
      <c r="B5854" s="159"/>
    </row>
    <row r="5855" spans="2:2" ht="15.6">
      <c r="B5855" s="159"/>
    </row>
    <row r="5856" spans="2:2" ht="15.6">
      <c r="B5856" s="159"/>
    </row>
    <row r="5857" spans="2:2" ht="15.6">
      <c r="B5857" s="159"/>
    </row>
    <row r="5858" spans="2:2" ht="15.6">
      <c r="B5858" s="159"/>
    </row>
    <row r="5859" spans="2:2" ht="15.6">
      <c r="B5859" s="159"/>
    </row>
    <row r="5860" spans="2:2" ht="15.6">
      <c r="B5860" s="159"/>
    </row>
    <row r="5861" spans="2:2" ht="15.6">
      <c r="B5861" s="159"/>
    </row>
    <row r="5862" spans="2:2" ht="15.6">
      <c r="B5862" s="159"/>
    </row>
    <row r="5863" spans="2:2" ht="15.6">
      <c r="B5863" s="159"/>
    </row>
    <row r="5864" spans="2:2" ht="15.6">
      <c r="B5864" s="159"/>
    </row>
    <row r="5865" spans="2:2" ht="15.6">
      <c r="B5865" s="159"/>
    </row>
    <row r="5866" spans="2:2" ht="15.6">
      <c r="B5866" s="159"/>
    </row>
    <row r="5867" spans="2:2" ht="15.6">
      <c r="B5867" s="159"/>
    </row>
    <row r="5868" spans="2:2" ht="15.6">
      <c r="B5868" s="159"/>
    </row>
    <row r="5869" spans="2:2" ht="15.6">
      <c r="B5869" s="159"/>
    </row>
    <row r="5870" spans="2:2" ht="15.6">
      <c r="B5870" s="159"/>
    </row>
    <row r="5871" spans="2:2" ht="15.6">
      <c r="B5871" s="159"/>
    </row>
    <row r="5872" spans="2:2" ht="15.6">
      <c r="B5872" s="159"/>
    </row>
    <row r="5873" spans="2:2" ht="15.6">
      <c r="B5873" s="159"/>
    </row>
    <row r="5874" spans="2:2" ht="15.6">
      <c r="B5874" s="159"/>
    </row>
    <row r="5875" spans="2:2" ht="15.6">
      <c r="B5875" s="159"/>
    </row>
    <row r="5876" spans="2:2" ht="15.6">
      <c r="B5876" s="159"/>
    </row>
    <row r="5877" spans="2:2" ht="15.6">
      <c r="B5877" s="159"/>
    </row>
    <row r="5878" spans="2:2" ht="15.6">
      <c r="B5878" s="159"/>
    </row>
    <row r="5879" spans="2:2" ht="15.6">
      <c r="B5879" s="159"/>
    </row>
    <row r="5880" spans="2:2" ht="15.6">
      <c r="B5880" s="159"/>
    </row>
    <row r="5881" spans="2:2" ht="15.6">
      <c r="B5881" s="159"/>
    </row>
    <row r="5882" spans="2:2" ht="15.6">
      <c r="B5882" s="159"/>
    </row>
    <row r="5883" spans="2:2" ht="15.6">
      <c r="B5883" s="159"/>
    </row>
    <row r="5884" spans="2:2" ht="15.6">
      <c r="B5884" s="159"/>
    </row>
    <row r="5885" spans="2:2" ht="15.6">
      <c r="B5885" s="159"/>
    </row>
    <row r="5886" spans="2:2" ht="15.6">
      <c r="B5886" s="159"/>
    </row>
    <row r="5887" spans="2:2" ht="15.6">
      <c r="B5887" s="159"/>
    </row>
    <row r="5888" spans="2:2" ht="15.6">
      <c r="B5888" s="159"/>
    </row>
    <row r="5889" spans="2:2" ht="15.6">
      <c r="B5889" s="159"/>
    </row>
    <row r="5890" spans="2:2" ht="15.6">
      <c r="B5890" s="159"/>
    </row>
    <row r="5891" spans="2:2" ht="15.6">
      <c r="B5891" s="159"/>
    </row>
    <row r="5892" spans="2:2" ht="15.6">
      <c r="B5892" s="159"/>
    </row>
    <row r="5893" spans="2:2" ht="15.6">
      <c r="B5893" s="159"/>
    </row>
    <row r="5894" spans="2:2" ht="15.6">
      <c r="B5894" s="159"/>
    </row>
    <row r="5895" spans="2:2" ht="15.6">
      <c r="B5895" s="159"/>
    </row>
    <row r="5896" spans="2:2" ht="15.6">
      <c r="B5896" s="159"/>
    </row>
    <row r="5897" spans="2:2" ht="15.6">
      <c r="B5897" s="159"/>
    </row>
    <row r="5898" spans="2:2" ht="15.6">
      <c r="B5898" s="159"/>
    </row>
    <row r="5899" spans="2:2" ht="15.6">
      <c r="B5899" s="159"/>
    </row>
    <row r="5900" spans="2:2" ht="15.6">
      <c r="B5900" s="159"/>
    </row>
    <row r="5901" spans="2:2" ht="15.6">
      <c r="B5901" s="159"/>
    </row>
    <row r="5902" spans="2:2" ht="15.6">
      <c r="B5902" s="159"/>
    </row>
    <row r="5903" spans="2:2" ht="15.6">
      <c r="B5903" s="159"/>
    </row>
    <row r="5904" spans="2:2" ht="15.6">
      <c r="B5904" s="159"/>
    </row>
    <row r="5905" spans="2:2" ht="15.6">
      <c r="B5905" s="159"/>
    </row>
    <row r="5906" spans="2:2" ht="15.6">
      <c r="B5906" s="159"/>
    </row>
    <row r="5907" spans="2:2" ht="15.6">
      <c r="B5907" s="159"/>
    </row>
    <row r="5908" spans="2:2" ht="15.6">
      <c r="B5908" s="159"/>
    </row>
    <row r="5909" spans="2:2" ht="15.6">
      <c r="B5909" s="159"/>
    </row>
    <row r="5910" spans="2:2" ht="15.6">
      <c r="B5910" s="159"/>
    </row>
    <row r="5911" spans="2:2" ht="15.6">
      <c r="B5911" s="159"/>
    </row>
    <row r="5912" spans="2:2" ht="15.6">
      <c r="B5912" s="159"/>
    </row>
    <row r="5913" spans="2:2" ht="15.6">
      <c r="B5913" s="159"/>
    </row>
    <row r="5914" spans="2:2" ht="15.6">
      <c r="B5914" s="159"/>
    </row>
    <row r="5915" spans="2:2" ht="15.6">
      <c r="B5915" s="159"/>
    </row>
    <row r="5916" spans="2:2" ht="15.6">
      <c r="B5916" s="159"/>
    </row>
    <row r="5917" spans="2:2" ht="15.6">
      <c r="B5917" s="159"/>
    </row>
    <row r="5918" spans="2:2" ht="15.6">
      <c r="B5918" s="159"/>
    </row>
    <row r="5919" spans="2:2" ht="15.6">
      <c r="B5919" s="159"/>
    </row>
    <row r="5920" spans="2:2" ht="15.6">
      <c r="B5920" s="159"/>
    </row>
    <row r="5921" spans="2:2" ht="15.6">
      <c r="B5921" s="159"/>
    </row>
    <row r="5922" spans="2:2" ht="15.6">
      <c r="B5922" s="159"/>
    </row>
    <row r="5923" spans="2:2" ht="15.6">
      <c r="B5923" s="159"/>
    </row>
    <row r="5924" spans="2:2" ht="15.6">
      <c r="B5924" s="159"/>
    </row>
    <row r="5925" spans="2:2" ht="15.6">
      <c r="B5925" s="159"/>
    </row>
    <row r="5926" spans="2:2" ht="15.6">
      <c r="B5926" s="159"/>
    </row>
    <row r="5927" spans="2:2" ht="15.6">
      <c r="B5927" s="159"/>
    </row>
    <row r="5928" spans="2:2" ht="15.6">
      <c r="B5928" s="159"/>
    </row>
    <row r="5929" spans="2:2" ht="15.6">
      <c r="B5929" s="159"/>
    </row>
    <row r="5930" spans="2:2" ht="15.6">
      <c r="B5930" s="159"/>
    </row>
    <row r="5931" spans="2:2" ht="15.6">
      <c r="B5931" s="159"/>
    </row>
    <row r="5932" spans="2:2" ht="15.6">
      <c r="B5932" s="159"/>
    </row>
    <row r="5933" spans="2:2" ht="15.6">
      <c r="B5933" s="159"/>
    </row>
    <row r="5934" spans="2:2" ht="15.6">
      <c r="B5934" s="159"/>
    </row>
    <row r="5935" spans="2:2" ht="15.6">
      <c r="B5935" s="159"/>
    </row>
    <row r="5936" spans="2:2" ht="15.6">
      <c r="B5936" s="159"/>
    </row>
    <row r="5937" spans="2:2" ht="15.6">
      <c r="B5937" s="159"/>
    </row>
    <row r="5938" spans="2:2" ht="15.6">
      <c r="B5938" s="159"/>
    </row>
    <row r="5939" spans="2:2" ht="15.6">
      <c r="B5939" s="159"/>
    </row>
    <row r="5940" spans="2:2" ht="15.6">
      <c r="B5940" s="159"/>
    </row>
    <row r="5941" spans="2:2" ht="15.6">
      <c r="B5941" s="159"/>
    </row>
    <row r="5942" spans="2:2" ht="15.6">
      <c r="B5942" s="159"/>
    </row>
    <row r="5943" spans="2:2" ht="15.6">
      <c r="B5943" s="159"/>
    </row>
    <row r="5944" spans="2:2" ht="15.6">
      <c r="B5944" s="159"/>
    </row>
    <row r="5945" spans="2:2" ht="15.6">
      <c r="B5945" s="159"/>
    </row>
    <row r="5946" spans="2:2" ht="15.6">
      <c r="B5946" s="159"/>
    </row>
    <row r="5947" spans="2:2" ht="15.6">
      <c r="B5947" s="159"/>
    </row>
    <row r="5948" spans="2:2" ht="15.6">
      <c r="B5948" s="159"/>
    </row>
    <row r="5949" spans="2:2" ht="15.6">
      <c r="B5949" s="159"/>
    </row>
    <row r="5950" spans="2:2" ht="15.6">
      <c r="B5950" s="159"/>
    </row>
    <row r="5951" spans="2:2" ht="15.6">
      <c r="B5951" s="159"/>
    </row>
    <row r="5952" spans="2:2" ht="15.6">
      <c r="B5952" s="159"/>
    </row>
    <row r="5953" spans="2:2" ht="15.6">
      <c r="B5953" s="159"/>
    </row>
    <row r="5954" spans="2:2" ht="15.6">
      <c r="B5954" s="159"/>
    </row>
    <row r="5955" spans="2:2" ht="15.6">
      <c r="B5955" s="159"/>
    </row>
    <row r="5956" spans="2:2" ht="15.6">
      <c r="B5956" s="159"/>
    </row>
    <row r="5957" spans="2:2" ht="15.6">
      <c r="B5957" s="159"/>
    </row>
    <row r="5958" spans="2:2" ht="15.6">
      <c r="B5958" s="159"/>
    </row>
    <row r="5959" spans="2:2" ht="15.6">
      <c r="B5959" s="159"/>
    </row>
    <row r="5960" spans="2:2" ht="15.6">
      <c r="B5960" s="159"/>
    </row>
    <row r="5961" spans="2:2" ht="15.6">
      <c r="B5961" s="159"/>
    </row>
    <row r="5962" spans="2:2" ht="15.6">
      <c r="B5962" s="159"/>
    </row>
    <row r="5963" spans="2:2" ht="15.6">
      <c r="B5963" s="159"/>
    </row>
    <row r="5964" spans="2:2" ht="15.6">
      <c r="B5964" s="159"/>
    </row>
    <row r="5965" spans="2:2" ht="15.6">
      <c r="B5965" s="159"/>
    </row>
    <row r="5966" spans="2:2" ht="15.6">
      <c r="B5966" s="159"/>
    </row>
    <row r="5967" spans="2:2" ht="15.6">
      <c r="B5967" s="159"/>
    </row>
    <row r="5968" spans="2:2" ht="15.6">
      <c r="B5968" s="159"/>
    </row>
    <row r="5969" spans="2:2" ht="15.6">
      <c r="B5969" s="159"/>
    </row>
    <row r="5970" spans="2:2" ht="15.6">
      <c r="B5970" s="159"/>
    </row>
    <row r="5971" spans="2:2" ht="15.6">
      <c r="B5971" s="159"/>
    </row>
    <row r="5972" spans="2:2" ht="15.6">
      <c r="B5972" s="159"/>
    </row>
    <row r="5973" spans="2:2" ht="15.6">
      <c r="B5973" s="159"/>
    </row>
    <row r="5974" spans="2:2" ht="15.6">
      <c r="B5974" s="159"/>
    </row>
    <row r="5975" spans="2:2" ht="15.6">
      <c r="B5975" s="159"/>
    </row>
    <row r="5976" spans="2:2" ht="15.6">
      <c r="B5976" s="159"/>
    </row>
    <row r="5977" spans="2:2" ht="15.6">
      <c r="B5977" s="159"/>
    </row>
    <row r="5978" spans="2:2" ht="15.6">
      <c r="B5978" s="159"/>
    </row>
    <row r="5979" spans="2:2" ht="15.6">
      <c r="B5979" s="159"/>
    </row>
    <row r="5980" spans="2:2" ht="15.6">
      <c r="B5980" s="159"/>
    </row>
    <row r="5981" spans="2:2" ht="15.6">
      <c r="B5981" s="159"/>
    </row>
    <row r="5982" spans="2:2" ht="15.6">
      <c r="B5982" s="159"/>
    </row>
    <row r="5983" spans="2:2" ht="15.6">
      <c r="B5983" s="159"/>
    </row>
    <row r="5984" spans="2:2" ht="15.6">
      <c r="B5984" s="159"/>
    </row>
    <row r="5985" spans="2:2" ht="15.6">
      <c r="B5985" s="159"/>
    </row>
    <row r="5986" spans="2:2" ht="15.6">
      <c r="B5986" s="159"/>
    </row>
    <row r="5987" spans="2:2" ht="15.6">
      <c r="B5987" s="159"/>
    </row>
    <row r="5988" spans="2:2" ht="15.6">
      <c r="B5988" s="159"/>
    </row>
    <row r="5989" spans="2:2" ht="15.6">
      <c r="B5989" s="159"/>
    </row>
    <row r="5990" spans="2:2" ht="15.6">
      <c r="B5990" s="159"/>
    </row>
    <row r="5991" spans="2:2" ht="15.6">
      <c r="B5991" s="159"/>
    </row>
    <row r="5992" spans="2:2" ht="15.6">
      <c r="B5992" s="159"/>
    </row>
    <row r="5993" spans="2:2" ht="15.6">
      <c r="B5993" s="159"/>
    </row>
    <row r="5994" spans="2:2" ht="15.6">
      <c r="B5994" s="159"/>
    </row>
    <row r="5995" spans="2:2" ht="15.6">
      <c r="B5995" s="159"/>
    </row>
    <row r="5996" spans="2:2" ht="15.6">
      <c r="B5996" s="159"/>
    </row>
    <row r="5997" spans="2:2" ht="15.6">
      <c r="B5997" s="159"/>
    </row>
    <row r="5998" spans="2:2" ht="15.6">
      <c r="B5998" s="159"/>
    </row>
    <row r="5999" spans="2:2" ht="15.6">
      <c r="B5999" s="159"/>
    </row>
    <row r="6000" spans="2:2" ht="15.6">
      <c r="B6000" s="159"/>
    </row>
    <row r="6001" spans="2:2" ht="15.6">
      <c r="B6001" s="159"/>
    </row>
    <row r="6002" spans="2:2" ht="15.6">
      <c r="B6002" s="159"/>
    </row>
    <row r="6003" spans="2:2" ht="15.6">
      <c r="B6003" s="159"/>
    </row>
    <row r="6004" spans="2:2" ht="15.6">
      <c r="B6004" s="159"/>
    </row>
    <row r="6005" spans="2:2" ht="15.6">
      <c r="B6005" s="159"/>
    </row>
    <row r="6006" spans="2:2" ht="15.6">
      <c r="B6006" s="159"/>
    </row>
    <row r="6007" spans="2:2" ht="15.6">
      <c r="B6007" s="159"/>
    </row>
    <row r="6008" spans="2:2" ht="15.6">
      <c r="B6008" s="159"/>
    </row>
    <row r="6009" spans="2:2" ht="15.6">
      <c r="B6009" s="159"/>
    </row>
    <row r="6010" spans="2:2" ht="15.6">
      <c r="B6010" s="159"/>
    </row>
    <row r="6011" spans="2:2" ht="15.6">
      <c r="B6011" s="159"/>
    </row>
    <row r="6012" spans="2:2" ht="15.6">
      <c r="B6012" s="159"/>
    </row>
    <row r="6013" spans="2:2" ht="15.6">
      <c r="B6013" s="159"/>
    </row>
    <row r="6014" spans="2:2" ht="15.6">
      <c r="B6014" s="159"/>
    </row>
    <row r="6015" spans="2:2" ht="15.6">
      <c r="B6015" s="159"/>
    </row>
    <row r="6016" spans="2:2" ht="15.6">
      <c r="B6016" s="159"/>
    </row>
    <row r="6017" spans="2:2" ht="15.6">
      <c r="B6017" s="159"/>
    </row>
    <row r="6018" spans="2:2" ht="15.6">
      <c r="B6018" s="159"/>
    </row>
    <row r="6019" spans="2:2" ht="15.6">
      <c r="B6019" s="159"/>
    </row>
    <row r="6020" spans="2:2" ht="15.6">
      <c r="B6020" s="159"/>
    </row>
    <row r="6021" spans="2:2" ht="15.6">
      <c r="B6021" s="159"/>
    </row>
    <row r="6022" spans="2:2" ht="15.6">
      <c r="B6022" s="159"/>
    </row>
    <row r="6023" spans="2:2" ht="15.6">
      <c r="B6023" s="159"/>
    </row>
    <row r="6024" spans="2:2" ht="15.6">
      <c r="B6024" s="159"/>
    </row>
    <row r="6025" spans="2:2" ht="15.6">
      <c r="B6025" s="159"/>
    </row>
    <row r="6026" spans="2:2" ht="15.6">
      <c r="B6026" s="159"/>
    </row>
    <row r="6027" spans="2:2" ht="15.6">
      <c r="B6027" s="159"/>
    </row>
    <row r="6028" spans="2:2" ht="15.6">
      <c r="B6028" s="159"/>
    </row>
    <row r="6029" spans="2:2" ht="15.6">
      <c r="B6029" s="159"/>
    </row>
    <row r="6030" spans="2:2" ht="15.6">
      <c r="B6030" s="159"/>
    </row>
    <row r="6031" spans="2:2" ht="15.6">
      <c r="B6031" s="159"/>
    </row>
    <row r="6032" spans="2:2" ht="15.6">
      <c r="B6032" s="159"/>
    </row>
    <row r="6033" spans="2:2" ht="15.6">
      <c r="B6033" s="159"/>
    </row>
    <row r="6034" spans="2:2" ht="15.6">
      <c r="B6034" s="159"/>
    </row>
    <row r="6035" spans="2:2" ht="15.6">
      <c r="B6035" s="159"/>
    </row>
    <row r="6036" spans="2:2" ht="15.6">
      <c r="B6036" s="159"/>
    </row>
    <row r="6037" spans="2:2" ht="15.6">
      <c r="B6037" s="159"/>
    </row>
    <row r="6038" spans="2:2" ht="15.6">
      <c r="B6038" s="159"/>
    </row>
    <row r="6039" spans="2:2" ht="15.6">
      <c r="B6039" s="159"/>
    </row>
    <row r="6040" spans="2:2" ht="15.6">
      <c r="B6040" s="159"/>
    </row>
    <row r="6041" spans="2:2" ht="15.6">
      <c r="B6041" s="159"/>
    </row>
    <row r="6042" spans="2:2" ht="15.6">
      <c r="B6042" s="159"/>
    </row>
    <row r="6043" spans="2:2" ht="15.6">
      <c r="B6043" s="159"/>
    </row>
    <row r="6044" spans="2:2" ht="15.6">
      <c r="B6044" s="159"/>
    </row>
    <row r="6045" spans="2:2" ht="15.6">
      <c r="B6045" s="159"/>
    </row>
    <row r="6046" spans="2:2" ht="15.6">
      <c r="B6046" s="159"/>
    </row>
    <row r="6047" spans="2:2" ht="15.6">
      <c r="B6047" s="159"/>
    </row>
    <row r="6048" spans="2:2" ht="15.6">
      <c r="B6048" s="159"/>
    </row>
    <row r="6049" spans="2:2" ht="15.6">
      <c r="B6049" s="159"/>
    </row>
    <row r="6050" spans="2:2" ht="15.6">
      <c r="B6050" s="159"/>
    </row>
    <row r="6051" spans="2:2" ht="15.6">
      <c r="B6051" s="159"/>
    </row>
    <row r="6052" spans="2:2" ht="15.6">
      <c r="B6052" s="159"/>
    </row>
    <row r="6053" spans="2:2" ht="15.6">
      <c r="B6053" s="159"/>
    </row>
    <row r="6054" spans="2:2" ht="15.6">
      <c r="B6054" s="159"/>
    </row>
    <row r="6055" spans="2:2" ht="15.6">
      <c r="B6055" s="159"/>
    </row>
    <row r="6056" spans="2:2" ht="15.6">
      <c r="B6056" s="159"/>
    </row>
    <row r="6057" spans="2:2" ht="15.6">
      <c r="B6057" s="159"/>
    </row>
    <row r="6058" spans="2:2" ht="15.6">
      <c r="B6058" s="159"/>
    </row>
    <row r="6059" spans="2:2" ht="15.6">
      <c r="B6059" s="159"/>
    </row>
    <row r="6060" spans="2:2" ht="15.6">
      <c r="B6060" s="159"/>
    </row>
    <row r="6061" spans="2:2" ht="15.6">
      <c r="B6061" s="159"/>
    </row>
    <row r="6062" spans="2:2" ht="15.6">
      <c r="B6062" s="159"/>
    </row>
    <row r="6063" spans="2:2" ht="15.6">
      <c r="B6063" s="159"/>
    </row>
    <row r="6064" spans="2:2" ht="15.6">
      <c r="B6064" s="159"/>
    </row>
    <row r="6065" spans="2:2" ht="15.6">
      <c r="B6065" s="159"/>
    </row>
    <row r="6066" spans="2:2" ht="15.6">
      <c r="B6066" s="159"/>
    </row>
    <row r="6067" spans="2:2" ht="15.6">
      <c r="B6067" s="159"/>
    </row>
    <row r="6068" spans="2:2" ht="15.6">
      <c r="B6068" s="159"/>
    </row>
    <row r="6069" spans="2:2" ht="15.6">
      <c r="B6069" s="159"/>
    </row>
    <row r="6070" spans="2:2" ht="15.6">
      <c r="B6070" s="159"/>
    </row>
    <row r="6071" spans="2:2" ht="15.6">
      <c r="B6071" s="159"/>
    </row>
    <row r="6072" spans="2:2" ht="15.6">
      <c r="B6072" s="159"/>
    </row>
    <row r="6073" spans="2:2" ht="15.6">
      <c r="B6073" s="159"/>
    </row>
    <row r="6074" spans="2:2" ht="15.6">
      <c r="B6074" s="159"/>
    </row>
    <row r="6075" spans="2:2" ht="15.6">
      <c r="B6075" s="159"/>
    </row>
    <row r="6076" spans="2:2" ht="15.6">
      <c r="B6076" s="159"/>
    </row>
    <row r="6077" spans="2:2" ht="15.6">
      <c r="B6077" s="159"/>
    </row>
    <row r="6078" spans="2:2" ht="15.6">
      <c r="B6078" s="159"/>
    </row>
    <row r="6079" spans="2:2" ht="15.6">
      <c r="B6079" s="159"/>
    </row>
    <row r="6080" spans="2:2" ht="15.6">
      <c r="B6080" s="159"/>
    </row>
    <row r="6081" spans="2:2" ht="15.6">
      <c r="B6081" s="159"/>
    </row>
    <row r="6082" spans="2:2" ht="15.6">
      <c r="B6082" s="159"/>
    </row>
    <row r="6083" spans="2:2" ht="15.6">
      <c r="B6083" s="159"/>
    </row>
    <row r="6084" spans="2:2" ht="15.6">
      <c r="B6084" s="159"/>
    </row>
    <row r="6085" spans="2:2" ht="15.6">
      <c r="B6085" s="159"/>
    </row>
    <row r="6086" spans="2:2" ht="15.6">
      <c r="B6086" s="159"/>
    </row>
    <row r="6087" spans="2:2" ht="15.6">
      <c r="B6087" s="159"/>
    </row>
    <row r="6088" spans="2:2" ht="15.6">
      <c r="B6088" s="159"/>
    </row>
    <row r="6089" spans="2:2" ht="15.6">
      <c r="B6089" s="159"/>
    </row>
    <row r="6090" spans="2:2" ht="15.6">
      <c r="B6090" s="159"/>
    </row>
    <row r="6091" spans="2:2" ht="15.6">
      <c r="B6091" s="159"/>
    </row>
    <row r="6092" spans="2:2" ht="15.6">
      <c r="B6092" s="159"/>
    </row>
    <row r="6093" spans="2:2" ht="15.6">
      <c r="B6093" s="159"/>
    </row>
    <row r="6094" spans="2:2" ht="15.6">
      <c r="B6094" s="159"/>
    </row>
    <row r="6095" spans="2:2" ht="15.6">
      <c r="B6095" s="159"/>
    </row>
    <row r="6096" spans="2:2" ht="15.6">
      <c r="B6096" s="159"/>
    </row>
    <row r="6097" spans="2:2" ht="15.6">
      <c r="B6097" s="159"/>
    </row>
    <row r="6098" spans="2:2" ht="15.6">
      <c r="B6098" s="159"/>
    </row>
    <row r="6099" spans="2:2" ht="15.6">
      <c r="B6099" s="159"/>
    </row>
    <row r="6100" spans="2:2" ht="15.6">
      <c r="B6100" s="159"/>
    </row>
    <row r="6101" spans="2:2" ht="15.6">
      <c r="B6101" s="159"/>
    </row>
    <row r="6102" spans="2:2" ht="15.6">
      <c r="B6102" s="159"/>
    </row>
    <row r="6103" spans="2:2" ht="15.6">
      <c r="B6103" s="159"/>
    </row>
    <row r="6104" spans="2:2" ht="15.6">
      <c r="B6104" s="159"/>
    </row>
    <row r="6105" spans="2:2" ht="15.6">
      <c r="B6105" s="159"/>
    </row>
    <row r="6106" spans="2:2" ht="15.6">
      <c r="B6106" s="159"/>
    </row>
    <row r="6107" spans="2:2" ht="15.6">
      <c r="B6107" s="159"/>
    </row>
    <row r="6108" spans="2:2" ht="15.6">
      <c r="B6108" s="159"/>
    </row>
    <row r="6109" spans="2:2" ht="15.6">
      <c r="B6109" s="159"/>
    </row>
    <row r="6110" spans="2:2" ht="15.6">
      <c r="B6110" s="159"/>
    </row>
    <row r="6111" spans="2:2" ht="15.6">
      <c r="B6111" s="159"/>
    </row>
    <row r="6112" spans="2:2" ht="15.6">
      <c r="B6112" s="159"/>
    </row>
    <row r="6113" spans="2:2" ht="15.6">
      <c r="B6113" s="159"/>
    </row>
    <row r="6114" spans="2:2" ht="15.6">
      <c r="B6114" s="159"/>
    </row>
    <row r="6115" spans="2:2" ht="15.6">
      <c r="B6115" s="159"/>
    </row>
    <row r="6116" spans="2:2" ht="15.6">
      <c r="B6116" s="159"/>
    </row>
    <row r="6117" spans="2:2" ht="15.6">
      <c r="B6117" s="159"/>
    </row>
    <row r="6118" spans="2:2" ht="15.6">
      <c r="B6118" s="159"/>
    </row>
    <row r="6119" spans="2:2" ht="15.6">
      <c r="B6119" s="159"/>
    </row>
    <row r="6120" spans="2:2" ht="15.6">
      <c r="B6120" s="159"/>
    </row>
    <row r="6121" spans="2:2" ht="15.6">
      <c r="B6121" s="159"/>
    </row>
    <row r="6122" spans="2:2" ht="15.6">
      <c r="B6122" s="159"/>
    </row>
    <row r="6123" spans="2:2" ht="15.6">
      <c r="B6123" s="159"/>
    </row>
    <row r="6124" spans="2:2" ht="15.6">
      <c r="B6124" s="159"/>
    </row>
    <row r="6125" spans="2:2" ht="15.6">
      <c r="B6125" s="159"/>
    </row>
    <row r="6126" spans="2:2" ht="15.6">
      <c r="B6126" s="159"/>
    </row>
    <row r="6127" spans="2:2" ht="15.6">
      <c r="B6127" s="159"/>
    </row>
    <row r="6128" spans="2:2" ht="15.6">
      <c r="B6128" s="159"/>
    </row>
    <row r="6129" spans="2:2" ht="15.6">
      <c r="B6129" s="159"/>
    </row>
    <row r="6130" spans="2:2" ht="15.6">
      <c r="B6130" s="159"/>
    </row>
    <row r="6131" spans="2:2" ht="15.6">
      <c r="B6131" s="159"/>
    </row>
    <row r="6132" spans="2:2" ht="15.6">
      <c r="B6132" s="159"/>
    </row>
    <row r="6133" spans="2:2" ht="15.6">
      <c r="B6133" s="159"/>
    </row>
    <row r="6134" spans="2:2" ht="15.6">
      <c r="B6134" s="159"/>
    </row>
    <row r="6135" spans="2:2" ht="15.6">
      <c r="B6135" s="159"/>
    </row>
    <row r="6136" spans="2:2" ht="15.6">
      <c r="B6136" s="159"/>
    </row>
    <row r="6137" spans="2:2" ht="15.6">
      <c r="B6137" s="159"/>
    </row>
    <row r="6138" spans="2:2" ht="15.6">
      <c r="B6138" s="159"/>
    </row>
    <row r="6139" spans="2:2" ht="15.6">
      <c r="B6139" s="159"/>
    </row>
    <row r="6140" spans="2:2" ht="15.6">
      <c r="B6140" s="159"/>
    </row>
    <row r="6141" spans="2:2" ht="15.6">
      <c r="B6141" s="159"/>
    </row>
    <row r="6142" spans="2:2" ht="15.6">
      <c r="B6142" s="159"/>
    </row>
    <row r="6143" spans="2:2" ht="15.6">
      <c r="B6143" s="159"/>
    </row>
    <row r="6144" spans="2:2" ht="15.6">
      <c r="B6144" s="159"/>
    </row>
    <row r="6145" spans="2:2" ht="15.6">
      <c r="B6145" s="159"/>
    </row>
    <row r="6146" spans="2:2" ht="15.6">
      <c r="B6146" s="159"/>
    </row>
    <row r="6147" spans="2:2" ht="15.6">
      <c r="B6147" s="159"/>
    </row>
    <row r="6148" spans="2:2" ht="15.6">
      <c r="B6148" s="159"/>
    </row>
    <row r="6149" spans="2:2" ht="15.6">
      <c r="B6149" s="159"/>
    </row>
    <row r="6150" spans="2:2" ht="15.6">
      <c r="B6150" s="159"/>
    </row>
    <row r="6151" spans="2:2" ht="15.6">
      <c r="B6151" s="159"/>
    </row>
    <row r="6152" spans="2:2" ht="15.6">
      <c r="B6152" s="159"/>
    </row>
    <row r="6153" spans="2:2" ht="15.6">
      <c r="B6153" s="159"/>
    </row>
    <row r="6154" spans="2:2" ht="15.6">
      <c r="B6154" s="159"/>
    </row>
    <row r="6155" spans="2:2" ht="15.6">
      <c r="B6155" s="159"/>
    </row>
    <row r="6156" spans="2:2" ht="15.6">
      <c r="B6156" s="159"/>
    </row>
    <row r="6157" spans="2:2" ht="15.6">
      <c r="B6157" s="159"/>
    </row>
    <row r="6158" spans="2:2" ht="15.6">
      <c r="B6158" s="159"/>
    </row>
    <row r="6159" spans="2:2" ht="15.6">
      <c r="B6159" s="159"/>
    </row>
    <row r="6160" spans="2:2" ht="15.6">
      <c r="B6160" s="159"/>
    </row>
    <row r="6161" spans="2:2" ht="15.6">
      <c r="B6161" s="159"/>
    </row>
    <row r="6162" spans="2:2" ht="15.6">
      <c r="B6162" s="159"/>
    </row>
    <row r="6163" spans="2:2" ht="15.6">
      <c r="B6163" s="159"/>
    </row>
    <row r="6164" spans="2:2" ht="15.6">
      <c r="B6164" s="159"/>
    </row>
    <row r="6165" spans="2:2" ht="15.6">
      <c r="B6165" s="159"/>
    </row>
    <row r="6166" spans="2:2" ht="15.6">
      <c r="B6166" s="159"/>
    </row>
    <row r="6167" spans="2:2" ht="15.6">
      <c r="B6167" s="159"/>
    </row>
    <row r="6168" spans="2:2" ht="15.6">
      <c r="B6168" s="159"/>
    </row>
    <row r="6169" spans="2:2" ht="15.6">
      <c r="B6169" s="159"/>
    </row>
    <row r="6170" spans="2:2" ht="15.6">
      <c r="B6170" s="159"/>
    </row>
    <row r="6171" spans="2:2" ht="15.6">
      <c r="B6171" s="159"/>
    </row>
    <row r="6172" spans="2:2" ht="15.6">
      <c r="B6172" s="159"/>
    </row>
    <row r="6173" spans="2:2" ht="15.6">
      <c r="B6173" s="159"/>
    </row>
    <row r="6174" spans="2:2" ht="15.6">
      <c r="B6174" s="159"/>
    </row>
    <row r="6175" spans="2:2" ht="15.6">
      <c r="B6175" s="159"/>
    </row>
    <row r="6176" spans="2:2" ht="15.6">
      <c r="B6176" s="159"/>
    </row>
    <row r="6177" spans="2:2" ht="15.6">
      <c r="B6177" s="159"/>
    </row>
    <row r="6178" spans="2:2" ht="15.6">
      <c r="B6178" s="159"/>
    </row>
    <row r="6179" spans="2:2" ht="15.6">
      <c r="B6179" s="159"/>
    </row>
    <row r="6180" spans="2:2" ht="15.6">
      <c r="B6180" s="159"/>
    </row>
    <row r="6181" spans="2:2" ht="15.6">
      <c r="B6181" s="159"/>
    </row>
    <row r="6182" spans="2:2" ht="15.6">
      <c r="B6182" s="159"/>
    </row>
    <row r="6183" spans="2:2" ht="15.6">
      <c r="B6183" s="159"/>
    </row>
    <row r="6184" spans="2:2" ht="15.6">
      <c r="B6184" s="159"/>
    </row>
    <row r="6185" spans="2:2" ht="15.6">
      <c r="B6185" s="159"/>
    </row>
    <row r="6186" spans="2:2" ht="15.6">
      <c r="B6186" s="159"/>
    </row>
    <row r="6187" spans="2:2" ht="15.6">
      <c r="B6187" s="159"/>
    </row>
    <row r="6188" spans="2:2" ht="15.6">
      <c r="B6188" s="159"/>
    </row>
    <row r="6189" spans="2:2" ht="15.6">
      <c r="B6189" s="159"/>
    </row>
    <row r="6190" spans="2:2" ht="15.6">
      <c r="B6190" s="159"/>
    </row>
    <row r="6191" spans="2:2" ht="15.6">
      <c r="B6191" s="159"/>
    </row>
    <row r="6192" spans="2:2" ht="15.6">
      <c r="B6192" s="159"/>
    </row>
    <row r="6193" spans="2:2" ht="15.6">
      <c r="B6193" s="159"/>
    </row>
    <row r="6194" spans="2:2" ht="15.6">
      <c r="B6194" s="159"/>
    </row>
    <row r="6195" spans="2:2" ht="15.6">
      <c r="B6195" s="159"/>
    </row>
    <row r="6196" spans="2:2" ht="15.6">
      <c r="B6196" s="159"/>
    </row>
    <row r="6197" spans="2:2" ht="15.6">
      <c r="B6197" s="159"/>
    </row>
    <row r="6198" spans="2:2" ht="15.6">
      <c r="B6198" s="159"/>
    </row>
    <row r="6199" spans="2:2" ht="15.6">
      <c r="B6199" s="159"/>
    </row>
    <row r="6200" spans="2:2" ht="15.6">
      <c r="B6200" s="159"/>
    </row>
    <row r="6201" spans="2:2" ht="15.6">
      <c r="B6201" s="159"/>
    </row>
    <row r="6202" spans="2:2" ht="15.6">
      <c r="B6202" s="159"/>
    </row>
    <row r="6203" spans="2:2" ht="15.6">
      <c r="B6203" s="159"/>
    </row>
    <row r="6204" spans="2:2" ht="15.6">
      <c r="B6204" s="159"/>
    </row>
    <row r="6205" spans="2:2" ht="15.6">
      <c r="B6205" s="159"/>
    </row>
    <row r="6206" spans="2:2" ht="15.6">
      <c r="B6206" s="159"/>
    </row>
    <row r="6207" spans="2:2" ht="15.6">
      <c r="B6207" s="159"/>
    </row>
    <row r="6208" spans="2:2" ht="15.6">
      <c r="B6208" s="159"/>
    </row>
    <row r="6209" spans="2:2" ht="15.6">
      <c r="B6209" s="159"/>
    </row>
    <row r="6210" spans="2:2" ht="15.6">
      <c r="B6210" s="159"/>
    </row>
    <row r="6211" spans="2:2" ht="15.6">
      <c r="B6211" s="159"/>
    </row>
    <row r="6212" spans="2:2" ht="15.6">
      <c r="B6212" s="159"/>
    </row>
    <row r="6213" spans="2:2" ht="15.6">
      <c r="B6213" s="159"/>
    </row>
    <row r="6214" spans="2:2" ht="15.6">
      <c r="B6214" s="159"/>
    </row>
    <row r="6215" spans="2:2" ht="15.6">
      <c r="B6215" s="159"/>
    </row>
    <row r="6216" spans="2:2" ht="15.6">
      <c r="B6216" s="159"/>
    </row>
    <row r="6217" spans="2:2" ht="15.6">
      <c r="B6217" s="159"/>
    </row>
    <row r="6218" spans="2:2" ht="15.6">
      <c r="B6218" s="159"/>
    </row>
    <row r="6219" spans="2:2" ht="15.6">
      <c r="B6219" s="159"/>
    </row>
    <row r="6220" spans="2:2" ht="15.6">
      <c r="B6220" s="159"/>
    </row>
    <row r="6221" spans="2:2" ht="15.6">
      <c r="B6221" s="159"/>
    </row>
    <row r="6222" spans="2:2" ht="15.6">
      <c r="B6222" s="159"/>
    </row>
    <row r="6223" spans="2:2" ht="15.6">
      <c r="B6223" s="159"/>
    </row>
    <row r="6224" spans="2:2" ht="15.6">
      <c r="B6224" s="159"/>
    </row>
    <row r="6225" spans="2:2" ht="15.6">
      <c r="B6225" s="159"/>
    </row>
    <row r="6226" spans="2:2" ht="15.6">
      <c r="B6226" s="159"/>
    </row>
    <row r="6227" spans="2:2" ht="15.6">
      <c r="B6227" s="159"/>
    </row>
    <row r="6228" spans="2:2" ht="15.6">
      <c r="B6228" s="159"/>
    </row>
    <row r="6229" spans="2:2" ht="15.6">
      <c r="B6229" s="159"/>
    </row>
    <row r="6230" spans="2:2" ht="15.6">
      <c r="B6230" s="159"/>
    </row>
    <row r="6231" spans="2:2" ht="15.6">
      <c r="B6231" s="159"/>
    </row>
    <row r="6232" spans="2:2" ht="15.6">
      <c r="B6232" s="159"/>
    </row>
    <row r="6233" spans="2:2" ht="15.6">
      <c r="B6233" s="159"/>
    </row>
    <row r="6234" spans="2:2" ht="15.6">
      <c r="B6234" s="159"/>
    </row>
    <row r="6235" spans="2:2" ht="15.6">
      <c r="B6235" s="159"/>
    </row>
    <row r="6236" spans="2:2" ht="15.6">
      <c r="B6236" s="159"/>
    </row>
    <row r="6237" spans="2:2" ht="15.6">
      <c r="B6237" s="159"/>
    </row>
    <row r="6238" spans="2:2" ht="15.6">
      <c r="B6238" s="159"/>
    </row>
    <row r="6239" spans="2:2" ht="15.6">
      <c r="B6239" s="159"/>
    </row>
    <row r="6240" spans="2:2" ht="15.6">
      <c r="B6240" s="159"/>
    </row>
    <row r="6241" spans="2:2" ht="15.6">
      <c r="B6241" s="159"/>
    </row>
    <row r="6242" spans="2:2" ht="15.6">
      <c r="B6242" s="159"/>
    </row>
    <row r="6243" spans="2:2" ht="15.6">
      <c r="B6243" s="159"/>
    </row>
    <row r="6244" spans="2:2" ht="15.6">
      <c r="B6244" s="159"/>
    </row>
    <row r="6245" spans="2:2" ht="15.6">
      <c r="B6245" s="159"/>
    </row>
    <row r="6246" spans="2:2" ht="15.6">
      <c r="B6246" s="159"/>
    </row>
    <row r="6247" spans="2:2" ht="15.6">
      <c r="B6247" s="159"/>
    </row>
    <row r="6248" spans="2:2" ht="15.6">
      <c r="B6248" s="159"/>
    </row>
    <row r="6249" spans="2:2" ht="15.6">
      <c r="B6249" s="159"/>
    </row>
    <row r="6250" spans="2:2" ht="15.6">
      <c r="B6250" s="159"/>
    </row>
    <row r="6251" spans="2:2" ht="15.6">
      <c r="B6251" s="159"/>
    </row>
    <row r="6252" spans="2:2" ht="15.6">
      <c r="B6252" s="159"/>
    </row>
    <row r="6253" spans="2:2" ht="15.6">
      <c r="B6253" s="159"/>
    </row>
    <row r="6254" spans="2:2" ht="15.6">
      <c r="B6254" s="159"/>
    </row>
    <row r="6255" spans="2:2" ht="15.6">
      <c r="B6255" s="159"/>
    </row>
    <row r="6256" spans="2:2" ht="15.6">
      <c r="B6256" s="159"/>
    </row>
    <row r="6257" spans="2:2" ht="15.6">
      <c r="B6257" s="159"/>
    </row>
    <row r="6258" spans="2:2" ht="15.6">
      <c r="B6258" s="159"/>
    </row>
    <row r="6259" spans="2:2" ht="15.6">
      <c r="B6259" s="159"/>
    </row>
    <row r="6260" spans="2:2" ht="15.6">
      <c r="B6260" s="159"/>
    </row>
    <row r="6261" spans="2:2" ht="15.6">
      <c r="B6261" s="159"/>
    </row>
    <row r="6262" spans="2:2" ht="15.6">
      <c r="B6262" s="159"/>
    </row>
    <row r="6263" spans="2:2" ht="15.6">
      <c r="B6263" s="159"/>
    </row>
    <row r="6264" spans="2:2" ht="15.6">
      <c r="B6264" s="159"/>
    </row>
    <row r="6265" spans="2:2" ht="15.6">
      <c r="B6265" s="159"/>
    </row>
    <row r="6266" spans="2:2" ht="15.6">
      <c r="B6266" s="159"/>
    </row>
    <row r="6267" spans="2:2" ht="15.6">
      <c r="B6267" s="159"/>
    </row>
    <row r="6268" spans="2:2" ht="15.6">
      <c r="B6268" s="159"/>
    </row>
    <row r="6269" spans="2:2" ht="15.6">
      <c r="B6269" s="159"/>
    </row>
    <row r="6270" spans="2:2" ht="15.6">
      <c r="B6270" s="159"/>
    </row>
    <row r="6271" spans="2:2" ht="15.6">
      <c r="B6271" s="159"/>
    </row>
    <row r="6272" spans="2:2" ht="15.6">
      <c r="B6272" s="159"/>
    </row>
    <row r="6273" spans="2:2" ht="15.6">
      <c r="B6273" s="159"/>
    </row>
    <row r="6274" spans="2:2" ht="15.6">
      <c r="B6274" s="159"/>
    </row>
    <row r="6275" spans="2:2" ht="15.6">
      <c r="B6275" s="159"/>
    </row>
    <row r="6276" spans="2:2" ht="15.6">
      <c r="B6276" s="159"/>
    </row>
    <row r="6277" spans="2:2" ht="15.6">
      <c r="B6277" s="159"/>
    </row>
    <row r="6278" spans="2:2" ht="15.6">
      <c r="B6278" s="159"/>
    </row>
    <row r="6279" spans="2:2" ht="15.6">
      <c r="B6279" s="159"/>
    </row>
    <row r="6280" spans="2:2" ht="15.6">
      <c r="B6280" s="159"/>
    </row>
    <row r="6281" spans="2:2" ht="15.6">
      <c r="B6281" s="159"/>
    </row>
    <row r="6282" spans="2:2" ht="15.6">
      <c r="B6282" s="159"/>
    </row>
    <row r="6283" spans="2:2" ht="15.6">
      <c r="B6283" s="159"/>
    </row>
    <row r="6284" spans="2:2" ht="15.6">
      <c r="B6284" s="159"/>
    </row>
    <row r="6285" spans="2:2" ht="15.6">
      <c r="B6285" s="159"/>
    </row>
    <row r="6286" spans="2:2" ht="15.6">
      <c r="B6286" s="159"/>
    </row>
    <row r="6287" spans="2:2" ht="15.6">
      <c r="B6287" s="159"/>
    </row>
    <row r="6288" spans="2:2" ht="15.6">
      <c r="B6288" s="159"/>
    </row>
    <row r="6289" spans="2:2" ht="15.6">
      <c r="B6289" s="159"/>
    </row>
    <row r="6290" spans="2:2" ht="15.6">
      <c r="B6290" s="159"/>
    </row>
    <row r="6291" spans="2:2" ht="15.6">
      <c r="B6291" s="159"/>
    </row>
    <row r="6292" spans="2:2" ht="15.6">
      <c r="B6292" s="159"/>
    </row>
    <row r="6293" spans="2:2" ht="15.6">
      <c r="B6293" s="159"/>
    </row>
    <row r="6294" spans="2:2" ht="15.6">
      <c r="B6294" s="159"/>
    </row>
    <row r="6295" spans="2:2" ht="15.6">
      <c r="B6295" s="159"/>
    </row>
    <row r="6296" spans="2:2" ht="15.6">
      <c r="B6296" s="159"/>
    </row>
    <row r="6297" spans="2:2" ht="15.6">
      <c r="B6297" s="159"/>
    </row>
    <row r="6298" spans="2:2" ht="15.6">
      <c r="B6298" s="159"/>
    </row>
    <row r="6299" spans="2:2" ht="15.6">
      <c r="B6299" s="159"/>
    </row>
    <row r="6300" spans="2:2" ht="15.6">
      <c r="B6300" s="159"/>
    </row>
    <row r="6301" spans="2:2" ht="15.6">
      <c r="B6301" s="159"/>
    </row>
    <row r="6302" spans="2:2" ht="15.6">
      <c r="B6302" s="159"/>
    </row>
    <row r="6303" spans="2:2" ht="15.6">
      <c r="B6303" s="159"/>
    </row>
    <row r="6304" spans="2:2" ht="15.6">
      <c r="B6304" s="159"/>
    </row>
    <row r="6305" spans="2:2" ht="15.6">
      <c r="B6305" s="159"/>
    </row>
    <row r="6306" spans="2:2" ht="15.6">
      <c r="B6306" s="159"/>
    </row>
    <row r="6307" spans="2:2" ht="15.6">
      <c r="B6307" s="159"/>
    </row>
    <row r="6308" spans="2:2" ht="15.6">
      <c r="B6308" s="159"/>
    </row>
    <row r="6309" spans="2:2" ht="15.6">
      <c r="B6309" s="159"/>
    </row>
    <row r="6310" spans="2:2" ht="15.6">
      <c r="B6310" s="159"/>
    </row>
    <row r="6311" spans="2:2" ht="15.6">
      <c r="B6311" s="159"/>
    </row>
    <row r="6312" spans="2:2" ht="15.6">
      <c r="B6312" s="159"/>
    </row>
    <row r="6313" spans="2:2" ht="15.6">
      <c r="B6313" s="159"/>
    </row>
    <row r="6314" spans="2:2" ht="15.6">
      <c r="B6314" s="159"/>
    </row>
    <row r="6315" spans="2:2" ht="15.6">
      <c r="B6315" s="159"/>
    </row>
    <row r="6316" spans="2:2" ht="15.6">
      <c r="B6316" s="159"/>
    </row>
    <row r="6317" spans="2:2" ht="15.6">
      <c r="B6317" s="159"/>
    </row>
    <row r="6318" spans="2:2" ht="15.6">
      <c r="B6318" s="159"/>
    </row>
    <row r="6319" spans="2:2" ht="15.6">
      <c r="B6319" s="159"/>
    </row>
    <row r="6320" spans="2:2" ht="15.6">
      <c r="B6320" s="159"/>
    </row>
    <row r="6321" spans="2:2" ht="15.6">
      <c r="B6321" s="159"/>
    </row>
    <row r="6322" spans="2:2" ht="15.6">
      <c r="B6322" s="159"/>
    </row>
    <row r="6323" spans="2:2" ht="15.6">
      <c r="B6323" s="159"/>
    </row>
    <row r="6324" spans="2:2" ht="15.6">
      <c r="B6324" s="159"/>
    </row>
    <row r="6325" spans="2:2" ht="15.6">
      <c r="B6325" s="159"/>
    </row>
    <row r="6326" spans="2:2" ht="15.6">
      <c r="B6326" s="159"/>
    </row>
    <row r="6327" spans="2:2" ht="15.6">
      <c r="B6327" s="159"/>
    </row>
    <row r="6328" spans="2:2" ht="15.6">
      <c r="B6328" s="159"/>
    </row>
    <row r="6329" spans="2:2" ht="15.6">
      <c r="B6329" s="159"/>
    </row>
    <row r="6330" spans="2:2" ht="15.6">
      <c r="B6330" s="159"/>
    </row>
    <row r="6331" spans="2:2" ht="15.6">
      <c r="B6331" s="159"/>
    </row>
    <row r="6332" spans="2:2" ht="15.6">
      <c r="B6332" s="159"/>
    </row>
    <row r="6333" spans="2:2" ht="15.6">
      <c r="B6333" s="159"/>
    </row>
    <row r="6334" spans="2:2" ht="15.6">
      <c r="B6334" s="159"/>
    </row>
    <row r="6335" spans="2:2" ht="15.6">
      <c r="B6335" s="159"/>
    </row>
    <row r="6336" spans="2:2" ht="15.6">
      <c r="B6336" s="159"/>
    </row>
    <row r="6337" spans="2:2" ht="15.6">
      <c r="B6337" s="159"/>
    </row>
    <row r="6338" spans="2:2" ht="15.6">
      <c r="B6338" s="159"/>
    </row>
    <row r="6339" spans="2:2" ht="15.6">
      <c r="B6339" s="159"/>
    </row>
    <row r="6340" spans="2:2" ht="15.6">
      <c r="B6340" s="159"/>
    </row>
    <row r="6341" spans="2:2" ht="15.6">
      <c r="B6341" s="159"/>
    </row>
    <row r="6342" spans="2:2" ht="15.6">
      <c r="B6342" s="159"/>
    </row>
    <row r="6343" spans="2:2" ht="15.6">
      <c r="B6343" s="159"/>
    </row>
    <row r="6344" spans="2:2" ht="15.6">
      <c r="B6344" s="159"/>
    </row>
    <row r="6345" spans="2:2" ht="15.6">
      <c r="B6345" s="159"/>
    </row>
    <row r="6346" spans="2:2" ht="15.6">
      <c r="B6346" s="159"/>
    </row>
    <row r="6347" spans="2:2" ht="15.6">
      <c r="B6347" s="159"/>
    </row>
    <row r="6348" spans="2:2" ht="15.6">
      <c r="B6348" s="159"/>
    </row>
    <row r="6349" spans="2:2" ht="15.6">
      <c r="B6349" s="159"/>
    </row>
    <row r="6350" spans="2:2" ht="15.6">
      <c r="B6350" s="159"/>
    </row>
    <row r="6351" spans="2:2" ht="15.6">
      <c r="B6351" s="159"/>
    </row>
    <row r="6352" spans="2:2" ht="15.6">
      <c r="B6352" s="159"/>
    </row>
    <row r="6353" spans="2:2" ht="15.6">
      <c r="B6353" s="159"/>
    </row>
    <row r="6354" spans="2:2" ht="15.6">
      <c r="B6354" s="159"/>
    </row>
    <row r="6355" spans="2:2" ht="15.6">
      <c r="B6355" s="159"/>
    </row>
    <row r="6356" spans="2:2" ht="15.6">
      <c r="B6356" s="159"/>
    </row>
    <row r="6357" spans="2:2" ht="15.6">
      <c r="B6357" s="159"/>
    </row>
    <row r="6358" spans="2:2" ht="15.6">
      <c r="B6358" s="159"/>
    </row>
    <row r="6359" spans="2:2" ht="15.6">
      <c r="B6359" s="159"/>
    </row>
    <row r="6360" spans="2:2" ht="15.6">
      <c r="B6360" s="159"/>
    </row>
    <row r="6361" spans="2:2" ht="15.6">
      <c r="B6361" s="159"/>
    </row>
    <row r="6362" spans="2:2" ht="15.6">
      <c r="B6362" s="159"/>
    </row>
    <row r="6363" spans="2:2" ht="15.6">
      <c r="B6363" s="159"/>
    </row>
    <row r="6364" spans="2:2" ht="15.6">
      <c r="B6364" s="159"/>
    </row>
    <row r="6365" spans="2:2" ht="15.6">
      <c r="B6365" s="159"/>
    </row>
    <row r="6366" spans="2:2" ht="15.6">
      <c r="B6366" s="159"/>
    </row>
    <row r="6367" spans="2:2" ht="15.6">
      <c r="B6367" s="159"/>
    </row>
    <row r="6368" spans="2:2" ht="15.6">
      <c r="B6368" s="159"/>
    </row>
    <row r="6369" spans="2:2" ht="15.6">
      <c r="B6369" s="159"/>
    </row>
    <row r="6370" spans="2:2" ht="15.6">
      <c r="B6370" s="159"/>
    </row>
    <row r="6371" spans="2:2" ht="15.6">
      <c r="B6371" s="159"/>
    </row>
    <row r="6372" spans="2:2" ht="15.6">
      <c r="B6372" s="159"/>
    </row>
    <row r="6373" spans="2:2" ht="15.6">
      <c r="B6373" s="159"/>
    </row>
    <row r="6374" spans="2:2" ht="15.6">
      <c r="B6374" s="159"/>
    </row>
    <row r="6375" spans="2:2" ht="15.6">
      <c r="B6375" s="159"/>
    </row>
    <row r="6376" spans="2:2" ht="15.6">
      <c r="B6376" s="159"/>
    </row>
    <row r="6377" spans="2:2" ht="15.6">
      <c r="B6377" s="159"/>
    </row>
    <row r="6378" spans="2:2" ht="15.6">
      <c r="B6378" s="159"/>
    </row>
    <row r="6379" spans="2:2" ht="15.6">
      <c r="B6379" s="159"/>
    </row>
    <row r="6380" spans="2:2" ht="15.6">
      <c r="B6380" s="159"/>
    </row>
    <row r="6381" spans="2:2" ht="15.6">
      <c r="B6381" s="159"/>
    </row>
    <row r="6382" spans="2:2" ht="15.6">
      <c r="B6382" s="159"/>
    </row>
    <row r="6383" spans="2:2" ht="15.6">
      <c r="B6383" s="159"/>
    </row>
    <row r="6384" spans="2:2" ht="15.6">
      <c r="B6384" s="159"/>
    </row>
    <row r="6385" spans="2:2" ht="15.6">
      <c r="B6385" s="159"/>
    </row>
    <row r="6386" spans="2:2" ht="15.6">
      <c r="B6386" s="159"/>
    </row>
    <row r="6387" spans="2:2" ht="15.6">
      <c r="B6387" s="159"/>
    </row>
    <row r="6388" spans="2:2" ht="15.6">
      <c r="B6388" s="159"/>
    </row>
    <row r="6389" spans="2:2" ht="15.6">
      <c r="B6389" s="159"/>
    </row>
    <row r="6390" spans="2:2" ht="15.6">
      <c r="B6390" s="159"/>
    </row>
    <row r="6391" spans="2:2" ht="15.6">
      <c r="B6391" s="159"/>
    </row>
    <row r="6392" spans="2:2" ht="15.6">
      <c r="B6392" s="159"/>
    </row>
    <row r="6393" spans="2:2" ht="15.6">
      <c r="B6393" s="159"/>
    </row>
    <row r="6394" spans="2:2" ht="15.6">
      <c r="B6394" s="159"/>
    </row>
    <row r="6395" spans="2:2" ht="15.6">
      <c r="B6395" s="159"/>
    </row>
    <row r="6396" spans="2:2" ht="15.6">
      <c r="B6396" s="159"/>
    </row>
    <row r="6397" spans="2:2" ht="15.6">
      <c r="B6397" s="159"/>
    </row>
    <row r="6398" spans="2:2" ht="15.6">
      <c r="B6398" s="159"/>
    </row>
    <row r="6399" spans="2:2" ht="15.6">
      <c r="B6399" s="159"/>
    </row>
    <row r="6400" spans="2:2" ht="15.6">
      <c r="B6400" s="159"/>
    </row>
    <row r="6401" spans="2:2" ht="15.6">
      <c r="B6401" s="159"/>
    </row>
    <row r="6402" spans="2:2" ht="15.6">
      <c r="B6402" s="159"/>
    </row>
    <row r="6403" spans="2:2" ht="15.6">
      <c r="B6403" s="159"/>
    </row>
    <row r="6404" spans="2:2" ht="15.6">
      <c r="B6404" s="159"/>
    </row>
    <row r="6405" spans="2:2" ht="15.6">
      <c r="B6405" s="159"/>
    </row>
    <row r="6406" spans="2:2" ht="15.6">
      <c r="B6406" s="159"/>
    </row>
    <row r="6407" spans="2:2" ht="15.6">
      <c r="B6407" s="159"/>
    </row>
    <row r="6408" spans="2:2" ht="15.6">
      <c r="B6408" s="159"/>
    </row>
    <row r="6409" spans="2:2" ht="15.6">
      <c r="B6409" s="159"/>
    </row>
    <row r="6410" spans="2:2" ht="15.6">
      <c r="B6410" s="159"/>
    </row>
    <row r="6411" spans="2:2" ht="15.6">
      <c r="B6411" s="159"/>
    </row>
    <row r="6412" spans="2:2" ht="15.6">
      <c r="B6412" s="159"/>
    </row>
    <row r="6413" spans="2:2" ht="15.6">
      <c r="B6413" s="159"/>
    </row>
    <row r="6414" spans="2:2" ht="15.6">
      <c r="B6414" s="159"/>
    </row>
    <row r="6415" spans="2:2" ht="15.6">
      <c r="B6415" s="159"/>
    </row>
    <row r="6416" spans="2:2" ht="15.6">
      <c r="B6416" s="159"/>
    </row>
    <row r="6417" spans="2:2" ht="15.6">
      <c r="B6417" s="159"/>
    </row>
    <row r="6418" spans="2:2" ht="15.6">
      <c r="B6418" s="159"/>
    </row>
    <row r="6419" spans="2:2" ht="15.6">
      <c r="B6419" s="159"/>
    </row>
    <row r="6420" spans="2:2" ht="15.6">
      <c r="B6420" s="159"/>
    </row>
    <row r="6421" spans="2:2" ht="15.6">
      <c r="B6421" s="159"/>
    </row>
    <row r="6422" spans="2:2" ht="15.6">
      <c r="B6422" s="159"/>
    </row>
    <row r="6423" spans="2:2" ht="15.6">
      <c r="B6423" s="159"/>
    </row>
    <row r="6424" spans="2:2" ht="15.6">
      <c r="B6424" s="159"/>
    </row>
    <row r="6425" spans="2:2" ht="15.6">
      <c r="B6425" s="159"/>
    </row>
    <row r="6426" spans="2:2" ht="15.6">
      <c r="B6426" s="159"/>
    </row>
    <row r="6427" spans="2:2" ht="15.6">
      <c r="B6427" s="159"/>
    </row>
    <row r="6428" spans="2:2" ht="15.6">
      <c r="B6428" s="159"/>
    </row>
    <row r="6429" spans="2:2" ht="15.6">
      <c r="B6429" s="159"/>
    </row>
    <row r="6430" spans="2:2" ht="15.6">
      <c r="B6430" s="159"/>
    </row>
    <row r="6431" spans="2:2" ht="15.6">
      <c r="B6431" s="159"/>
    </row>
    <row r="6432" spans="2:2" ht="15.6">
      <c r="B6432" s="159"/>
    </row>
    <row r="6433" spans="2:2" ht="15.6">
      <c r="B6433" s="159"/>
    </row>
    <row r="6434" spans="2:2" ht="15.6">
      <c r="B6434" s="159"/>
    </row>
    <row r="6435" spans="2:2" ht="15.6">
      <c r="B6435" s="159"/>
    </row>
    <row r="6436" spans="2:2" ht="15.6">
      <c r="B6436" s="159"/>
    </row>
    <row r="6437" spans="2:2" ht="15.6">
      <c r="B6437" s="159"/>
    </row>
    <row r="6438" spans="2:2" ht="15.6">
      <c r="B6438" s="159"/>
    </row>
    <row r="6439" spans="2:2" ht="15.6">
      <c r="B6439" s="159"/>
    </row>
    <row r="6440" spans="2:2" ht="15.6">
      <c r="B6440" s="159"/>
    </row>
    <row r="6441" spans="2:2" ht="15.6">
      <c r="B6441" s="159"/>
    </row>
    <row r="6442" spans="2:2" ht="15.6">
      <c r="B6442" s="159"/>
    </row>
    <row r="6443" spans="2:2" ht="15.6">
      <c r="B6443" s="159"/>
    </row>
    <row r="6444" spans="2:2" ht="15.6">
      <c r="B6444" s="159"/>
    </row>
    <row r="6445" spans="2:2" ht="15.6">
      <c r="B6445" s="159"/>
    </row>
    <row r="6446" spans="2:2" ht="15.6">
      <c r="B6446" s="159"/>
    </row>
    <row r="6447" spans="2:2" ht="15.6">
      <c r="B6447" s="159"/>
    </row>
    <row r="6448" spans="2:2" ht="15.6">
      <c r="B6448" s="159"/>
    </row>
    <row r="6449" spans="2:2" ht="15.6">
      <c r="B6449" s="159"/>
    </row>
    <row r="6450" spans="2:2" ht="15.6">
      <c r="B6450" s="159"/>
    </row>
    <row r="6451" spans="2:2" ht="15.6">
      <c r="B6451" s="159"/>
    </row>
    <row r="6452" spans="2:2" ht="15.6">
      <c r="B6452" s="159"/>
    </row>
    <row r="6453" spans="2:2" ht="15.6">
      <c r="B6453" s="159"/>
    </row>
    <row r="6454" spans="2:2" ht="15.6">
      <c r="B6454" s="159"/>
    </row>
    <row r="6455" spans="2:2" ht="15.6">
      <c r="B6455" s="159"/>
    </row>
    <row r="6456" spans="2:2" ht="15.6">
      <c r="B6456" s="159"/>
    </row>
    <row r="6457" spans="2:2" ht="15.6">
      <c r="B6457" s="159"/>
    </row>
    <row r="6458" spans="2:2" ht="15.6">
      <c r="B6458" s="159"/>
    </row>
    <row r="6459" spans="2:2" ht="15.6">
      <c r="B6459" s="159"/>
    </row>
    <row r="6460" spans="2:2" ht="15.6">
      <c r="B6460" s="159"/>
    </row>
    <row r="6461" spans="2:2" ht="15.6">
      <c r="B6461" s="159"/>
    </row>
    <row r="6462" spans="2:2" ht="15.6">
      <c r="B6462" s="159"/>
    </row>
    <row r="6463" spans="2:2" ht="15.6">
      <c r="B6463" s="159"/>
    </row>
    <row r="6464" spans="2:2" ht="15.6">
      <c r="B6464" s="159"/>
    </row>
    <row r="6465" spans="2:2" ht="15.6">
      <c r="B6465" s="159"/>
    </row>
    <row r="6466" spans="2:2" ht="15.6">
      <c r="B6466" s="159"/>
    </row>
    <row r="6467" spans="2:2" ht="15.6">
      <c r="B6467" s="159"/>
    </row>
    <row r="6468" spans="2:2" ht="15.6">
      <c r="B6468" s="159"/>
    </row>
    <row r="6469" spans="2:2" ht="15.6">
      <c r="B6469" s="159"/>
    </row>
    <row r="6470" spans="2:2" ht="15.6">
      <c r="B6470" s="159"/>
    </row>
    <row r="6471" spans="2:2" ht="15.6">
      <c r="B6471" s="159"/>
    </row>
    <row r="6472" spans="2:2" ht="15.6">
      <c r="B6472" s="159"/>
    </row>
    <row r="6473" spans="2:2" ht="15.6">
      <c r="B6473" s="159"/>
    </row>
    <row r="6474" spans="2:2" ht="15.6">
      <c r="B6474" s="159"/>
    </row>
    <row r="6475" spans="2:2" ht="15.6">
      <c r="B6475" s="159"/>
    </row>
    <row r="6476" spans="2:2" ht="15.6">
      <c r="B6476" s="159"/>
    </row>
    <row r="6477" spans="2:2" ht="15.6">
      <c r="B6477" s="159"/>
    </row>
    <row r="6478" spans="2:2" ht="15.6">
      <c r="B6478" s="159"/>
    </row>
    <row r="6479" spans="2:2" ht="15.6">
      <c r="B6479" s="159"/>
    </row>
    <row r="6480" spans="2:2" ht="15.6">
      <c r="B6480" s="159"/>
    </row>
    <row r="6481" spans="2:2" ht="15.6">
      <c r="B6481" s="159"/>
    </row>
    <row r="6482" spans="2:2" ht="15.6">
      <c r="B6482" s="159"/>
    </row>
    <row r="6483" spans="2:2" ht="15.6">
      <c r="B6483" s="159"/>
    </row>
    <row r="6484" spans="2:2" ht="15.6">
      <c r="B6484" s="159"/>
    </row>
    <row r="6485" spans="2:2" ht="15.6">
      <c r="B6485" s="159"/>
    </row>
    <row r="6486" spans="2:2" ht="15.6">
      <c r="B6486" s="159"/>
    </row>
    <row r="6487" spans="2:2" ht="15.6">
      <c r="B6487" s="159"/>
    </row>
    <row r="6488" spans="2:2" ht="15.6">
      <c r="B6488" s="159"/>
    </row>
    <row r="6489" spans="2:2" ht="15.6">
      <c r="B6489" s="159"/>
    </row>
    <row r="6490" spans="2:2" ht="15.6">
      <c r="B6490" s="159"/>
    </row>
    <row r="6491" spans="2:2" ht="15.6">
      <c r="B6491" s="159"/>
    </row>
    <row r="6492" spans="2:2" ht="15.6">
      <c r="B6492" s="159"/>
    </row>
    <row r="6493" spans="2:2" ht="15.6">
      <c r="B6493" s="159"/>
    </row>
    <row r="6494" spans="2:2" ht="15.6">
      <c r="B6494" s="159"/>
    </row>
    <row r="6495" spans="2:2" ht="15.6">
      <c r="B6495" s="159"/>
    </row>
    <row r="6496" spans="2:2" ht="15.6">
      <c r="B6496" s="159"/>
    </row>
    <row r="6497" spans="2:2" ht="15.6">
      <c r="B6497" s="159"/>
    </row>
    <row r="6498" spans="2:2" ht="15.6">
      <c r="B6498" s="159"/>
    </row>
    <row r="6499" spans="2:2" ht="15.6">
      <c r="B6499" s="159"/>
    </row>
    <row r="6500" spans="2:2" ht="15.6">
      <c r="B6500" s="159"/>
    </row>
    <row r="6501" spans="2:2" ht="15.6">
      <c r="B6501" s="159"/>
    </row>
    <row r="6502" spans="2:2" ht="15.6">
      <c r="B6502" s="159"/>
    </row>
    <row r="6503" spans="2:2" ht="15.6">
      <c r="B6503" s="159"/>
    </row>
    <row r="6504" spans="2:2" ht="15.6">
      <c r="B6504" s="159"/>
    </row>
    <row r="6505" spans="2:2" ht="15.6">
      <c r="B6505" s="159"/>
    </row>
    <row r="6506" spans="2:2" ht="15.6">
      <c r="B6506" s="159"/>
    </row>
    <row r="6507" spans="2:2" ht="15.6">
      <c r="B6507" s="159"/>
    </row>
    <row r="6508" spans="2:2" ht="15.6">
      <c r="B6508" s="159"/>
    </row>
    <row r="6509" spans="2:2" ht="15.6">
      <c r="B6509" s="159"/>
    </row>
    <row r="6510" spans="2:2" ht="15.6">
      <c r="B6510" s="159"/>
    </row>
    <row r="6511" spans="2:2" ht="15.6">
      <c r="B6511" s="159"/>
    </row>
    <row r="6512" spans="2:2" ht="15.6">
      <c r="B6512" s="159"/>
    </row>
    <row r="6513" spans="2:2" ht="15.6">
      <c r="B6513" s="159"/>
    </row>
    <row r="6514" spans="2:2" ht="15.6">
      <c r="B6514" s="159"/>
    </row>
    <row r="6515" spans="2:2" ht="15.6">
      <c r="B6515" s="159"/>
    </row>
    <row r="6516" spans="2:2" ht="15.6">
      <c r="B6516" s="159"/>
    </row>
    <row r="6517" spans="2:2" ht="15.6">
      <c r="B6517" s="159"/>
    </row>
    <row r="6518" spans="2:2" ht="15.6">
      <c r="B6518" s="159"/>
    </row>
    <row r="6519" spans="2:2" ht="15.6">
      <c r="B6519" s="159"/>
    </row>
    <row r="6520" spans="2:2" ht="15.6">
      <c r="B6520" s="159"/>
    </row>
    <row r="6521" spans="2:2" ht="15.6">
      <c r="B6521" s="159"/>
    </row>
    <row r="6522" spans="2:2" ht="15.6">
      <c r="B6522" s="159"/>
    </row>
    <row r="6523" spans="2:2" ht="15.6">
      <c r="B6523" s="159"/>
    </row>
    <row r="6524" spans="2:2" ht="15.6">
      <c r="B6524" s="159"/>
    </row>
    <row r="6525" spans="2:2" ht="15.6">
      <c r="B6525" s="159"/>
    </row>
    <row r="6526" spans="2:2" ht="15.6">
      <c r="B6526" s="159"/>
    </row>
    <row r="6527" spans="2:2" ht="15.6">
      <c r="B6527" s="159"/>
    </row>
    <row r="6528" spans="2:2" ht="15.6">
      <c r="B6528" s="159"/>
    </row>
    <row r="6529" spans="2:2" ht="15.6">
      <c r="B6529" s="159"/>
    </row>
    <row r="6530" spans="2:2" ht="15.6">
      <c r="B6530" s="159"/>
    </row>
    <row r="6531" spans="2:2" ht="15.6">
      <c r="B6531" s="159"/>
    </row>
    <row r="6532" spans="2:2" ht="15.6">
      <c r="B6532" s="159"/>
    </row>
    <row r="6533" spans="2:2" ht="15.6">
      <c r="B6533" s="159"/>
    </row>
    <row r="6534" spans="2:2" ht="15.6">
      <c r="B6534" s="159"/>
    </row>
    <row r="6535" spans="2:2" ht="15.6">
      <c r="B6535" s="159"/>
    </row>
    <row r="6536" spans="2:2" ht="15.6">
      <c r="B6536" s="159"/>
    </row>
    <row r="6537" spans="2:2" ht="15.6">
      <c r="B6537" s="159"/>
    </row>
    <row r="6538" spans="2:2" ht="15.6">
      <c r="B6538" s="159"/>
    </row>
    <row r="6539" spans="2:2" ht="15.6">
      <c r="B6539" s="159"/>
    </row>
    <row r="6540" spans="2:2" ht="15.6">
      <c r="B6540" s="159"/>
    </row>
    <row r="6541" spans="2:2" ht="15.6">
      <c r="B6541" s="159"/>
    </row>
    <row r="6542" spans="2:2" ht="15.6">
      <c r="B6542" s="159"/>
    </row>
    <row r="6543" spans="2:2" ht="15.6">
      <c r="B6543" s="159"/>
    </row>
    <row r="6544" spans="2:2" ht="15.6">
      <c r="B6544" s="159"/>
    </row>
    <row r="6545" spans="2:2" ht="15.6">
      <c r="B6545" s="159"/>
    </row>
    <row r="6546" spans="2:2" ht="15.6">
      <c r="B6546" s="159"/>
    </row>
    <row r="6547" spans="2:2" ht="15.6">
      <c r="B6547" s="159"/>
    </row>
    <row r="6548" spans="2:2" ht="15.6">
      <c r="B6548" s="159"/>
    </row>
    <row r="6549" spans="2:2" ht="15.6">
      <c r="B6549" s="159"/>
    </row>
    <row r="6550" spans="2:2" ht="15.6">
      <c r="B6550" s="159"/>
    </row>
    <row r="6551" spans="2:2" ht="15.6">
      <c r="B6551" s="159"/>
    </row>
    <row r="6552" spans="2:2" ht="15.6">
      <c r="B6552" s="159"/>
    </row>
    <row r="6553" spans="2:2" ht="15.6">
      <c r="B6553" s="159"/>
    </row>
    <row r="6554" spans="2:2" ht="15.6">
      <c r="B6554" s="159"/>
    </row>
    <row r="6555" spans="2:2" ht="15.6">
      <c r="B6555" s="159"/>
    </row>
    <row r="6556" spans="2:2" ht="15.6">
      <c r="B6556" s="159"/>
    </row>
    <row r="6557" spans="2:2" ht="15.6">
      <c r="B6557" s="159"/>
    </row>
    <row r="6558" spans="2:2" ht="15.6">
      <c r="B6558" s="159"/>
    </row>
    <row r="6559" spans="2:2" ht="15.6">
      <c r="B6559" s="159"/>
    </row>
    <row r="6560" spans="2:2" ht="15.6">
      <c r="B6560" s="159"/>
    </row>
    <row r="6561" spans="2:2" ht="15.6">
      <c r="B6561" s="159"/>
    </row>
    <row r="6562" spans="2:2" ht="15.6">
      <c r="B6562" s="159"/>
    </row>
    <row r="6563" spans="2:2" ht="15.6">
      <c r="B6563" s="159"/>
    </row>
    <row r="6564" spans="2:2" ht="15.6">
      <c r="B6564" s="159"/>
    </row>
    <row r="6565" spans="2:2" ht="15.6">
      <c r="B6565" s="159"/>
    </row>
    <row r="6566" spans="2:2" ht="15.6">
      <c r="B6566" s="159"/>
    </row>
    <row r="6567" spans="2:2" ht="15.6">
      <c r="B6567" s="159"/>
    </row>
    <row r="6568" spans="2:2" ht="15.6">
      <c r="B6568" s="159"/>
    </row>
    <row r="6569" spans="2:2" ht="15.6">
      <c r="B6569" s="159"/>
    </row>
    <row r="6570" spans="2:2" ht="15.6">
      <c r="B6570" s="159"/>
    </row>
    <row r="6571" spans="2:2" ht="15.6">
      <c r="B6571" s="159"/>
    </row>
    <row r="6572" spans="2:2" ht="15.6">
      <c r="B6572" s="159"/>
    </row>
    <row r="6573" spans="2:2" ht="15.6">
      <c r="B6573" s="159"/>
    </row>
    <row r="6574" spans="2:2" ht="15.6">
      <c r="B6574" s="159"/>
    </row>
    <row r="6575" spans="2:2" ht="15.6">
      <c r="B6575" s="159"/>
    </row>
    <row r="6576" spans="2:2" ht="15.6">
      <c r="B6576" s="159"/>
    </row>
    <row r="6577" spans="2:2" ht="15.6">
      <c r="B6577" s="159"/>
    </row>
    <row r="6578" spans="2:2" ht="15.6">
      <c r="B6578" s="159"/>
    </row>
    <row r="6579" spans="2:2" ht="15.6">
      <c r="B6579" s="159"/>
    </row>
    <row r="6580" spans="2:2" ht="15.6">
      <c r="B6580" s="159"/>
    </row>
    <row r="6581" spans="2:2" ht="15.6">
      <c r="B6581" s="159"/>
    </row>
    <row r="6582" spans="2:2" ht="15.6">
      <c r="B6582" s="159"/>
    </row>
    <row r="6583" spans="2:2" ht="15.6">
      <c r="B6583" s="159"/>
    </row>
    <row r="6584" spans="2:2" ht="15.6">
      <c r="B6584" s="159"/>
    </row>
    <row r="6585" spans="2:2" ht="15.6">
      <c r="B6585" s="159"/>
    </row>
    <row r="6586" spans="2:2" ht="15.6">
      <c r="B6586" s="159"/>
    </row>
    <row r="6587" spans="2:2" ht="15.6">
      <c r="B6587" s="159"/>
    </row>
    <row r="6588" spans="2:2" ht="15.6">
      <c r="B6588" s="159"/>
    </row>
    <row r="6589" spans="2:2" ht="15.6">
      <c r="B6589" s="159"/>
    </row>
    <row r="6590" spans="2:2" ht="15.6">
      <c r="B6590" s="159"/>
    </row>
    <row r="6591" spans="2:2" ht="15.6">
      <c r="B6591" s="159"/>
    </row>
    <row r="6592" spans="2:2" ht="15.6">
      <c r="B6592" s="159"/>
    </row>
    <row r="6593" spans="2:2" ht="15.6">
      <c r="B6593" s="159"/>
    </row>
    <row r="6594" spans="2:2" ht="15.6">
      <c r="B6594" s="159"/>
    </row>
    <row r="6595" spans="2:2" ht="15.6">
      <c r="B6595" s="159"/>
    </row>
    <row r="6596" spans="2:2" ht="15.6">
      <c r="B6596" s="159"/>
    </row>
    <row r="6597" spans="2:2" ht="15.6">
      <c r="B6597" s="159"/>
    </row>
    <row r="6598" spans="2:2" ht="15.6">
      <c r="B6598" s="159"/>
    </row>
    <row r="6599" spans="2:2" ht="15.6">
      <c r="B6599" s="159"/>
    </row>
    <row r="6600" spans="2:2" ht="15.6">
      <c r="B6600" s="159"/>
    </row>
    <row r="6601" spans="2:2" ht="15.6">
      <c r="B6601" s="159"/>
    </row>
    <row r="6602" spans="2:2" ht="15.6">
      <c r="B6602" s="159"/>
    </row>
    <row r="6603" spans="2:2" ht="15.6">
      <c r="B6603" s="159"/>
    </row>
    <row r="6604" spans="2:2" ht="15.6">
      <c r="B6604" s="159"/>
    </row>
    <row r="6605" spans="2:2" ht="15.6">
      <c r="B6605" s="159"/>
    </row>
    <row r="6606" spans="2:2" ht="15.6">
      <c r="B6606" s="159"/>
    </row>
    <row r="6607" spans="2:2" ht="15.6">
      <c r="B6607" s="159"/>
    </row>
    <row r="6608" spans="2:2" ht="15.6">
      <c r="B6608" s="159"/>
    </row>
    <row r="6609" spans="2:2" ht="15.6">
      <c r="B6609" s="159"/>
    </row>
    <row r="6610" spans="2:2" ht="15.6">
      <c r="B6610" s="159"/>
    </row>
    <row r="6611" spans="2:2" ht="15.6">
      <c r="B6611" s="159"/>
    </row>
    <row r="6612" spans="2:2" ht="15.6">
      <c r="B6612" s="159"/>
    </row>
    <row r="6613" spans="2:2" ht="15.6">
      <c r="B6613" s="159"/>
    </row>
    <row r="6614" spans="2:2" ht="15.6">
      <c r="B6614" s="159"/>
    </row>
    <row r="6615" spans="2:2" ht="15.6">
      <c r="B6615" s="159"/>
    </row>
    <row r="6616" spans="2:2" ht="15.6">
      <c r="B6616" s="159"/>
    </row>
    <row r="6617" spans="2:2" ht="15.6">
      <c r="B6617" s="159"/>
    </row>
    <row r="6618" spans="2:2" ht="15.6">
      <c r="B6618" s="159"/>
    </row>
    <row r="6619" spans="2:2" ht="15.6">
      <c r="B6619" s="159"/>
    </row>
    <row r="6620" spans="2:2" ht="15.6">
      <c r="B6620" s="159"/>
    </row>
    <row r="6621" spans="2:2" ht="15.6">
      <c r="B6621" s="159"/>
    </row>
    <row r="6622" spans="2:2" ht="15.6">
      <c r="B6622" s="159"/>
    </row>
    <row r="6623" spans="2:2" ht="15.6">
      <c r="B6623" s="159"/>
    </row>
    <row r="6624" spans="2:2" ht="15.6">
      <c r="B6624" s="159"/>
    </row>
    <row r="6625" spans="2:2" ht="15.6">
      <c r="B6625" s="159"/>
    </row>
    <row r="6626" spans="2:2" ht="15.6">
      <c r="B6626" s="159"/>
    </row>
    <row r="6627" spans="2:2" ht="15.6">
      <c r="B6627" s="159"/>
    </row>
    <row r="6628" spans="2:2" ht="15.6">
      <c r="B6628" s="159"/>
    </row>
    <row r="6629" spans="2:2" ht="15.6">
      <c r="B6629" s="159"/>
    </row>
    <row r="6630" spans="2:2" ht="15.6">
      <c r="B6630" s="159"/>
    </row>
    <row r="6631" spans="2:2" ht="15.6">
      <c r="B6631" s="159"/>
    </row>
    <row r="6632" spans="2:2" ht="15.6">
      <c r="B6632" s="159"/>
    </row>
    <row r="6633" spans="2:2" ht="15.6">
      <c r="B6633" s="159"/>
    </row>
    <row r="6634" spans="2:2" ht="15.6">
      <c r="B6634" s="159"/>
    </row>
    <row r="6635" spans="2:2" ht="15.6">
      <c r="B6635" s="159"/>
    </row>
    <row r="6636" spans="2:2" ht="15.6">
      <c r="B6636" s="159"/>
    </row>
    <row r="6637" spans="2:2" ht="15.6">
      <c r="B6637" s="159"/>
    </row>
    <row r="6638" spans="2:2" ht="15.6">
      <c r="B6638" s="159"/>
    </row>
    <row r="6639" spans="2:2" ht="15.6">
      <c r="B6639" s="159"/>
    </row>
    <row r="6640" spans="2:2" ht="15.6">
      <c r="B6640" s="159"/>
    </row>
    <row r="6641" spans="2:2" ht="15.6">
      <c r="B6641" s="159"/>
    </row>
    <row r="6642" spans="2:2" ht="15.6">
      <c r="B6642" s="159"/>
    </row>
    <row r="6643" spans="2:2" ht="15.6">
      <c r="B6643" s="159"/>
    </row>
    <row r="6644" spans="2:2" ht="15.6">
      <c r="B6644" s="159"/>
    </row>
    <row r="6645" spans="2:2" ht="15.6">
      <c r="B6645" s="159"/>
    </row>
    <row r="6646" spans="2:2" ht="15.6">
      <c r="B6646" s="159"/>
    </row>
    <row r="6647" spans="2:2" ht="15.6">
      <c r="B6647" s="159"/>
    </row>
    <row r="6648" spans="2:2" ht="15.6">
      <c r="B6648" s="159"/>
    </row>
    <row r="6649" spans="2:2" ht="15.6">
      <c r="B6649" s="159"/>
    </row>
    <row r="6650" spans="2:2" ht="15.6">
      <c r="B6650" s="159"/>
    </row>
    <row r="6651" spans="2:2" ht="15.6">
      <c r="B6651" s="159"/>
    </row>
    <row r="6652" spans="2:2" ht="15.6">
      <c r="B6652" s="159"/>
    </row>
    <row r="6653" spans="2:2" ht="15.6">
      <c r="B6653" s="159"/>
    </row>
    <row r="6654" spans="2:2" ht="15.6">
      <c r="B6654" s="159"/>
    </row>
    <row r="6655" spans="2:2" ht="15.6">
      <c r="B6655" s="159"/>
    </row>
    <row r="6656" spans="2:2" ht="15.6">
      <c r="B6656" s="159"/>
    </row>
    <row r="6657" spans="2:2" ht="15.6">
      <c r="B6657" s="159"/>
    </row>
    <row r="6658" spans="2:2" ht="15.6">
      <c r="B6658" s="159"/>
    </row>
    <row r="6659" spans="2:2" ht="15.6">
      <c r="B6659" s="159"/>
    </row>
    <row r="6660" spans="2:2" ht="15.6">
      <c r="B6660" s="159"/>
    </row>
    <row r="6661" spans="2:2" ht="15.6">
      <c r="B6661" s="159"/>
    </row>
    <row r="6662" spans="2:2" ht="15.6">
      <c r="B6662" s="159"/>
    </row>
    <row r="6663" spans="2:2" ht="15.6">
      <c r="B6663" s="159"/>
    </row>
    <row r="6664" spans="2:2" ht="15.6">
      <c r="B6664" s="159"/>
    </row>
    <row r="6665" spans="2:2" ht="15.6">
      <c r="B6665" s="159"/>
    </row>
    <row r="6666" spans="2:2" ht="15.6">
      <c r="B6666" s="159"/>
    </row>
    <row r="6667" spans="2:2" ht="15.6">
      <c r="B6667" s="159"/>
    </row>
    <row r="6668" spans="2:2" ht="15.6">
      <c r="B6668" s="159"/>
    </row>
    <row r="6669" spans="2:2" ht="15.6">
      <c r="B6669" s="159"/>
    </row>
    <row r="6670" spans="2:2" ht="15.6">
      <c r="B6670" s="159"/>
    </row>
    <row r="6671" spans="2:2" ht="15.6">
      <c r="B6671" s="159"/>
    </row>
    <row r="6672" spans="2:2" ht="15.6">
      <c r="B6672" s="159"/>
    </row>
    <row r="6673" spans="2:2" ht="15.6">
      <c r="B6673" s="159"/>
    </row>
    <row r="6674" spans="2:2" ht="15.6">
      <c r="B6674" s="159"/>
    </row>
    <row r="6675" spans="2:2" ht="15.6">
      <c r="B6675" s="159"/>
    </row>
    <row r="6676" spans="2:2" ht="15.6">
      <c r="B6676" s="159"/>
    </row>
    <row r="6677" spans="2:2" ht="15.6">
      <c r="B6677" s="159"/>
    </row>
    <row r="6678" spans="2:2" ht="15.6">
      <c r="B6678" s="159"/>
    </row>
    <row r="6679" spans="2:2" ht="15.6">
      <c r="B6679" s="159"/>
    </row>
    <row r="6680" spans="2:2" ht="15.6">
      <c r="B6680" s="159"/>
    </row>
    <row r="6681" spans="2:2" ht="15.6">
      <c r="B6681" s="159"/>
    </row>
    <row r="6682" spans="2:2" ht="15.6">
      <c r="B6682" s="159"/>
    </row>
    <row r="6683" spans="2:2" ht="15.6">
      <c r="B6683" s="159"/>
    </row>
    <row r="6684" spans="2:2" ht="15.6">
      <c r="B6684" s="159"/>
    </row>
    <row r="6685" spans="2:2" ht="15.6">
      <c r="B6685" s="159"/>
    </row>
    <row r="6686" spans="2:2" ht="15.6">
      <c r="B6686" s="159"/>
    </row>
    <row r="6687" spans="2:2" ht="15.6">
      <c r="B6687" s="159"/>
    </row>
    <row r="6688" spans="2:2" ht="15.6">
      <c r="B6688" s="159"/>
    </row>
    <row r="6689" spans="2:2" ht="15.6">
      <c r="B6689" s="159"/>
    </row>
    <row r="6690" spans="2:2" ht="15.6">
      <c r="B6690" s="159"/>
    </row>
    <row r="6691" spans="2:2" ht="15.6">
      <c r="B6691" s="159"/>
    </row>
    <row r="6692" spans="2:2" ht="15.6">
      <c r="B6692" s="159"/>
    </row>
    <row r="6693" spans="2:2" ht="15.6">
      <c r="B6693" s="159"/>
    </row>
    <row r="6694" spans="2:2" ht="15.6">
      <c r="B6694" s="159"/>
    </row>
    <row r="6695" spans="2:2" ht="15.6">
      <c r="B6695" s="159"/>
    </row>
    <row r="6696" spans="2:2" ht="15.6">
      <c r="B6696" s="159"/>
    </row>
    <row r="6697" spans="2:2" ht="15.6">
      <c r="B6697" s="159"/>
    </row>
    <row r="6698" spans="2:2" ht="15.6">
      <c r="B6698" s="159"/>
    </row>
    <row r="6699" spans="2:2" ht="15.6">
      <c r="B6699" s="159"/>
    </row>
    <row r="6700" spans="2:2" ht="15.6">
      <c r="B6700" s="159"/>
    </row>
    <row r="6701" spans="2:2" ht="15.6">
      <c r="B6701" s="159"/>
    </row>
    <row r="6702" spans="2:2" ht="15.6">
      <c r="B6702" s="159"/>
    </row>
    <row r="6703" spans="2:2" ht="15.6">
      <c r="B6703" s="159"/>
    </row>
    <row r="6704" spans="2:2" ht="15.6">
      <c r="B6704" s="159"/>
    </row>
    <row r="6705" spans="2:2" ht="15.6">
      <c r="B6705" s="159"/>
    </row>
    <row r="6706" spans="2:2" ht="15.6">
      <c r="B6706" s="159"/>
    </row>
    <row r="6707" spans="2:2" ht="15.6">
      <c r="B6707" s="159"/>
    </row>
    <row r="6708" spans="2:2" ht="15.6">
      <c r="B6708" s="159"/>
    </row>
    <row r="6709" spans="2:2" ht="15.6">
      <c r="B6709" s="159"/>
    </row>
    <row r="6710" spans="2:2" ht="15.6">
      <c r="B6710" s="159"/>
    </row>
    <row r="6711" spans="2:2" ht="15.6">
      <c r="B6711" s="159"/>
    </row>
    <row r="6712" spans="2:2" ht="15.6">
      <c r="B6712" s="159"/>
    </row>
    <row r="6713" spans="2:2" ht="15.6">
      <c r="B6713" s="159"/>
    </row>
    <row r="6714" spans="2:2" ht="15.6">
      <c r="B6714" s="159"/>
    </row>
    <row r="6715" spans="2:2" ht="15.6">
      <c r="B6715" s="159"/>
    </row>
    <row r="6716" spans="2:2" ht="15.6">
      <c r="B6716" s="159"/>
    </row>
    <row r="6717" spans="2:2" ht="15.6">
      <c r="B6717" s="159"/>
    </row>
    <row r="6718" spans="2:2" ht="15.6">
      <c r="B6718" s="159"/>
    </row>
    <row r="6719" spans="2:2" ht="15.6">
      <c r="B6719" s="159"/>
    </row>
    <row r="6720" spans="2:2" ht="15.6">
      <c r="B6720" s="159"/>
    </row>
    <row r="6721" spans="2:2" ht="15.6">
      <c r="B6721" s="159"/>
    </row>
    <row r="6722" spans="2:2" ht="15.6">
      <c r="B6722" s="159"/>
    </row>
    <row r="6723" spans="2:2" ht="15.6">
      <c r="B6723" s="159"/>
    </row>
    <row r="6724" spans="2:2" ht="15.6">
      <c r="B6724" s="159"/>
    </row>
    <row r="6725" spans="2:2" ht="15.6">
      <c r="B6725" s="159"/>
    </row>
    <row r="6726" spans="2:2" ht="15.6">
      <c r="B6726" s="159"/>
    </row>
    <row r="6727" spans="2:2" ht="15.6">
      <c r="B6727" s="159"/>
    </row>
    <row r="6728" spans="2:2" ht="15.6">
      <c r="B6728" s="159"/>
    </row>
    <row r="6729" spans="2:2" ht="15.6">
      <c r="B6729" s="159"/>
    </row>
    <row r="6730" spans="2:2" ht="15.6">
      <c r="B6730" s="159"/>
    </row>
    <row r="6731" spans="2:2" ht="15.6">
      <c r="B6731" s="159"/>
    </row>
    <row r="6732" spans="2:2" ht="15.6">
      <c r="B6732" s="159"/>
    </row>
    <row r="6733" spans="2:2" ht="15.6">
      <c r="B6733" s="159"/>
    </row>
    <row r="6734" spans="2:2" ht="15.6">
      <c r="B6734" s="159"/>
    </row>
    <row r="6735" spans="2:2" ht="15.6">
      <c r="B6735" s="159"/>
    </row>
    <row r="6736" spans="2:2" ht="15.6">
      <c r="B6736" s="159"/>
    </row>
    <row r="6737" spans="2:2" ht="15.6">
      <c r="B6737" s="159"/>
    </row>
    <row r="6738" spans="2:2" ht="15.6">
      <c r="B6738" s="159"/>
    </row>
    <row r="6739" spans="2:2" ht="15.6">
      <c r="B6739" s="159"/>
    </row>
    <row r="6740" spans="2:2" ht="15.6">
      <c r="B6740" s="159"/>
    </row>
    <row r="6741" spans="2:2" ht="15.6">
      <c r="B6741" s="159"/>
    </row>
    <row r="6742" spans="2:2" ht="15.6">
      <c r="B6742" s="159"/>
    </row>
    <row r="6743" spans="2:2" ht="15.6">
      <c r="B6743" s="159"/>
    </row>
    <row r="6744" spans="2:2" ht="15.6">
      <c r="B6744" s="159"/>
    </row>
    <row r="6745" spans="2:2" ht="15.6">
      <c r="B6745" s="159"/>
    </row>
    <row r="6746" spans="2:2" ht="15.6">
      <c r="B6746" s="159"/>
    </row>
    <row r="6747" spans="2:2" ht="15.6">
      <c r="B6747" s="159"/>
    </row>
    <row r="6748" spans="2:2" ht="15.6">
      <c r="B6748" s="159"/>
    </row>
    <row r="6749" spans="2:2" ht="15.6">
      <c r="B6749" s="159"/>
    </row>
    <row r="6750" spans="2:2" ht="15.6">
      <c r="B6750" s="159"/>
    </row>
    <row r="6751" spans="2:2" ht="15.6">
      <c r="B6751" s="159"/>
    </row>
    <row r="6752" spans="2:2" ht="15.6">
      <c r="B6752" s="159"/>
    </row>
    <row r="6753" spans="2:2" ht="15.6">
      <c r="B6753" s="159"/>
    </row>
    <row r="6754" spans="2:2" ht="15.6">
      <c r="B6754" s="159"/>
    </row>
    <row r="6755" spans="2:2" ht="15.6">
      <c r="B6755" s="159"/>
    </row>
    <row r="6756" spans="2:2" ht="15.6">
      <c r="B6756" s="159"/>
    </row>
    <row r="6757" spans="2:2" ht="15.6">
      <c r="B6757" s="159"/>
    </row>
    <row r="6758" spans="2:2" ht="15.6">
      <c r="B6758" s="159"/>
    </row>
    <row r="6759" spans="2:2" ht="15.6">
      <c r="B6759" s="159"/>
    </row>
    <row r="6760" spans="2:2" ht="15.6">
      <c r="B6760" s="159"/>
    </row>
    <row r="6761" spans="2:2" ht="15.6">
      <c r="B6761" s="159"/>
    </row>
    <row r="6762" spans="2:2" ht="15.6">
      <c r="B6762" s="159"/>
    </row>
    <row r="6763" spans="2:2" ht="15.6">
      <c r="B6763" s="159"/>
    </row>
    <row r="6764" spans="2:2" ht="15.6">
      <c r="B6764" s="159"/>
    </row>
    <row r="6765" spans="2:2" ht="15.6">
      <c r="B6765" s="159"/>
    </row>
    <row r="6766" spans="2:2" ht="15.6">
      <c r="B6766" s="159"/>
    </row>
    <row r="6767" spans="2:2" ht="15.6">
      <c r="B6767" s="159"/>
    </row>
    <row r="6768" spans="2:2" ht="15.6">
      <c r="B6768" s="159"/>
    </row>
    <row r="6769" spans="2:2" ht="15.6">
      <c r="B6769" s="159"/>
    </row>
    <row r="6770" spans="2:2" ht="15.6">
      <c r="B6770" s="159"/>
    </row>
    <row r="6771" spans="2:2" ht="15.6">
      <c r="B6771" s="159"/>
    </row>
    <row r="6772" spans="2:2" ht="15.6">
      <c r="B6772" s="159"/>
    </row>
    <row r="6773" spans="2:2" ht="15.6">
      <c r="B6773" s="159"/>
    </row>
    <row r="6774" spans="2:2" ht="15.6">
      <c r="B6774" s="159"/>
    </row>
    <row r="6775" spans="2:2" ht="15.6">
      <c r="B6775" s="159"/>
    </row>
    <row r="6776" spans="2:2" ht="15.6">
      <c r="B6776" s="159"/>
    </row>
    <row r="6777" spans="2:2" ht="15.6">
      <c r="B6777" s="159"/>
    </row>
    <row r="6778" spans="2:2" ht="15.6">
      <c r="B6778" s="159"/>
    </row>
    <row r="6779" spans="2:2" ht="15.6">
      <c r="B6779" s="159"/>
    </row>
    <row r="6780" spans="2:2" ht="15.6">
      <c r="B6780" s="159"/>
    </row>
    <row r="6781" spans="2:2" ht="15.6">
      <c r="B6781" s="159"/>
    </row>
    <row r="6782" spans="2:2" ht="15.6">
      <c r="B6782" s="159"/>
    </row>
    <row r="6783" spans="2:2" ht="15.6">
      <c r="B6783" s="159"/>
    </row>
    <row r="6784" spans="2:2" ht="15.6">
      <c r="B6784" s="159"/>
    </row>
    <row r="6785" spans="2:2" ht="15.6">
      <c r="B6785" s="159"/>
    </row>
    <row r="6786" spans="2:2" ht="15.6">
      <c r="B6786" s="159"/>
    </row>
    <row r="6787" spans="2:2" ht="15.6">
      <c r="B6787" s="159"/>
    </row>
    <row r="6788" spans="2:2" ht="15.6">
      <c r="B6788" s="159"/>
    </row>
    <row r="6789" spans="2:2" ht="15.6">
      <c r="B6789" s="159"/>
    </row>
    <row r="6790" spans="2:2" ht="15.6">
      <c r="B6790" s="159"/>
    </row>
    <row r="6791" spans="2:2" ht="15.6">
      <c r="B6791" s="159"/>
    </row>
    <row r="6792" spans="2:2" ht="15.6">
      <c r="B6792" s="159"/>
    </row>
    <row r="6793" spans="2:2" ht="15.6">
      <c r="B6793" s="159"/>
    </row>
    <row r="6794" spans="2:2" ht="15.6">
      <c r="B6794" s="159"/>
    </row>
    <row r="6795" spans="2:2" ht="15.6">
      <c r="B6795" s="159"/>
    </row>
    <row r="6796" spans="2:2" ht="15.6">
      <c r="B6796" s="159"/>
    </row>
    <row r="6797" spans="2:2" ht="15.6">
      <c r="B6797" s="159"/>
    </row>
    <row r="6798" spans="2:2" ht="15.6">
      <c r="B6798" s="159"/>
    </row>
    <row r="6799" spans="2:2" ht="15.6">
      <c r="B6799" s="159"/>
    </row>
    <row r="6800" spans="2:2" ht="15.6">
      <c r="B6800" s="159"/>
    </row>
    <row r="6801" spans="2:2" ht="15.6">
      <c r="B6801" s="159"/>
    </row>
    <row r="6802" spans="2:2" ht="15.6">
      <c r="B6802" s="159"/>
    </row>
    <row r="6803" spans="2:2" ht="15.6">
      <c r="B6803" s="159"/>
    </row>
    <row r="6804" spans="2:2" ht="15.6">
      <c r="B6804" s="159"/>
    </row>
    <row r="6805" spans="2:2" ht="15.6">
      <c r="B6805" s="159"/>
    </row>
    <row r="6806" spans="2:2" ht="15.6">
      <c r="B6806" s="159"/>
    </row>
    <row r="6807" spans="2:2" ht="15.6">
      <c r="B6807" s="159"/>
    </row>
    <row r="6808" spans="2:2" ht="15.6">
      <c r="B6808" s="159"/>
    </row>
    <row r="6809" spans="2:2" ht="15.6">
      <c r="B6809" s="159"/>
    </row>
    <row r="6810" spans="2:2" ht="15.6">
      <c r="B6810" s="159"/>
    </row>
    <row r="6811" spans="2:2" ht="15.6">
      <c r="B6811" s="159"/>
    </row>
    <row r="6812" spans="2:2" ht="15.6">
      <c r="B6812" s="159"/>
    </row>
    <row r="6813" spans="2:2" ht="15.6">
      <c r="B6813" s="159"/>
    </row>
    <row r="6814" spans="2:2" ht="15.6">
      <c r="B6814" s="159"/>
    </row>
    <row r="6815" spans="2:2" ht="15.6">
      <c r="B6815" s="159"/>
    </row>
    <row r="6816" spans="2:2" ht="15.6">
      <c r="B6816" s="159"/>
    </row>
    <row r="6817" spans="2:2" ht="15.6">
      <c r="B6817" s="159"/>
    </row>
    <row r="6818" spans="2:2" ht="15.6">
      <c r="B6818" s="159"/>
    </row>
    <row r="6819" spans="2:2" ht="15.6">
      <c r="B6819" s="159"/>
    </row>
    <row r="6820" spans="2:2" ht="15.6">
      <c r="B6820" s="159"/>
    </row>
    <row r="6821" spans="2:2" ht="15.6">
      <c r="B6821" s="159"/>
    </row>
    <row r="6822" spans="2:2" ht="15.6">
      <c r="B6822" s="159"/>
    </row>
    <row r="6823" spans="2:2" ht="15.6">
      <c r="B6823" s="159"/>
    </row>
    <row r="6824" spans="2:2" ht="15.6">
      <c r="B6824" s="159"/>
    </row>
    <row r="6825" spans="2:2" ht="15.6">
      <c r="B6825" s="159"/>
    </row>
    <row r="6826" spans="2:2" ht="15.6">
      <c r="B6826" s="159"/>
    </row>
    <row r="6827" spans="2:2" ht="15.6">
      <c r="B6827" s="159"/>
    </row>
    <row r="6828" spans="2:2" ht="15.6">
      <c r="B6828" s="159"/>
    </row>
    <row r="6829" spans="2:2" ht="15.6">
      <c r="B6829" s="159"/>
    </row>
    <row r="6830" spans="2:2" ht="15.6">
      <c r="B6830" s="159"/>
    </row>
    <row r="6831" spans="2:2" ht="15.6">
      <c r="B6831" s="159"/>
    </row>
    <row r="6832" spans="2:2" ht="15.6">
      <c r="B6832" s="159"/>
    </row>
    <row r="6833" spans="2:2" ht="15.6">
      <c r="B6833" s="159"/>
    </row>
    <row r="6834" spans="2:2" ht="15.6">
      <c r="B6834" s="159"/>
    </row>
    <row r="6835" spans="2:2" ht="15.6">
      <c r="B6835" s="159"/>
    </row>
    <row r="6836" spans="2:2" ht="15.6">
      <c r="B6836" s="159"/>
    </row>
    <row r="6837" spans="2:2" ht="15.6">
      <c r="B6837" s="159"/>
    </row>
    <row r="6838" spans="2:2" ht="15.6">
      <c r="B6838" s="159"/>
    </row>
    <row r="6839" spans="2:2" ht="15.6">
      <c r="B6839" s="159"/>
    </row>
    <row r="6840" spans="2:2" ht="15.6">
      <c r="B6840" s="159"/>
    </row>
    <row r="6841" spans="2:2" ht="15.6">
      <c r="B6841" s="159"/>
    </row>
    <row r="6842" spans="2:2" ht="15.6">
      <c r="B6842" s="159"/>
    </row>
    <row r="6843" spans="2:2" ht="15.6">
      <c r="B6843" s="159"/>
    </row>
    <row r="6844" spans="2:2" ht="15.6">
      <c r="B6844" s="159"/>
    </row>
    <row r="6845" spans="2:2" ht="15.6">
      <c r="B6845" s="159"/>
    </row>
    <row r="6846" spans="2:2" ht="15.6">
      <c r="B6846" s="159"/>
    </row>
    <row r="6847" spans="2:2" ht="15.6">
      <c r="B6847" s="159"/>
    </row>
    <row r="6848" spans="2:2" ht="15.6">
      <c r="B6848" s="159"/>
    </row>
    <row r="6849" spans="2:2" ht="15.6">
      <c r="B6849" s="159"/>
    </row>
    <row r="6850" spans="2:2" ht="15.6">
      <c r="B6850" s="159"/>
    </row>
    <row r="6851" spans="2:2" ht="15.6">
      <c r="B6851" s="159"/>
    </row>
    <row r="6852" spans="2:2" ht="15.6">
      <c r="B6852" s="159"/>
    </row>
    <row r="6853" spans="2:2" ht="15.6">
      <c r="B6853" s="159"/>
    </row>
    <row r="6854" spans="2:2" ht="15.6">
      <c r="B6854" s="159"/>
    </row>
    <row r="6855" spans="2:2" ht="15.6">
      <c r="B6855" s="159"/>
    </row>
    <row r="6856" spans="2:2" ht="15.6">
      <c r="B6856" s="159"/>
    </row>
    <row r="6857" spans="2:2" ht="15.6">
      <c r="B6857" s="159"/>
    </row>
    <row r="6858" spans="2:2" ht="15.6">
      <c r="B6858" s="159"/>
    </row>
    <row r="6859" spans="2:2" ht="15.6">
      <c r="B6859" s="159"/>
    </row>
    <row r="6860" spans="2:2" ht="15.6">
      <c r="B6860" s="159"/>
    </row>
    <row r="6861" spans="2:2" ht="15.6">
      <c r="B6861" s="159"/>
    </row>
    <row r="6862" spans="2:2" ht="15.6">
      <c r="B6862" s="159"/>
    </row>
    <row r="6863" spans="2:2" ht="15.6">
      <c r="B6863" s="159"/>
    </row>
    <row r="6864" spans="2:2" ht="15.6">
      <c r="B6864" s="159"/>
    </row>
    <row r="6865" spans="2:2" ht="15.6">
      <c r="B6865" s="159"/>
    </row>
    <row r="6866" spans="2:2" ht="15.6">
      <c r="B6866" s="159"/>
    </row>
    <row r="6867" spans="2:2" ht="15.6">
      <c r="B6867" s="159"/>
    </row>
    <row r="6868" spans="2:2" ht="15.6">
      <c r="B6868" s="159"/>
    </row>
    <row r="6869" spans="2:2" ht="15.6">
      <c r="B6869" s="159"/>
    </row>
    <row r="6870" spans="2:2" ht="15.6">
      <c r="B6870" s="159"/>
    </row>
    <row r="6871" spans="2:2" ht="15.6">
      <c r="B6871" s="159"/>
    </row>
    <row r="6872" spans="2:2" ht="15.6">
      <c r="B6872" s="159"/>
    </row>
    <row r="6873" spans="2:2" ht="15.6">
      <c r="B6873" s="159"/>
    </row>
    <row r="6874" spans="2:2" ht="15.6">
      <c r="B6874" s="159"/>
    </row>
    <row r="6875" spans="2:2" ht="15.6">
      <c r="B6875" s="159"/>
    </row>
    <row r="6876" spans="2:2" ht="15.6">
      <c r="B6876" s="159"/>
    </row>
    <row r="6877" spans="2:2" ht="15.6">
      <c r="B6877" s="159"/>
    </row>
    <row r="6878" spans="2:2" ht="15.6">
      <c r="B6878" s="159"/>
    </row>
    <row r="6879" spans="2:2" ht="15.6">
      <c r="B6879" s="159"/>
    </row>
    <row r="6880" spans="2:2" ht="15.6">
      <c r="B6880" s="159"/>
    </row>
    <row r="6881" spans="2:2" ht="15.6">
      <c r="B6881" s="159"/>
    </row>
    <row r="6882" spans="2:2" ht="15.6">
      <c r="B6882" s="159"/>
    </row>
    <row r="6883" spans="2:2" ht="15.6">
      <c r="B6883" s="159"/>
    </row>
    <row r="6884" spans="2:2" ht="15.6">
      <c r="B6884" s="159"/>
    </row>
    <row r="6885" spans="2:2" ht="15.6">
      <c r="B6885" s="159"/>
    </row>
    <row r="6886" spans="2:2" ht="15.6">
      <c r="B6886" s="159"/>
    </row>
    <row r="6887" spans="2:2" ht="15.6">
      <c r="B6887" s="159"/>
    </row>
    <row r="6888" spans="2:2" ht="15.6">
      <c r="B6888" s="159"/>
    </row>
    <row r="6889" spans="2:2" ht="15.6">
      <c r="B6889" s="159"/>
    </row>
    <row r="6890" spans="2:2" ht="15.6">
      <c r="B6890" s="159"/>
    </row>
    <row r="6891" spans="2:2" ht="15.6">
      <c r="B6891" s="159"/>
    </row>
    <row r="6892" spans="2:2" ht="15.6">
      <c r="B6892" s="159"/>
    </row>
    <row r="6893" spans="2:2" ht="15.6">
      <c r="B6893" s="159"/>
    </row>
    <row r="6894" spans="2:2" ht="15.6">
      <c r="B6894" s="159"/>
    </row>
    <row r="6895" spans="2:2" ht="15.6">
      <c r="B6895" s="159"/>
    </row>
    <row r="6896" spans="2:2" ht="15.6">
      <c r="B6896" s="159"/>
    </row>
    <row r="6897" spans="2:2" ht="15.6">
      <c r="B6897" s="159"/>
    </row>
    <row r="6898" spans="2:2" ht="15.6">
      <c r="B6898" s="159"/>
    </row>
    <row r="6899" spans="2:2" ht="15.6">
      <c r="B6899" s="159"/>
    </row>
    <row r="6900" spans="2:2" ht="15.6">
      <c r="B6900" s="159"/>
    </row>
    <row r="6901" spans="2:2" ht="15.6">
      <c r="B6901" s="159"/>
    </row>
    <row r="6902" spans="2:2" ht="15.6">
      <c r="B6902" s="159"/>
    </row>
    <row r="6903" spans="2:2" ht="15.6">
      <c r="B6903" s="159"/>
    </row>
    <row r="6904" spans="2:2" ht="15.6">
      <c r="B6904" s="159"/>
    </row>
    <row r="6905" spans="2:2" ht="15.6">
      <c r="B6905" s="159"/>
    </row>
    <row r="6906" spans="2:2" ht="15.6">
      <c r="B6906" s="159"/>
    </row>
    <row r="6907" spans="2:2" ht="15.6">
      <c r="B6907" s="159"/>
    </row>
    <row r="6908" spans="2:2" ht="15.6">
      <c r="B6908" s="159"/>
    </row>
    <row r="6909" spans="2:2" ht="15.6">
      <c r="B6909" s="159"/>
    </row>
    <row r="6910" spans="2:2" ht="15.6">
      <c r="B6910" s="159"/>
    </row>
    <row r="6911" spans="2:2" ht="15.6">
      <c r="B6911" s="159"/>
    </row>
    <row r="6912" spans="2:2" ht="15.6">
      <c r="B6912" s="159"/>
    </row>
    <row r="6913" spans="2:2" ht="15.6">
      <c r="B6913" s="159"/>
    </row>
    <row r="6914" spans="2:2" ht="15.6">
      <c r="B6914" s="159"/>
    </row>
    <row r="6915" spans="2:2" ht="15.6">
      <c r="B6915" s="159"/>
    </row>
    <row r="6916" spans="2:2" ht="15.6">
      <c r="B6916" s="159"/>
    </row>
    <row r="6917" spans="2:2" ht="15.6">
      <c r="B6917" s="159"/>
    </row>
    <row r="6918" spans="2:2" ht="15.6">
      <c r="B6918" s="159"/>
    </row>
    <row r="6919" spans="2:2" ht="15.6">
      <c r="B6919" s="159"/>
    </row>
    <row r="6920" spans="2:2" ht="15.6">
      <c r="B6920" s="159"/>
    </row>
    <row r="6921" spans="2:2" ht="15.6">
      <c r="B6921" s="159"/>
    </row>
    <row r="6922" spans="2:2" ht="15.6">
      <c r="B6922" s="159"/>
    </row>
    <row r="6923" spans="2:2" ht="15.6">
      <c r="B6923" s="159"/>
    </row>
    <row r="6924" spans="2:2" ht="15.6">
      <c r="B6924" s="159"/>
    </row>
    <row r="6925" spans="2:2" ht="15.6">
      <c r="B6925" s="159"/>
    </row>
    <row r="6926" spans="2:2" ht="15.6">
      <c r="B6926" s="159"/>
    </row>
    <row r="6927" spans="2:2" ht="15.6">
      <c r="B6927" s="159"/>
    </row>
    <row r="6928" spans="2:2" ht="15.6">
      <c r="B6928" s="159"/>
    </row>
    <row r="6929" spans="2:2" ht="15.6">
      <c r="B6929" s="159"/>
    </row>
    <row r="6930" spans="2:2" ht="15.6">
      <c r="B6930" s="159"/>
    </row>
    <row r="6931" spans="2:2" ht="15.6">
      <c r="B6931" s="159"/>
    </row>
    <row r="6932" spans="2:2" ht="15.6">
      <c r="B6932" s="159"/>
    </row>
    <row r="6933" spans="2:2" ht="15.6">
      <c r="B6933" s="159"/>
    </row>
    <row r="6934" spans="2:2" ht="15.6">
      <c r="B6934" s="159"/>
    </row>
    <row r="6935" spans="2:2" ht="15.6">
      <c r="B6935" s="159"/>
    </row>
    <row r="6936" spans="2:2" ht="15.6">
      <c r="B6936" s="159"/>
    </row>
    <row r="6937" spans="2:2" ht="15.6">
      <c r="B6937" s="159"/>
    </row>
    <row r="6938" spans="2:2" ht="15.6">
      <c r="B6938" s="159"/>
    </row>
    <row r="6939" spans="2:2" ht="15.6">
      <c r="B6939" s="159"/>
    </row>
    <row r="6940" spans="2:2" ht="15.6">
      <c r="B6940" s="159"/>
    </row>
    <row r="6941" spans="2:2" ht="15.6">
      <c r="B6941" s="159"/>
    </row>
    <row r="6942" spans="2:2" ht="15.6">
      <c r="B6942" s="159"/>
    </row>
    <row r="6943" spans="2:2" ht="15.6">
      <c r="B6943" s="159"/>
    </row>
    <row r="6944" spans="2:2" ht="15.6">
      <c r="B6944" s="159"/>
    </row>
    <row r="6945" spans="2:2" ht="15.6">
      <c r="B6945" s="159"/>
    </row>
    <row r="6946" spans="2:2" ht="15.6">
      <c r="B6946" s="159"/>
    </row>
    <row r="6947" spans="2:2" ht="15.6">
      <c r="B6947" s="159"/>
    </row>
    <row r="6948" spans="2:2" ht="15.6">
      <c r="B6948" s="159"/>
    </row>
    <row r="6949" spans="2:2" ht="15.6">
      <c r="B6949" s="159"/>
    </row>
    <row r="6950" spans="2:2" ht="15.6">
      <c r="B6950" s="159"/>
    </row>
    <row r="6951" spans="2:2" ht="15.6">
      <c r="B6951" s="159"/>
    </row>
    <row r="6952" spans="2:2" ht="15.6">
      <c r="B6952" s="159"/>
    </row>
    <row r="6953" spans="2:2" ht="15.6">
      <c r="B6953" s="159"/>
    </row>
    <row r="6954" spans="2:2" ht="15.6">
      <c r="B6954" s="159"/>
    </row>
    <row r="6955" spans="2:2" ht="15.6">
      <c r="B6955" s="159"/>
    </row>
    <row r="6956" spans="2:2" ht="15.6">
      <c r="B6956" s="159"/>
    </row>
    <row r="6957" spans="2:2" ht="15.6">
      <c r="B6957" s="159"/>
    </row>
    <row r="6958" spans="2:2" ht="15.6">
      <c r="B6958" s="159"/>
    </row>
    <row r="6959" spans="2:2" ht="15.6">
      <c r="B6959" s="159"/>
    </row>
    <row r="6960" spans="2:2" ht="15.6">
      <c r="B6960" s="159"/>
    </row>
    <row r="6961" spans="2:2" ht="15.6">
      <c r="B6961" s="159"/>
    </row>
    <row r="6962" spans="2:2" ht="15.6">
      <c r="B6962" s="159"/>
    </row>
    <row r="6963" spans="2:2" ht="15.6">
      <c r="B6963" s="159"/>
    </row>
    <row r="6964" spans="2:2" ht="15.6">
      <c r="B6964" s="159"/>
    </row>
    <row r="6965" spans="2:2" ht="15.6">
      <c r="B6965" s="159"/>
    </row>
    <row r="6966" spans="2:2" ht="15.6">
      <c r="B6966" s="159"/>
    </row>
    <row r="6967" spans="2:2" ht="15.6">
      <c r="B6967" s="159"/>
    </row>
    <row r="6968" spans="2:2" ht="15.6">
      <c r="B6968" s="159"/>
    </row>
    <row r="6969" spans="2:2" ht="15.6">
      <c r="B6969" s="159"/>
    </row>
    <row r="6970" spans="2:2" ht="15.6">
      <c r="B6970" s="159"/>
    </row>
    <row r="6971" spans="2:2" ht="15.6">
      <c r="B6971" s="159"/>
    </row>
    <row r="6972" spans="2:2" ht="15.6">
      <c r="B6972" s="159"/>
    </row>
    <row r="6973" spans="2:2" ht="15.6">
      <c r="B6973" s="159"/>
    </row>
    <row r="6974" spans="2:2" ht="15.6">
      <c r="B6974" s="159"/>
    </row>
    <row r="6975" spans="2:2" ht="15.6">
      <c r="B6975" s="159"/>
    </row>
    <row r="6976" spans="2:2" ht="15.6">
      <c r="B6976" s="159"/>
    </row>
    <row r="6977" spans="2:2" ht="15.6">
      <c r="B6977" s="159"/>
    </row>
    <row r="6978" spans="2:2" ht="15.6">
      <c r="B6978" s="159"/>
    </row>
    <row r="6979" spans="2:2" ht="15.6">
      <c r="B6979" s="159"/>
    </row>
    <row r="6980" spans="2:2" ht="15.6">
      <c r="B6980" s="159"/>
    </row>
    <row r="6981" spans="2:2" ht="15.6">
      <c r="B6981" s="159"/>
    </row>
    <row r="6982" spans="2:2" ht="15.6">
      <c r="B6982" s="159"/>
    </row>
    <row r="6983" spans="2:2" ht="15.6">
      <c r="B6983" s="159"/>
    </row>
    <row r="6984" spans="2:2" ht="15.6">
      <c r="B6984" s="159"/>
    </row>
    <row r="6985" spans="2:2" ht="15.6">
      <c r="B6985" s="159"/>
    </row>
    <row r="6986" spans="2:2" ht="15.6">
      <c r="B6986" s="159"/>
    </row>
    <row r="6987" spans="2:2" ht="15.6">
      <c r="B6987" s="159"/>
    </row>
    <row r="6988" spans="2:2" ht="15.6">
      <c r="B6988" s="159"/>
    </row>
    <row r="6989" spans="2:2" ht="15.6">
      <c r="B6989" s="159"/>
    </row>
    <row r="6990" spans="2:2" ht="15.6">
      <c r="B6990" s="159"/>
    </row>
    <row r="6991" spans="2:2" ht="15.6">
      <c r="B6991" s="159"/>
    </row>
    <row r="6992" spans="2:2" ht="15.6">
      <c r="B6992" s="159"/>
    </row>
    <row r="6993" spans="2:2" ht="15.6">
      <c r="B6993" s="159"/>
    </row>
    <row r="6994" spans="2:2" ht="15.6">
      <c r="B6994" s="159"/>
    </row>
    <row r="6995" spans="2:2" ht="15.6">
      <c r="B6995" s="159"/>
    </row>
    <row r="6996" spans="2:2" ht="15.6">
      <c r="B6996" s="159"/>
    </row>
    <row r="6997" spans="2:2" ht="15.6">
      <c r="B6997" s="159"/>
    </row>
    <row r="6998" spans="2:2" ht="15.6">
      <c r="B6998" s="159"/>
    </row>
    <row r="6999" spans="2:2" ht="15.6">
      <c r="B6999" s="159"/>
    </row>
    <row r="7000" spans="2:2" ht="15.6">
      <c r="B7000" s="159"/>
    </row>
    <row r="7001" spans="2:2" ht="15.6">
      <c r="B7001" s="159"/>
    </row>
    <row r="7002" spans="2:2" ht="15.6">
      <c r="B7002" s="159"/>
    </row>
    <row r="7003" spans="2:2" ht="15.6">
      <c r="B7003" s="159"/>
    </row>
    <row r="7004" spans="2:2" ht="15.6">
      <c r="B7004" s="159"/>
    </row>
    <row r="7005" spans="2:2" ht="15.6">
      <c r="B7005" s="159"/>
    </row>
    <row r="7006" spans="2:2" ht="15.6">
      <c r="B7006" s="159"/>
    </row>
    <row r="7007" spans="2:2" ht="15.6">
      <c r="B7007" s="159"/>
    </row>
    <row r="7008" spans="2:2" ht="15.6">
      <c r="B7008" s="159"/>
    </row>
    <row r="7009" spans="2:2" ht="15.6">
      <c r="B7009" s="159"/>
    </row>
    <row r="7010" spans="2:2" ht="15.6">
      <c r="B7010" s="159"/>
    </row>
    <row r="7011" spans="2:2" ht="15.6">
      <c r="B7011" s="159"/>
    </row>
    <row r="7012" spans="2:2" ht="15.6">
      <c r="B7012" s="159"/>
    </row>
    <row r="7013" spans="2:2" ht="15.6">
      <c r="B7013" s="159"/>
    </row>
    <row r="7014" spans="2:2" ht="15.6">
      <c r="B7014" s="159"/>
    </row>
    <row r="7015" spans="2:2" ht="15.6">
      <c r="B7015" s="159"/>
    </row>
    <row r="7016" spans="2:2" ht="15.6">
      <c r="B7016" s="159"/>
    </row>
    <row r="7017" spans="2:2" ht="15.6">
      <c r="B7017" s="159"/>
    </row>
    <row r="7018" spans="2:2" ht="15.6">
      <c r="B7018" s="159"/>
    </row>
    <row r="7019" spans="2:2" ht="15.6">
      <c r="B7019" s="159"/>
    </row>
    <row r="7020" spans="2:2" ht="15.6">
      <c r="B7020" s="159"/>
    </row>
    <row r="7021" spans="2:2" ht="15.6">
      <c r="B7021" s="159"/>
    </row>
    <row r="7022" spans="2:2" ht="15.6">
      <c r="B7022" s="159"/>
    </row>
    <row r="7023" spans="2:2" ht="15.6">
      <c r="B7023" s="159"/>
    </row>
    <row r="7024" spans="2:2" ht="15.6">
      <c r="B7024" s="159"/>
    </row>
    <row r="7025" spans="2:2" ht="15.6">
      <c r="B7025" s="159"/>
    </row>
    <row r="7026" spans="2:2" ht="15.6">
      <c r="B7026" s="159"/>
    </row>
    <row r="7027" spans="2:2" ht="15.6">
      <c r="B7027" s="159"/>
    </row>
    <row r="7028" spans="2:2" ht="15.6">
      <c r="B7028" s="159"/>
    </row>
    <row r="7029" spans="2:2" ht="15.6">
      <c r="B7029" s="159"/>
    </row>
    <row r="7030" spans="2:2" ht="15.6">
      <c r="B7030" s="159"/>
    </row>
    <row r="7031" spans="2:2" ht="15.6">
      <c r="B7031" s="159"/>
    </row>
    <row r="7032" spans="2:2" ht="15.6">
      <c r="B7032" s="159"/>
    </row>
    <row r="7033" spans="2:2" ht="15.6">
      <c r="B7033" s="159"/>
    </row>
    <row r="7034" spans="2:2" ht="15.6">
      <c r="B7034" s="159"/>
    </row>
    <row r="7035" spans="2:2" ht="15.6">
      <c r="B7035" s="159"/>
    </row>
    <row r="7036" spans="2:2" ht="15.6">
      <c r="B7036" s="159"/>
    </row>
    <row r="7037" spans="2:2" ht="15.6">
      <c r="B7037" s="159"/>
    </row>
    <row r="7038" spans="2:2" ht="15.6">
      <c r="B7038" s="159"/>
    </row>
    <row r="7039" spans="2:2" ht="15.6">
      <c r="B7039" s="159"/>
    </row>
    <row r="7040" spans="2:2" ht="15.6">
      <c r="B7040" s="159"/>
    </row>
    <row r="7041" spans="2:2" ht="15.6">
      <c r="B7041" s="159"/>
    </row>
    <row r="7042" spans="2:2" ht="15.6">
      <c r="B7042" s="159"/>
    </row>
    <row r="7043" spans="2:2" ht="15.6">
      <c r="B7043" s="159"/>
    </row>
    <row r="7044" spans="2:2" ht="15.6">
      <c r="B7044" s="159"/>
    </row>
    <row r="7045" spans="2:2" ht="15.6">
      <c r="B7045" s="159"/>
    </row>
    <row r="7046" spans="2:2" ht="15.6">
      <c r="B7046" s="159"/>
    </row>
    <row r="7047" spans="2:2" ht="15.6">
      <c r="B7047" s="159"/>
    </row>
    <row r="7048" spans="2:2" ht="15.6">
      <c r="B7048" s="159"/>
    </row>
    <row r="7049" spans="2:2" ht="15.6">
      <c r="B7049" s="159"/>
    </row>
    <row r="7050" spans="2:2" ht="15.6">
      <c r="B7050" s="159"/>
    </row>
    <row r="7051" spans="2:2" ht="15.6">
      <c r="B7051" s="159"/>
    </row>
    <row r="7052" spans="2:2" ht="15.6">
      <c r="B7052" s="159"/>
    </row>
    <row r="7053" spans="2:2" ht="15.6">
      <c r="B7053" s="159"/>
    </row>
    <row r="7054" spans="2:2" ht="15.6">
      <c r="B7054" s="159"/>
    </row>
    <row r="7055" spans="2:2" ht="15.6">
      <c r="B7055" s="159"/>
    </row>
    <row r="7056" spans="2:2" ht="15.6">
      <c r="B7056" s="159"/>
    </row>
    <row r="7057" spans="2:2" ht="15.6">
      <c r="B7057" s="159"/>
    </row>
    <row r="7058" spans="2:2" ht="15.6">
      <c r="B7058" s="159"/>
    </row>
    <row r="7059" spans="2:2" ht="15.6">
      <c r="B7059" s="159"/>
    </row>
    <row r="7060" spans="2:2" ht="15.6">
      <c r="B7060" s="159"/>
    </row>
    <row r="7061" spans="2:2" ht="15.6">
      <c r="B7061" s="159"/>
    </row>
    <row r="7062" spans="2:2" ht="15.6">
      <c r="B7062" s="159"/>
    </row>
    <row r="7063" spans="2:2" ht="15.6">
      <c r="B7063" s="159"/>
    </row>
    <row r="7064" spans="2:2" ht="15.6">
      <c r="B7064" s="159"/>
    </row>
    <row r="7065" spans="2:2" ht="15.6">
      <c r="B7065" s="159"/>
    </row>
    <row r="7066" spans="2:2" ht="15.6">
      <c r="B7066" s="159"/>
    </row>
    <row r="7067" spans="2:2" ht="15.6">
      <c r="B7067" s="159"/>
    </row>
    <row r="7068" spans="2:2" ht="15.6">
      <c r="B7068" s="159"/>
    </row>
    <row r="7069" spans="2:2" ht="15.6">
      <c r="B7069" s="159"/>
    </row>
    <row r="7070" spans="2:2" ht="15.6">
      <c r="B7070" s="159"/>
    </row>
    <row r="7071" spans="2:2" ht="15.6">
      <c r="B7071" s="159"/>
    </row>
    <row r="7072" spans="2:2" ht="15.6">
      <c r="B7072" s="159"/>
    </row>
    <row r="7073" spans="2:2" ht="15.6">
      <c r="B7073" s="159"/>
    </row>
    <row r="7074" spans="2:2" ht="15.6">
      <c r="B7074" s="159"/>
    </row>
    <row r="7075" spans="2:2" ht="15.6">
      <c r="B7075" s="159"/>
    </row>
    <row r="7076" spans="2:2" ht="15.6">
      <c r="B7076" s="159"/>
    </row>
    <row r="7077" spans="2:2" ht="15.6">
      <c r="B7077" s="159"/>
    </row>
    <row r="7078" spans="2:2" ht="15.6">
      <c r="B7078" s="159"/>
    </row>
    <row r="7079" spans="2:2" ht="15.6">
      <c r="B7079" s="159"/>
    </row>
    <row r="7080" spans="2:2" ht="15.6">
      <c r="B7080" s="159"/>
    </row>
    <row r="7081" spans="2:2" ht="15.6">
      <c r="B7081" s="159"/>
    </row>
    <row r="7082" spans="2:2" ht="15.6">
      <c r="B7082" s="159"/>
    </row>
    <row r="7083" spans="2:2" ht="15.6">
      <c r="B7083" s="159"/>
    </row>
    <row r="7084" spans="2:2" ht="15.6">
      <c r="B7084" s="159"/>
    </row>
    <row r="7085" spans="2:2" ht="15.6">
      <c r="B7085" s="159"/>
    </row>
    <row r="7086" spans="2:2" ht="15.6">
      <c r="B7086" s="159"/>
    </row>
    <row r="7087" spans="2:2" ht="15.6">
      <c r="B7087" s="159"/>
    </row>
    <row r="7088" spans="2:2" ht="15.6">
      <c r="B7088" s="159"/>
    </row>
    <row r="7089" spans="2:2" ht="15.6">
      <c r="B7089" s="159"/>
    </row>
    <row r="7090" spans="2:2" ht="15.6">
      <c r="B7090" s="159"/>
    </row>
    <row r="7091" spans="2:2" ht="15.6">
      <c r="B7091" s="159"/>
    </row>
    <row r="7092" spans="2:2" ht="15.6">
      <c r="B7092" s="159"/>
    </row>
    <row r="7093" spans="2:2" ht="15.6">
      <c r="B7093" s="159"/>
    </row>
    <row r="7094" spans="2:2" ht="15.6">
      <c r="B7094" s="159"/>
    </row>
    <row r="7095" spans="2:2" ht="15.6">
      <c r="B7095" s="159"/>
    </row>
    <row r="7096" spans="2:2" ht="15.6">
      <c r="B7096" s="159"/>
    </row>
    <row r="7097" spans="2:2" ht="15.6">
      <c r="B7097" s="159"/>
    </row>
    <row r="7098" spans="2:2" ht="15.6">
      <c r="B7098" s="159"/>
    </row>
    <row r="7099" spans="2:2" ht="15.6">
      <c r="B7099" s="159"/>
    </row>
    <row r="7100" spans="2:2" ht="15.6">
      <c r="B7100" s="159"/>
    </row>
    <row r="7101" spans="2:2" ht="15.6">
      <c r="B7101" s="159"/>
    </row>
    <row r="7102" spans="2:2" ht="15.6">
      <c r="B7102" s="159"/>
    </row>
    <row r="7103" spans="2:2" ht="15.6">
      <c r="B7103" s="159"/>
    </row>
    <row r="7104" spans="2:2" ht="15.6">
      <c r="B7104" s="159"/>
    </row>
    <row r="7105" spans="2:2" ht="15.6">
      <c r="B7105" s="159"/>
    </row>
    <row r="7106" spans="2:2" ht="15.6">
      <c r="B7106" s="159"/>
    </row>
    <row r="7107" spans="2:2" ht="15.6">
      <c r="B7107" s="159"/>
    </row>
    <row r="7108" spans="2:2" ht="15.6">
      <c r="B7108" s="159"/>
    </row>
    <row r="7109" spans="2:2" ht="15.6">
      <c r="B7109" s="159"/>
    </row>
    <row r="7110" spans="2:2" ht="15.6">
      <c r="B7110" s="159"/>
    </row>
    <row r="7111" spans="2:2" ht="15.6">
      <c r="B7111" s="159"/>
    </row>
    <row r="7112" spans="2:2" ht="15.6">
      <c r="B7112" s="159"/>
    </row>
    <row r="7113" spans="2:2" ht="15.6">
      <c r="B7113" s="159"/>
    </row>
    <row r="7114" spans="2:2" ht="15.6">
      <c r="B7114" s="159"/>
    </row>
    <row r="7115" spans="2:2" ht="15.6">
      <c r="B7115" s="159"/>
    </row>
    <row r="7116" spans="2:2" ht="15.6">
      <c r="B7116" s="159"/>
    </row>
    <row r="7117" spans="2:2" ht="15.6">
      <c r="B7117" s="159"/>
    </row>
    <row r="7118" spans="2:2" ht="15.6">
      <c r="B7118" s="159"/>
    </row>
    <row r="7119" spans="2:2" ht="15.6">
      <c r="B7119" s="159"/>
    </row>
    <row r="7120" spans="2:2" ht="15.6">
      <c r="B7120" s="159"/>
    </row>
    <row r="7121" spans="2:2" ht="15.6">
      <c r="B7121" s="159"/>
    </row>
    <row r="7122" spans="2:2" ht="15.6">
      <c r="B7122" s="159"/>
    </row>
    <row r="7123" spans="2:2" ht="15.6">
      <c r="B7123" s="159"/>
    </row>
    <row r="7124" spans="2:2" ht="15.6">
      <c r="B7124" s="159"/>
    </row>
    <row r="7125" spans="2:2" ht="15.6">
      <c r="B7125" s="159"/>
    </row>
    <row r="7126" spans="2:2" ht="15.6">
      <c r="B7126" s="159"/>
    </row>
    <row r="7127" spans="2:2" ht="15.6">
      <c r="B7127" s="159"/>
    </row>
    <row r="7128" spans="2:2" ht="15.6">
      <c r="B7128" s="159"/>
    </row>
    <row r="7129" spans="2:2" ht="15.6">
      <c r="B7129" s="159"/>
    </row>
    <row r="7130" spans="2:2" ht="15.6">
      <c r="B7130" s="159"/>
    </row>
    <row r="7131" spans="2:2" ht="15.6">
      <c r="B7131" s="159"/>
    </row>
    <row r="7132" spans="2:2" ht="15.6">
      <c r="B7132" s="159"/>
    </row>
    <row r="7133" spans="2:2" ht="15.6">
      <c r="B7133" s="159"/>
    </row>
    <row r="7134" spans="2:2" ht="15.6">
      <c r="B7134" s="159"/>
    </row>
    <row r="7135" spans="2:2" ht="15.6">
      <c r="B7135" s="159"/>
    </row>
    <row r="7136" spans="2:2" ht="15.6">
      <c r="B7136" s="159"/>
    </row>
    <row r="7137" spans="2:2" ht="15.6">
      <c r="B7137" s="159"/>
    </row>
    <row r="7138" spans="2:2" ht="15.6">
      <c r="B7138" s="159"/>
    </row>
    <row r="7139" spans="2:2" ht="15.6">
      <c r="B7139" s="159"/>
    </row>
    <row r="7140" spans="2:2" ht="15.6">
      <c r="B7140" s="159"/>
    </row>
    <row r="7141" spans="2:2" ht="15.6">
      <c r="B7141" s="159"/>
    </row>
    <row r="7142" spans="2:2" ht="15.6">
      <c r="B7142" s="159"/>
    </row>
    <row r="7143" spans="2:2" ht="15.6">
      <c r="B7143" s="159"/>
    </row>
    <row r="7144" spans="2:2" ht="15.6">
      <c r="B7144" s="159"/>
    </row>
    <row r="7145" spans="2:2" ht="15.6">
      <c r="B7145" s="159"/>
    </row>
    <row r="7146" spans="2:2" ht="15.6">
      <c r="B7146" s="159"/>
    </row>
    <row r="7147" spans="2:2" ht="15.6">
      <c r="B7147" s="159"/>
    </row>
    <row r="7148" spans="2:2" ht="15.6">
      <c r="B7148" s="159"/>
    </row>
    <row r="7149" spans="2:2" ht="15.6">
      <c r="B7149" s="159"/>
    </row>
    <row r="7150" spans="2:2" ht="15.6">
      <c r="B7150" s="159"/>
    </row>
    <row r="7151" spans="2:2" ht="15.6">
      <c r="B7151" s="159"/>
    </row>
    <row r="7152" spans="2:2" ht="15.6">
      <c r="B7152" s="159"/>
    </row>
    <row r="7153" spans="2:2" ht="15.6">
      <c r="B7153" s="159"/>
    </row>
    <row r="7154" spans="2:2" ht="15.6">
      <c r="B7154" s="159"/>
    </row>
    <row r="7155" spans="2:2" ht="15.6">
      <c r="B7155" s="159"/>
    </row>
    <row r="7156" spans="2:2" ht="15.6">
      <c r="B7156" s="159"/>
    </row>
    <row r="7157" spans="2:2" ht="15.6">
      <c r="B7157" s="159"/>
    </row>
    <row r="7158" spans="2:2" ht="15.6">
      <c r="B7158" s="159"/>
    </row>
    <row r="7159" spans="2:2" ht="15.6">
      <c r="B7159" s="159"/>
    </row>
    <row r="7160" spans="2:2" ht="15.6">
      <c r="B7160" s="159"/>
    </row>
    <row r="7161" spans="2:2" ht="15.6">
      <c r="B7161" s="159"/>
    </row>
    <row r="7162" spans="2:2" ht="15.6">
      <c r="B7162" s="159"/>
    </row>
    <row r="7163" spans="2:2" ht="15.6">
      <c r="B7163" s="159"/>
    </row>
    <row r="7164" spans="2:2" ht="15.6">
      <c r="B7164" s="159"/>
    </row>
    <row r="7165" spans="2:2" ht="15.6">
      <c r="B7165" s="159"/>
    </row>
    <row r="7166" spans="2:2" ht="15.6">
      <c r="B7166" s="159"/>
    </row>
    <row r="7167" spans="2:2" ht="15.6">
      <c r="B7167" s="159"/>
    </row>
    <row r="7168" spans="2:2" ht="15.6">
      <c r="B7168" s="159"/>
    </row>
    <row r="7169" spans="2:2" ht="15.6">
      <c r="B7169" s="159"/>
    </row>
    <row r="7170" spans="2:2" ht="15.6">
      <c r="B7170" s="159"/>
    </row>
    <row r="7171" spans="2:2" ht="15.6">
      <c r="B7171" s="159"/>
    </row>
    <row r="7172" spans="2:2" ht="15.6">
      <c r="B7172" s="159"/>
    </row>
    <row r="7173" spans="2:2" ht="15.6">
      <c r="B7173" s="159"/>
    </row>
    <row r="7174" spans="2:2" ht="15.6">
      <c r="B7174" s="159"/>
    </row>
    <row r="7175" spans="2:2" ht="15.6">
      <c r="B7175" s="159"/>
    </row>
    <row r="7176" spans="2:2" ht="15.6">
      <c r="B7176" s="159"/>
    </row>
    <row r="7177" spans="2:2" ht="15.6">
      <c r="B7177" s="159"/>
    </row>
    <row r="7178" spans="2:2" ht="15.6">
      <c r="B7178" s="159"/>
    </row>
    <row r="7179" spans="2:2" ht="15.6">
      <c r="B7179" s="159"/>
    </row>
    <row r="7180" spans="2:2" ht="15.6">
      <c r="B7180" s="159"/>
    </row>
    <row r="7181" spans="2:2" ht="15.6">
      <c r="B7181" s="159"/>
    </row>
    <row r="7182" spans="2:2" ht="15.6">
      <c r="B7182" s="159"/>
    </row>
    <row r="7183" spans="2:2" ht="15.6">
      <c r="B7183" s="159"/>
    </row>
    <row r="7184" spans="2:2" ht="15.6">
      <c r="B7184" s="159"/>
    </row>
    <row r="7185" spans="2:2" ht="15.6">
      <c r="B7185" s="159"/>
    </row>
    <row r="7186" spans="2:2" ht="15.6">
      <c r="B7186" s="159"/>
    </row>
    <row r="7187" spans="2:2" ht="15.6">
      <c r="B7187" s="159"/>
    </row>
    <row r="7188" spans="2:2" ht="15.6">
      <c r="B7188" s="159"/>
    </row>
    <row r="7189" spans="2:2" ht="15.6">
      <c r="B7189" s="159"/>
    </row>
    <row r="7190" spans="2:2" ht="15.6">
      <c r="B7190" s="159"/>
    </row>
    <row r="7191" spans="2:2" ht="15.6">
      <c r="B7191" s="159"/>
    </row>
    <row r="7192" spans="2:2" ht="15.6">
      <c r="B7192" s="159"/>
    </row>
    <row r="7193" spans="2:2" ht="15.6">
      <c r="B7193" s="159"/>
    </row>
    <row r="7194" spans="2:2" ht="15.6">
      <c r="B7194" s="159"/>
    </row>
    <row r="7195" spans="2:2" ht="15.6">
      <c r="B7195" s="159"/>
    </row>
    <row r="7196" spans="2:2" ht="15.6">
      <c r="B7196" s="159"/>
    </row>
    <row r="7197" spans="2:2" ht="15.6">
      <c r="B7197" s="159"/>
    </row>
    <row r="7198" spans="2:2" ht="15.6">
      <c r="B7198" s="159"/>
    </row>
    <row r="7199" spans="2:2" ht="15.6">
      <c r="B7199" s="159"/>
    </row>
    <row r="7200" spans="2:2" ht="15.6">
      <c r="B7200" s="159"/>
    </row>
    <row r="7201" spans="2:2" ht="15.6">
      <c r="B7201" s="159"/>
    </row>
    <row r="7202" spans="2:2" ht="15.6">
      <c r="B7202" s="159"/>
    </row>
    <row r="7203" spans="2:2" ht="15.6">
      <c r="B7203" s="159"/>
    </row>
    <row r="7204" spans="2:2" ht="15.6">
      <c r="B7204" s="159"/>
    </row>
    <row r="7205" spans="2:2" ht="15.6">
      <c r="B7205" s="159"/>
    </row>
    <row r="7206" spans="2:2" ht="15.6">
      <c r="B7206" s="159"/>
    </row>
    <row r="7207" spans="2:2" ht="15.6">
      <c r="B7207" s="159"/>
    </row>
    <row r="7208" spans="2:2" ht="15.6">
      <c r="B7208" s="159"/>
    </row>
    <row r="7209" spans="2:2" ht="15.6">
      <c r="B7209" s="159"/>
    </row>
    <row r="7210" spans="2:2" ht="15.6">
      <c r="B7210" s="159"/>
    </row>
    <row r="7211" spans="2:2" ht="15.6">
      <c r="B7211" s="159"/>
    </row>
    <row r="7212" spans="2:2" ht="15.6">
      <c r="B7212" s="159"/>
    </row>
    <row r="7213" spans="2:2" ht="15.6">
      <c r="B7213" s="159"/>
    </row>
    <row r="7214" spans="2:2" ht="15.6">
      <c r="B7214" s="159"/>
    </row>
    <row r="7215" spans="2:2" ht="15.6">
      <c r="B7215" s="159"/>
    </row>
    <row r="7216" spans="2:2" ht="15.6">
      <c r="B7216" s="159"/>
    </row>
    <row r="7217" spans="2:2" ht="15.6">
      <c r="B7217" s="159"/>
    </row>
    <row r="7218" spans="2:2" ht="15.6">
      <c r="B7218" s="159"/>
    </row>
    <row r="7219" spans="2:2" ht="15.6">
      <c r="B7219" s="159"/>
    </row>
    <row r="7220" spans="2:2" ht="15.6">
      <c r="B7220" s="159"/>
    </row>
    <row r="7221" spans="2:2" ht="15.6">
      <c r="B7221" s="159"/>
    </row>
    <row r="7222" spans="2:2" ht="15.6">
      <c r="B7222" s="159"/>
    </row>
    <row r="7223" spans="2:2" ht="15.6">
      <c r="B7223" s="159"/>
    </row>
    <row r="7224" spans="2:2" ht="15.6">
      <c r="B7224" s="159"/>
    </row>
    <row r="7225" spans="2:2" ht="15.6">
      <c r="B7225" s="159"/>
    </row>
    <row r="7226" spans="2:2" ht="15.6">
      <c r="B7226" s="159"/>
    </row>
    <row r="7227" spans="2:2" ht="15.6">
      <c r="B7227" s="159"/>
    </row>
    <row r="7228" spans="2:2" ht="15.6">
      <c r="B7228" s="159"/>
    </row>
    <row r="7229" spans="2:2" ht="15.6">
      <c r="B7229" s="159"/>
    </row>
    <row r="7230" spans="2:2" ht="15.6">
      <c r="B7230" s="159"/>
    </row>
    <row r="7231" spans="2:2" ht="15.6">
      <c r="B7231" s="159"/>
    </row>
    <row r="7232" spans="2:2" ht="15.6">
      <c r="B7232" s="159"/>
    </row>
    <row r="7233" spans="2:2" ht="15.6">
      <c r="B7233" s="159"/>
    </row>
    <row r="7234" spans="2:2" ht="15.6">
      <c r="B7234" s="159"/>
    </row>
    <row r="7235" spans="2:2" ht="15.6">
      <c r="B7235" s="159"/>
    </row>
    <row r="7236" spans="2:2" ht="15.6">
      <c r="B7236" s="159"/>
    </row>
    <row r="7237" spans="2:2" ht="15.6">
      <c r="B7237" s="159"/>
    </row>
    <row r="7238" spans="2:2" ht="15.6">
      <c r="B7238" s="159"/>
    </row>
    <row r="7239" spans="2:2" ht="15.6">
      <c r="B7239" s="159"/>
    </row>
    <row r="7240" spans="2:2" ht="15.6">
      <c r="B7240" s="159"/>
    </row>
    <row r="7241" spans="2:2" ht="15.6">
      <c r="B7241" s="159"/>
    </row>
    <row r="7242" spans="2:2" ht="15.6">
      <c r="B7242" s="159"/>
    </row>
    <row r="7243" spans="2:2" ht="15.6">
      <c r="B7243" s="159"/>
    </row>
    <row r="7244" spans="2:2" ht="15.6">
      <c r="B7244" s="159"/>
    </row>
    <row r="7245" spans="2:2" ht="15.6">
      <c r="B7245" s="159"/>
    </row>
    <row r="7246" spans="2:2" ht="15.6">
      <c r="B7246" s="159"/>
    </row>
    <row r="7247" spans="2:2" ht="15.6">
      <c r="B7247" s="159"/>
    </row>
    <row r="7248" spans="2:2" ht="15.6">
      <c r="B7248" s="159"/>
    </row>
    <row r="7249" spans="2:2" ht="15.6">
      <c r="B7249" s="159"/>
    </row>
    <row r="7250" spans="2:2" ht="15.6">
      <c r="B7250" s="159"/>
    </row>
    <row r="7251" spans="2:2" ht="15.6">
      <c r="B7251" s="159"/>
    </row>
    <row r="7252" spans="2:2" ht="15.6">
      <c r="B7252" s="159"/>
    </row>
    <row r="7253" spans="2:2" ht="15.6">
      <c r="B7253" s="159"/>
    </row>
    <row r="7254" spans="2:2" ht="15.6">
      <c r="B7254" s="159"/>
    </row>
    <row r="7255" spans="2:2" ht="15.6">
      <c r="B7255" s="159"/>
    </row>
    <row r="7256" spans="2:2" ht="15.6">
      <c r="B7256" s="159"/>
    </row>
    <row r="7257" spans="2:2" ht="15.6">
      <c r="B7257" s="159"/>
    </row>
    <row r="7258" spans="2:2" ht="15.6">
      <c r="B7258" s="159"/>
    </row>
    <row r="7259" spans="2:2" ht="15.6">
      <c r="B7259" s="159"/>
    </row>
    <row r="7260" spans="2:2" ht="15.6">
      <c r="B7260" s="159"/>
    </row>
    <row r="7261" spans="2:2" ht="15.6">
      <c r="B7261" s="159"/>
    </row>
    <row r="7262" spans="2:2" ht="15.6">
      <c r="B7262" s="159"/>
    </row>
    <row r="7263" spans="2:2" ht="15.6">
      <c r="B7263" s="159"/>
    </row>
    <row r="7264" spans="2:2" ht="15.6">
      <c r="B7264" s="159"/>
    </row>
    <row r="7265" spans="2:2" ht="15.6">
      <c r="B7265" s="159"/>
    </row>
    <row r="7266" spans="2:2" ht="15.6">
      <c r="B7266" s="159"/>
    </row>
    <row r="7267" spans="2:2" ht="15.6">
      <c r="B7267" s="159"/>
    </row>
    <row r="7268" spans="2:2" ht="15.6">
      <c r="B7268" s="159"/>
    </row>
    <row r="7269" spans="2:2" ht="15.6">
      <c r="B7269" s="159"/>
    </row>
    <row r="7270" spans="2:2" ht="15.6">
      <c r="B7270" s="159"/>
    </row>
    <row r="7271" spans="2:2" ht="15.6">
      <c r="B7271" s="159"/>
    </row>
    <row r="7272" spans="2:2" ht="15.6">
      <c r="B7272" s="159"/>
    </row>
    <row r="7273" spans="2:2" ht="15.6">
      <c r="B7273" s="159"/>
    </row>
    <row r="7274" spans="2:2" ht="15.6">
      <c r="B7274" s="159"/>
    </row>
    <row r="7275" spans="2:2" ht="15.6">
      <c r="B7275" s="159"/>
    </row>
    <row r="7276" spans="2:2" ht="15.6">
      <c r="B7276" s="159"/>
    </row>
    <row r="7277" spans="2:2" ht="15.6">
      <c r="B7277" s="159"/>
    </row>
    <row r="7278" spans="2:2" ht="15.6">
      <c r="B7278" s="159"/>
    </row>
    <row r="7279" spans="2:2" ht="15.6">
      <c r="B7279" s="159"/>
    </row>
    <row r="7280" spans="2:2" ht="15.6">
      <c r="B7280" s="159"/>
    </row>
    <row r="7281" spans="2:2" ht="15.6">
      <c r="B7281" s="159"/>
    </row>
    <row r="7282" spans="2:2" ht="15.6">
      <c r="B7282" s="159"/>
    </row>
    <row r="7283" spans="2:2" ht="15.6">
      <c r="B7283" s="159"/>
    </row>
    <row r="7284" spans="2:2" ht="15.6">
      <c r="B7284" s="159"/>
    </row>
    <row r="7285" spans="2:2" ht="15.6">
      <c r="B7285" s="159"/>
    </row>
    <row r="7286" spans="2:2" ht="15.6">
      <c r="B7286" s="159"/>
    </row>
    <row r="7287" spans="2:2" ht="15.6">
      <c r="B7287" s="159"/>
    </row>
    <row r="7288" spans="2:2" ht="15.6">
      <c r="B7288" s="159"/>
    </row>
    <row r="7289" spans="2:2" ht="15.6">
      <c r="B7289" s="159"/>
    </row>
    <row r="7290" spans="2:2" ht="15.6">
      <c r="B7290" s="159"/>
    </row>
    <row r="7291" spans="2:2" ht="15.6">
      <c r="B7291" s="159"/>
    </row>
    <row r="7292" spans="2:2" ht="15.6">
      <c r="B7292" s="159"/>
    </row>
    <row r="7293" spans="2:2" ht="15.6">
      <c r="B7293" s="159"/>
    </row>
    <row r="7294" spans="2:2" ht="15.6">
      <c r="B7294" s="159"/>
    </row>
    <row r="7295" spans="2:2" ht="15.6">
      <c r="B7295" s="159"/>
    </row>
    <row r="7296" spans="2:2" ht="15.6">
      <c r="B7296" s="159"/>
    </row>
    <row r="7297" spans="2:2" ht="15.6">
      <c r="B7297" s="159"/>
    </row>
    <row r="7298" spans="2:2" ht="15.6">
      <c r="B7298" s="159"/>
    </row>
    <row r="7299" spans="2:2" ht="15.6">
      <c r="B7299" s="159"/>
    </row>
    <row r="7300" spans="2:2" ht="15.6">
      <c r="B7300" s="159"/>
    </row>
    <row r="7301" spans="2:2" ht="15.6">
      <c r="B7301" s="159"/>
    </row>
    <row r="7302" spans="2:2" ht="15.6">
      <c r="B7302" s="159"/>
    </row>
    <row r="7303" spans="2:2" ht="15.6">
      <c r="B7303" s="159"/>
    </row>
    <row r="7304" spans="2:2" ht="15.6">
      <c r="B7304" s="159"/>
    </row>
    <row r="7305" spans="2:2" ht="15.6">
      <c r="B7305" s="159"/>
    </row>
    <row r="7306" spans="2:2" ht="15.6">
      <c r="B7306" s="159"/>
    </row>
    <row r="7307" spans="2:2" ht="15.6">
      <c r="B7307" s="159"/>
    </row>
    <row r="7308" spans="2:2" ht="15.6">
      <c r="B7308" s="159"/>
    </row>
    <row r="7309" spans="2:2" ht="15.6">
      <c r="B7309" s="159"/>
    </row>
    <row r="7310" spans="2:2" ht="15.6">
      <c r="B7310" s="159"/>
    </row>
    <row r="7311" spans="2:2" ht="15.6">
      <c r="B7311" s="159"/>
    </row>
    <row r="7312" spans="2:2" ht="15.6">
      <c r="B7312" s="159"/>
    </row>
    <row r="7313" spans="2:2" ht="15.6">
      <c r="B7313" s="159"/>
    </row>
    <row r="7314" spans="2:2" ht="15.6">
      <c r="B7314" s="159"/>
    </row>
    <row r="7315" spans="2:2" ht="15.6">
      <c r="B7315" s="159"/>
    </row>
    <row r="7316" spans="2:2" ht="15.6">
      <c r="B7316" s="159"/>
    </row>
    <row r="7317" spans="2:2" ht="15.6">
      <c r="B7317" s="159"/>
    </row>
    <row r="7318" spans="2:2" ht="15.6">
      <c r="B7318" s="159"/>
    </row>
    <row r="7319" spans="2:2" ht="15.6">
      <c r="B7319" s="159"/>
    </row>
    <row r="7320" spans="2:2" ht="15.6">
      <c r="B7320" s="159"/>
    </row>
    <row r="7321" spans="2:2" ht="15.6">
      <c r="B7321" s="159"/>
    </row>
    <row r="7322" spans="2:2" ht="15.6">
      <c r="B7322" s="159"/>
    </row>
    <row r="7323" spans="2:2" ht="15.6">
      <c r="B7323" s="159"/>
    </row>
    <row r="7324" spans="2:2" ht="15.6">
      <c r="B7324" s="159"/>
    </row>
    <row r="7325" spans="2:2" ht="15.6">
      <c r="B7325" s="159"/>
    </row>
    <row r="7326" spans="2:2" ht="15.6">
      <c r="B7326" s="159"/>
    </row>
    <row r="7327" spans="2:2" ht="15.6">
      <c r="B7327" s="159"/>
    </row>
    <row r="7328" spans="2:2" ht="15.6">
      <c r="B7328" s="159"/>
    </row>
    <row r="7329" spans="2:2" ht="15.6">
      <c r="B7329" s="159"/>
    </row>
    <row r="7330" spans="2:2" ht="15.6">
      <c r="B7330" s="159"/>
    </row>
    <row r="7331" spans="2:2" ht="15.6">
      <c r="B7331" s="159"/>
    </row>
    <row r="7332" spans="2:2" ht="15.6">
      <c r="B7332" s="159"/>
    </row>
    <row r="7333" spans="2:2" ht="15.6">
      <c r="B7333" s="159"/>
    </row>
    <row r="7334" spans="2:2" ht="15.6">
      <c r="B7334" s="159"/>
    </row>
    <row r="7335" spans="2:2" ht="15.6">
      <c r="B7335" s="159"/>
    </row>
    <row r="7336" spans="2:2" ht="15.6">
      <c r="B7336" s="159"/>
    </row>
    <row r="7337" spans="2:2" ht="15.6">
      <c r="B7337" s="159"/>
    </row>
    <row r="7338" spans="2:2" ht="15.6">
      <c r="B7338" s="159"/>
    </row>
    <row r="7339" spans="2:2" ht="15.6">
      <c r="B7339" s="159"/>
    </row>
    <row r="7340" spans="2:2" ht="15.6">
      <c r="B7340" s="159"/>
    </row>
    <row r="7341" spans="2:2" ht="15.6">
      <c r="B7341" s="159"/>
    </row>
    <row r="7342" spans="2:2" ht="15.6">
      <c r="B7342" s="159"/>
    </row>
    <row r="7343" spans="2:2" ht="15.6">
      <c r="B7343" s="159"/>
    </row>
    <row r="7344" spans="2:2" ht="15.6">
      <c r="B7344" s="159"/>
    </row>
    <row r="7345" spans="2:2" ht="15.6">
      <c r="B7345" s="159"/>
    </row>
    <row r="7346" spans="2:2" ht="15.6">
      <c r="B7346" s="159"/>
    </row>
    <row r="7347" spans="2:2" ht="15.6">
      <c r="B7347" s="159"/>
    </row>
    <row r="7348" spans="2:2" ht="15.6">
      <c r="B7348" s="159"/>
    </row>
    <row r="7349" spans="2:2" ht="15.6">
      <c r="B7349" s="159"/>
    </row>
    <row r="7350" spans="2:2" ht="15.6">
      <c r="B7350" s="159"/>
    </row>
    <row r="7351" spans="2:2" ht="15.6">
      <c r="B7351" s="159"/>
    </row>
    <row r="7352" spans="2:2" ht="15.6">
      <c r="B7352" s="159"/>
    </row>
    <row r="7353" spans="2:2" ht="15.6">
      <c r="B7353" s="159"/>
    </row>
    <row r="7354" spans="2:2" ht="15.6">
      <c r="B7354" s="159"/>
    </row>
    <row r="7355" spans="2:2" ht="15.6">
      <c r="B7355" s="159"/>
    </row>
    <row r="7356" spans="2:2" ht="15.6">
      <c r="B7356" s="159"/>
    </row>
    <row r="7357" spans="2:2" ht="15.6">
      <c r="B7357" s="159"/>
    </row>
    <row r="7358" spans="2:2" ht="15.6">
      <c r="B7358" s="159"/>
    </row>
    <row r="7359" spans="2:2" ht="15.6">
      <c r="B7359" s="159"/>
    </row>
    <row r="7360" spans="2:2" ht="15.6">
      <c r="B7360" s="159"/>
    </row>
    <row r="7361" spans="2:2" ht="15.6">
      <c r="B7361" s="159"/>
    </row>
    <row r="7362" spans="2:2" ht="15.6">
      <c r="B7362" s="159"/>
    </row>
    <row r="7363" spans="2:2" ht="15.6">
      <c r="B7363" s="159"/>
    </row>
    <row r="7364" spans="2:2" ht="15.6">
      <c r="B7364" s="159"/>
    </row>
    <row r="7365" spans="2:2" ht="15.6">
      <c r="B7365" s="159"/>
    </row>
    <row r="7366" spans="2:2" ht="15.6">
      <c r="B7366" s="159"/>
    </row>
    <row r="7367" spans="2:2" ht="15.6">
      <c r="B7367" s="159"/>
    </row>
    <row r="7368" spans="2:2" ht="15.6">
      <c r="B7368" s="159"/>
    </row>
    <row r="7369" spans="2:2" ht="15.6">
      <c r="B7369" s="159"/>
    </row>
    <row r="7370" spans="2:2" ht="15.6">
      <c r="B7370" s="159"/>
    </row>
    <row r="7371" spans="2:2" ht="15.6">
      <c r="B7371" s="159"/>
    </row>
    <row r="7372" spans="2:2" ht="15.6">
      <c r="B7372" s="159"/>
    </row>
    <row r="7373" spans="2:2" ht="15.6">
      <c r="B7373" s="159"/>
    </row>
    <row r="7374" spans="2:2" ht="15.6">
      <c r="B7374" s="159"/>
    </row>
    <row r="7375" spans="2:2" ht="15.6">
      <c r="B7375" s="159"/>
    </row>
    <row r="7376" spans="2:2" ht="15.6">
      <c r="B7376" s="159"/>
    </row>
    <row r="7377" spans="2:2" ht="15.6">
      <c r="B7377" s="159"/>
    </row>
    <row r="7378" spans="2:2" ht="15.6">
      <c r="B7378" s="159"/>
    </row>
    <row r="7379" spans="2:2" ht="15.6">
      <c r="B7379" s="159"/>
    </row>
    <row r="7380" spans="2:2" ht="15.6">
      <c r="B7380" s="159"/>
    </row>
    <row r="7381" spans="2:2" ht="15.6">
      <c r="B7381" s="159"/>
    </row>
    <row r="7382" spans="2:2" ht="15.6">
      <c r="B7382" s="159"/>
    </row>
    <row r="7383" spans="2:2" ht="15.6">
      <c r="B7383" s="159"/>
    </row>
    <row r="7384" spans="2:2" ht="15.6">
      <c r="B7384" s="159"/>
    </row>
    <row r="7385" spans="2:2" ht="15.6">
      <c r="B7385" s="159"/>
    </row>
    <row r="7386" spans="2:2" ht="15.6">
      <c r="B7386" s="159"/>
    </row>
    <row r="7387" spans="2:2" ht="15.6">
      <c r="B7387" s="159"/>
    </row>
    <row r="7388" spans="2:2" ht="15.6">
      <c r="B7388" s="159"/>
    </row>
    <row r="7389" spans="2:2" ht="15.6">
      <c r="B7389" s="159"/>
    </row>
    <row r="7390" spans="2:2" ht="15.6">
      <c r="B7390" s="159"/>
    </row>
    <row r="7391" spans="2:2" ht="15.6">
      <c r="B7391" s="159"/>
    </row>
    <row r="7392" spans="2:2" ht="15.6">
      <c r="B7392" s="159"/>
    </row>
    <row r="7393" spans="2:2" ht="15.6">
      <c r="B7393" s="159"/>
    </row>
    <row r="7394" spans="2:2" ht="15.6">
      <c r="B7394" s="159"/>
    </row>
    <row r="7395" spans="2:2" ht="15.6">
      <c r="B7395" s="159"/>
    </row>
    <row r="7396" spans="2:2" ht="15.6">
      <c r="B7396" s="159"/>
    </row>
    <row r="7397" spans="2:2" ht="15.6">
      <c r="B7397" s="159"/>
    </row>
    <row r="7398" spans="2:2" ht="15.6">
      <c r="B7398" s="159"/>
    </row>
    <row r="7399" spans="2:2" ht="15.6">
      <c r="B7399" s="159"/>
    </row>
    <row r="7400" spans="2:2" ht="15.6">
      <c r="B7400" s="159"/>
    </row>
    <row r="7401" spans="2:2" ht="15.6">
      <c r="B7401" s="159"/>
    </row>
    <row r="7402" spans="2:2" ht="15.6">
      <c r="B7402" s="159"/>
    </row>
    <row r="7403" spans="2:2" ht="15.6">
      <c r="B7403" s="159"/>
    </row>
    <row r="7404" spans="2:2" ht="15.6">
      <c r="B7404" s="159"/>
    </row>
    <row r="7405" spans="2:2" ht="15.6">
      <c r="B7405" s="159"/>
    </row>
    <row r="7406" spans="2:2" ht="15.6">
      <c r="B7406" s="159"/>
    </row>
    <row r="7407" spans="2:2" ht="15.6">
      <c r="B7407" s="159"/>
    </row>
    <row r="7408" spans="2:2" ht="15.6">
      <c r="B7408" s="159"/>
    </row>
    <row r="7409" spans="2:2" ht="15.6">
      <c r="B7409" s="159"/>
    </row>
    <row r="7410" spans="2:2" ht="15.6">
      <c r="B7410" s="159"/>
    </row>
    <row r="7411" spans="2:2" ht="15.6">
      <c r="B7411" s="159"/>
    </row>
    <row r="7412" spans="2:2" ht="15.6">
      <c r="B7412" s="159"/>
    </row>
    <row r="7413" spans="2:2" ht="15.6">
      <c r="B7413" s="159"/>
    </row>
    <row r="7414" spans="2:2" ht="15.6">
      <c r="B7414" s="159"/>
    </row>
    <row r="7415" spans="2:2" ht="15.6">
      <c r="B7415" s="159"/>
    </row>
    <row r="7416" spans="2:2" ht="15.6">
      <c r="B7416" s="159"/>
    </row>
    <row r="7417" spans="2:2" ht="15.6">
      <c r="B7417" s="159"/>
    </row>
    <row r="7418" spans="2:2" ht="15.6">
      <c r="B7418" s="159"/>
    </row>
    <row r="7419" spans="2:2" ht="15.6">
      <c r="B7419" s="159"/>
    </row>
    <row r="7420" spans="2:2" ht="15.6">
      <c r="B7420" s="159"/>
    </row>
    <row r="7421" spans="2:2" ht="15.6">
      <c r="B7421" s="159"/>
    </row>
    <row r="7422" spans="2:2" ht="15.6">
      <c r="B7422" s="159"/>
    </row>
    <row r="7423" spans="2:2" ht="15.6">
      <c r="B7423" s="159"/>
    </row>
    <row r="7424" spans="2:2" ht="15.6">
      <c r="B7424" s="159"/>
    </row>
    <row r="7425" spans="2:2" ht="15.6">
      <c r="B7425" s="159"/>
    </row>
    <row r="7426" spans="2:2" ht="15.6">
      <c r="B7426" s="159"/>
    </row>
    <row r="7427" spans="2:2" ht="15.6">
      <c r="B7427" s="159"/>
    </row>
    <row r="7428" spans="2:2" ht="15.6">
      <c r="B7428" s="159"/>
    </row>
    <row r="7429" spans="2:2" ht="15.6">
      <c r="B7429" s="159"/>
    </row>
    <row r="7430" spans="2:2" ht="15.6">
      <c r="B7430" s="159"/>
    </row>
    <row r="7431" spans="2:2" ht="15.6">
      <c r="B7431" s="159"/>
    </row>
    <row r="7432" spans="2:2" ht="15.6">
      <c r="B7432" s="159"/>
    </row>
    <row r="7433" spans="2:2" ht="15.6">
      <c r="B7433" s="159"/>
    </row>
    <row r="7434" spans="2:2" ht="15.6">
      <c r="B7434" s="159"/>
    </row>
    <row r="7435" spans="2:2" ht="15.6">
      <c r="B7435" s="159"/>
    </row>
    <row r="7436" spans="2:2" ht="15.6">
      <c r="B7436" s="159"/>
    </row>
    <row r="7437" spans="2:2" ht="15.6">
      <c r="B7437" s="159"/>
    </row>
    <row r="7438" spans="2:2" ht="15.6">
      <c r="B7438" s="159"/>
    </row>
    <row r="7439" spans="2:2" ht="15.6">
      <c r="B7439" s="159"/>
    </row>
    <row r="7440" spans="2:2" ht="15.6">
      <c r="B7440" s="159"/>
    </row>
    <row r="7441" spans="2:2" ht="15.6">
      <c r="B7441" s="159"/>
    </row>
    <row r="7442" spans="2:2" ht="15.6">
      <c r="B7442" s="159"/>
    </row>
    <row r="7443" spans="2:2" ht="15.6">
      <c r="B7443" s="159"/>
    </row>
    <row r="7444" spans="2:2" ht="15.6">
      <c r="B7444" s="159"/>
    </row>
    <row r="7445" spans="2:2" ht="15.6">
      <c r="B7445" s="159"/>
    </row>
    <row r="7446" spans="2:2" ht="15.6">
      <c r="B7446" s="159"/>
    </row>
    <row r="7447" spans="2:2" ht="15.6">
      <c r="B7447" s="159"/>
    </row>
    <row r="7448" spans="2:2" ht="15.6">
      <c r="B7448" s="159"/>
    </row>
    <row r="7449" spans="2:2" ht="15.6">
      <c r="B7449" s="159"/>
    </row>
    <row r="7450" spans="2:2" ht="15.6">
      <c r="B7450" s="159"/>
    </row>
    <row r="7451" spans="2:2" ht="15.6">
      <c r="B7451" s="159"/>
    </row>
    <row r="7452" spans="2:2" ht="15.6">
      <c r="B7452" s="159"/>
    </row>
    <row r="7453" spans="2:2" ht="15.6">
      <c r="B7453" s="159"/>
    </row>
    <row r="7454" spans="2:2" ht="15.6">
      <c r="B7454" s="159"/>
    </row>
    <row r="7455" spans="2:2" ht="15.6">
      <c r="B7455" s="159"/>
    </row>
    <row r="7456" spans="2:2" ht="15.6">
      <c r="B7456" s="159"/>
    </row>
    <row r="7457" spans="2:2" ht="15.6">
      <c r="B7457" s="159"/>
    </row>
    <row r="7458" spans="2:2" ht="15.6">
      <c r="B7458" s="159"/>
    </row>
    <row r="7459" spans="2:2" ht="15.6">
      <c r="B7459" s="159"/>
    </row>
    <row r="7460" spans="2:2" ht="15.6">
      <c r="B7460" s="159"/>
    </row>
    <row r="7461" spans="2:2" ht="15.6">
      <c r="B7461" s="159"/>
    </row>
    <row r="7462" spans="2:2" ht="15.6">
      <c r="B7462" s="159"/>
    </row>
    <row r="7463" spans="2:2" ht="15.6">
      <c r="B7463" s="159"/>
    </row>
    <row r="7464" spans="2:2" ht="15.6">
      <c r="B7464" s="159"/>
    </row>
    <row r="7465" spans="2:2" ht="15.6">
      <c r="B7465" s="159"/>
    </row>
    <row r="7466" spans="2:2" ht="15.6">
      <c r="B7466" s="159"/>
    </row>
    <row r="7467" spans="2:2" ht="15.6">
      <c r="B7467" s="159"/>
    </row>
    <row r="7468" spans="2:2" ht="15.6">
      <c r="B7468" s="159"/>
    </row>
    <row r="7469" spans="2:2" ht="15.6">
      <c r="B7469" s="159"/>
    </row>
    <row r="7470" spans="2:2" ht="15.6">
      <c r="B7470" s="159"/>
    </row>
    <row r="7471" spans="2:2" ht="15.6">
      <c r="B7471" s="159"/>
    </row>
    <row r="7472" spans="2:2" ht="15.6">
      <c r="B7472" s="159"/>
    </row>
    <row r="7473" spans="2:2" ht="15.6">
      <c r="B7473" s="159"/>
    </row>
    <row r="7474" spans="2:2" ht="15.6">
      <c r="B7474" s="159"/>
    </row>
    <row r="7475" spans="2:2" ht="15.6">
      <c r="B7475" s="159"/>
    </row>
    <row r="7476" spans="2:2" ht="15.6">
      <c r="B7476" s="159"/>
    </row>
    <row r="7477" spans="2:2" ht="15.6">
      <c r="B7477" s="159"/>
    </row>
    <row r="7478" spans="2:2" ht="15.6">
      <c r="B7478" s="159"/>
    </row>
    <row r="7479" spans="2:2" ht="15.6">
      <c r="B7479" s="159"/>
    </row>
    <row r="7480" spans="2:2" ht="15.6">
      <c r="B7480" s="159"/>
    </row>
    <row r="7481" spans="2:2" ht="15.6">
      <c r="B7481" s="159"/>
    </row>
    <row r="7482" spans="2:2" ht="15.6">
      <c r="B7482" s="159"/>
    </row>
    <row r="7483" spans="2:2" ht="15.6">
      <c r="B7483" s="159"/>
    </row>
    <row r="7484" spans="2:2" ht="15.6">
      <c r="B7484" s="159"/>
    </row>
    <row r="7485" spans="2:2" ht="15.6">
      <c r="B7485" s="159"/>
    </row>
    <row r="7486" spans="2:2" ht="15.6">
      <c r="B7486" s="159"/>
    </row>
    <row r="7487" spans="2:2" ht="15.6">
      <c r="B7487" s="159"/>
    </row>
    <row r="7488" spans="2:2" ht="15.6">
      <c r="B7488" s="159"/>
    </row>
    <row r="7489" spans="2:2" ht="15.6">
      <c r="B7489" s="159"/>
    </row>
    <row r="7490" spans="2:2" ht="15.6">
      <c r="B7490" s="159"/>
    </row>
    <row r="7491" spans="2:2" ht="15.6">
      <c r="B7491" s="159"/>
    </row>
    <row r="7492" spans="2:2" ht="15.6">
      <c r="B7492" s="159"/>
    </row>
    <row r="7493" spans="2:2" ht="15.6">
      <c r="B7493" s="159"/>
    </row>
    <row r="7494" spans="2:2" ht="15.6">
      <c r="B7494" s="159"/>
    </row>
    <row r="7495" spans="2:2" ht="15.6">
      <c r="B7495" s="159"/>
    </row>
    <row r="7496" spans="2:2" ht="15.6">
      <c r="B7496" s="159"/>
    </row>
    <row r="7497" spans="2:2" ht="15.6">
      <c r="B7497" s="159"/>
    </row>
    <row r="7498" spans="2:2" ht="15.6">
      <c r="B7498" s="159"/>
    </row>
    <row r="7499" spans="2:2" ht="15.6">
      <c r="B7499" s="159"/>
    </row>
    <row r="7500" spans="2:2" ht="15.6">
      <c r="B7500" s="159"/>
    </row>
    <row r="7501" spans="2:2" ht="15.6">
      <c r="B7501" s="159"/>
    </row>
    <row r="7502" spans="2:2" ht="15.6">
      <c r="B7502" s="159"/>
    </row>
    <row r="7503" spans="2:2" ht="15.6">
      <c r="B7503" s="159"/>
    </row>
    <row r="7504" spans="2:2" ht="15.6">
      <c r="B7504" s="159"/>
    </row>
    <row r="7505" spans="2:2" ht="15.6">
      <c r="B7505" s="159"/>
    </row>
    <row r="7506" spans="2:2" ht="15.6">
      <c r="B7506" s="159"/>
    </row>
    <row r="7507" spans="2:2" ht="15.6">
      <c r="B7507" s="159"/>
    </row>
    <row r="7508" spans="2:2" ht="15.6">
      <c r="B7508" s="159"/>
    </row>
    <row r="7509" spans="2:2" ht="15.6">
      <c r="B7509" s="159"/>
    </row>
    <row r="7510" spans="2:2" ht="15.6">
      <c r="B7510" s="159"/>
    </row>
    <row r="7511" spans="2:2" ht="15.6">
      <c r="B7511" s="159"/>
    </row>
    <row r="7512" spans="2:2" ht="15.6">
      <c r="B7512" s="159"/>
    </row>
    <row r="7513" spans="2:2" ht="15.6">
      <c r="B7513" s="159"/>
    </row>
    <row r="7514" spans="2:2" ht="15.6">
      <c r="B7514" s="159"/>
    </row>
    <row r="7515" spans="2:2" ht="15.6">
      <c r="B7515" s="159"/>
    </row>
    <row r="7516" spans="2:2" ht="15.6">
      <c r="B7516" s="159"/>
    </row>
    <row r="7517" spans="2:2" ht="15.6">
      <c r="B7517" s="159"/>
    </row>
    <row r="7518" spans="2:2" ht="15.6">
      <c r="B7518" s="159"/>
    </row>
    <row r="7519" spans="2:2" ht="15.6">
      <c r="B7519" s="159"/>
    </row>
    <row r="7520" spans="2:2" ht="15.6">
      <c r="B7520" s="159"/>
    </row>
    <row r="7521" spans="2:2" ht="15.6">
      <c r="B7521" s="159"/>
    </row>
    <row r="7522" spans="2:2" ht="15.6">
      <c r="B7522" s="159"/>
    </row>
    <row r="7523" spans="2:2" ht="15.6">
      <c r="B7523" s="159"/>
    </row>
    <row r="7524" spans="2:2" ht="15.6">
      <c r="B7524" s="159"/>
    </row>
    <row r="7525" spans="2:2" ht="15.6">
      <c r="B7525" s="159"/>
    </row>
    <row r="7526" spans="2:2" ht="15.6">
      <c r="B7526" s="159"/>
    </row>
    <row r="7527" spans="2:2" ht="15.6">
      <c r="B7527" s="159"/>
    </row>
    <row r="7528" spans="2:2" ht="15.6">
      <c r="B7528" s="159"/>
    </row>
    <row r="7529" spans="2:2" ht="15.6">
      <c r="B7529" s="159"/>
    </row>
    <row r="7530" spans="2:2" ht="15.6">
      <c r="B7530" s="159"/>
    </row>
    <row r="7531" spans="2:2" ht="15.6">
      <c r="B7531" s="159"/>
    </row>
    <row r="7532" spans="2:2" ht="15.6">
      <c r="B7532" s="159"/>
    </row>
    <row r="7533" spans="2:2" ht="15.6">
      <c r="B7533" s="159"/>
    </row>
    <row r="7534" spans="2:2" ht="15.6">
      <c r="B7534" s="159"/>
    </row>
    <row r="7535" spans="2:2" ht="15.6">
      <c r="B7535" s="159"/>
    </row>
    <row r="7536" spans="2:2" ht="15.6">
      <c r="B7536" s="159"/>
    </row>
    <row r="7537" spans="2:2" ht="15.6">
      <c r="B7537" s="159"/>
    </row>
    <row r="7538" spans="2:2" ht="15.6">
      <c r="B7538" s="159"/>
    </row>
    <row r="7539" spans="2:2" ht="15.6">
      <c r="B7539" s="159"/>
    </row>
    <row r="7540" spans="2:2" ht="15.6">
      <c r="B7540" s="159"/>
    </row>
    <row r="7541" spans="2:2" ht="15.6">
      <c r="B7541" s="159"/>
    </row>
    <row r="7542" spans="2:2" ht="15.6">
      <c r="B7542" s="159"/>
    </row>
    <row r="7543" spans="2:2" ht="15.6">
      <c r="B7543" s="159"/>
    </row>
    <row r="7544" spans="2:2" ht="15.6">
      <c r="B7544" s="159"/>
    </row>
    <row r="7545" spans="2:2" ht="15.6">
      <c r="B7545" s="159"/>
    </row>
    <row r="7546" spans="2:2" ht="15.6">
      <c r="B7546" s="159"/>
    </row>
    <row r="7547" spans="2:2" ht="15.6">
      <c r="B7547" s="159"/>
    </row>
    <row r="7548" spans="2:2" ht="15.6">
      <c r="B7548" s="159"/>
    </row>
    <row r="7549" spans="2:2" ht="15.6">
      <c r="B7549" s="159"/>
    </row>
    <row r="7550" spans="2:2" ht="15.6">
      <c r="B7550" s="159"/>
    </row>
    <row r="7551" spans="2:2" ht="15.6">
      <c r="B7551" s="159"/>
    </row>
    <row r="7552" spans="2:2" ht="15.6">
      <c r="B7552" s="159"/>
    </row>
    <row r="7553" spans="2:2" ht="15.6">
      <c r="B7553" s="159"/>
    </row>
    <row r="7554" spans="2:2" ht="15.6">
      <c r="B7554" s="159"/>
    </row>
    <row r="7555" spans="2:2" ht="15.6">
      <c r="B7555" s="159"/>
    </row>
    <row r="7556" spans="2:2" ht="15.6">
      <c r="B7556" s="159"/>
    </row>
    <row r="7557" spans="2:2" ht="15.6">
      <c r="B7557" s="159"/>
    </row>
    <row r="7558" spans="2:2" ht="15.6">
      <c r="B7558" s="159"/>
    </row>
    <row r="7559" spans="2:2" ht="15.6">
      <c r="B7559" s="159"/>
    </row>
    <row r="7560" spans="2:2" ht="15.6">
      <c r="B7560" s="159"/>
    </row>
    <row r="7561" spans="2:2" ht="15.6">
      <c r="B7561" s="159"/>
    </row>
    <row r="7562" spans="2:2" ht="15.6">
      <c r="B7562" s="159"/>
    </row>
    <row r="7563" spans="2:2" ht="15.6">
      <c r="B7563" s="159"/>
    </row>
    <row r="7564" spans="2:2" ht="15.6">
      <c r="B7564" s="159"/>
    </row>
    <row r="7565" spans="2:2" ht="15.6">
      <c r="B7565" s="159"/>
    </row>
    <row r="7566" spans="2:2" ht="15.6">
      <c r="B7566" s="159"/>
    </row>
    <row r="7567" spans="2:2" ht="15.6">
      <c r="B7567" s="159"/>
    </row>
    <row r="7568" spans="2:2" ht="15.6">
      <c r="B7568" s="159"/>
    </row>
    <row r="7569" spans="2:2" ht="15.6">
      <c r="B7569" s="159"/>
    </row>
    <row r="7570" spans="2:2" ht="15.6">
      <c r="B7570" s="159"/>
    </row>
    <row r="7571" spans="2:2" ht="15.6">
      <c r="B7571" s="159"/>
    </row>
    <row r="7572" spans="2:2" ht="15.6">
      <c r="B7572" s="159"/>
    </row>
    <row r="7573" spans="2:2" ht="15.6">
      <c r="B7573" s="159"/>
    </row>
    <row r="7574" spans="2:2" ht="15.6">
      <c r="B7574" s="159"/>
    </row>
    <row r="7575" spans="2:2" ht="15.6">
      <c r="B7575" s="159"/>
    </row>
    <row r="7576" spans="2:2" ht="15.6">
      <c r="B7576" s="159"/>
    </row>
    <row r="7577" spans="2:2" ht="15.6">
      <c r="B7577" s="159"/>
    </row>
    <row r="7578" spans="2:2" ht="15.6">
      <c r="B7578" s="159"/>
    </row>
    <row r="7579" spans="2:2" ht="15.6">
      <c r="B7579" s="159"/>
    </row>
    <row r="7580" spans="2:2" ht="15.6">
      <c r="B7580" s="159"/>
    </row>
    <row r="7581" spans="2:2" ht="15.6">
      <c r="B7581" s="159"/>
    </row>
    <row r="7582" spans="2:2" ht="15.6">
      <c r="B7582" s="159"/>
    </row>
    <row r="7583" spans="2:2" ht="15.6">
      <c r="B7583" s="159"/>
    </row>
    <row r="7584" spans="2:2" ht="15.6">
      <c r="B7584" s="159"/>
    </row>
    <row r="7585" spans="2:2" ht="15.6">
      <c r="B7585" s="159"/>
    </row>
    <row r="7586" spans="2:2" ht="15.6">
      <c r="B7586" s="159"/>
    </row>
    <row r="7587" spans="2:2" ht="15.6">
      <c r="B7587" s="159"/>
    </row>
    <row r="7588" spans="2:2" ht="15.6">
      <c r="B7588" s="159"/>
    </row>
    <row r="7589" spans="2:2" ht="15.6">
      <c r="B7589" s="159"/>
    </row>
    <row r="7590" spans="2:2" ht="15.6">
      <c r="B7590" s="159"/>
    </row>
    <row r="7591" spans="2:2" ht="15.6">
      <c r="B7591" s="159"/>
    </row>
    <row r="7592" spans="2:2" ht="15.6">
      <c r="B7592" s="159"/>
    </row>
    <row r="7593" spans="2:2" ht="15.6">
      <c r="B7593" s="159"/>
    </row>
    <row r="7594" spans="2:2" ht="15.6">
      <c r="B7594" s="159"/>
    </row>
    <row r="7595" spans="2:2" ht="15.6">
      <c r="B7595" s="159"/>
    </row>
    <row r="7596" spans="2:2" ht="15.6">
      <c r="B7596" s="159"/>
    </row>
    <row r="7597" spans="2:2" ht="15.6">
      <c r="B7597" s="159"/>
    </row>
    <row r="7598" spans="2:2" ht="15.6">
      <c r="B7598" s="159"/>
    </row>
    <row r="7599" spans="2:2" ht="15.6">
      <c r="B7599" s="159"/>
    </row>
    <row r="7600" spans="2:2" ht="15.6">
      <c r="B7600" s="159"/>
    </row>
    <row r="7601" spans="2:2" ht="15.6">
      <c r="B7601" s="159"/>
    </row>
    <row r="7602" spans="2:2" ht="15.6">
      <c r="B7602" s="159"/>
    </row>
    <row r="7603" spans="2:2" ht="15.6">
      <c r="B7603" s="159"/>
    </row>
    <row r="7604" spans="2:2" ht="15.6">
      <c r="B7604" s="159"/>
    </row>
    <row r="7605" spans="2:2" ht="15.6">
      <c r="B7605" s="159"/>
    </row>
    <row r="7606" spans="2:2" ht="15.6">
      <c r="B7606" s="159"/>
    </row>
    <row r="7607" spans="2:2" ht="15.6">
      <c r="B7607" s="159"/>
    </row>
    <row r="7608" spans="2:2" ht="15.6">
      <c r="B7608" s="159"/>
    </row>
    <row r="7609" spans="2:2" ht="15.6">
      <c r="B7609" s="159"/>
    </row>
    <row r="7610" spans="2:2" ht="15.6">
      <c r="B7610" s="159"/>
    </row>
    <row r="7611" spans="2:2" ht="15.6">
      <c r="B7611" s="159"/>
    </row>
    <row r="7612" spans="2:2" ht="15.6">
      <c r="B7612" s="159"/>
    </row>
    <row r="7613" spans="2:2" ht="15.6">
      <c r="B7613" s="159"/>
    </row>
    <row r="7614" spans="2:2" ht="15.6">
      <c r="B7614" s="159"/>
    </row>
    <row r="7615" spans="2:2" ht="15.6">
      <c r="B7615" s="159"/>
    </row>
    <row r="7616" spans="2:2" ht="15.6">
      <c r="B7616" s="159"/>
    </row>
    <row r="7617" spans="2:2" ht="15.6">
      <c r="B7617" s="159"/>
    </row>
    <row r="7618" spans="2:2" ht="15.6">
      <c r="B7618" s="159"/>
    </row>
    <row r="7619" spans="2:2" ht="15.6">
      <c r="B7619" s="159"/>
    </row>
    <row r="7620" spans="2:2" ht="15.6">
      <c r="B7620" s="159"/>
    </row>
    <row r="7621" spans="2:2" ht="15.6">
      <c r="B7621" s="159"/>
    </row>
    <row r="7622" spans="2:2" ht="15.6">
      <c r="B7622" s="159"/>
    </row>
    <row r="7623" spans="2:2" ht="15.6">
      <c r="B7623" s="159"/>
    </row>
    <row r="7624" spans="2:2" ht="15.6">
      <c r="B7624" s="159"/>
    </row>
    <row r="7625" spans="2:2" ht="15.6">
      <c r="B7625" s="159"/>
    </row>
    <row r="7626" spans="2:2" ht="15.6">
      <c r="B7626" s="159"/>
    </row>
    <row r="7627" spans="2:2" ht="15.6">
      <c r="B7627" s="159"/>
    </row>
    <row r="7628" spans="2:2" ht="15.6">
      <c r="B7628" s="159"/>
    </row>
    <row r="7629" spans="2:2" ht="15.6">
      <c r="B7629" s="159"/>
    </row>
    <row r="7630" spans="2:2" ht="15.6">
      <c r="B7630" s="159"/>
    </row>
    <row r="7631" spans="2:2" ht="15.6">
      <c r="B7631" s="159"/>
    </row>
    <row r="7632" spans="2:2" ht="15.6">
      <c r="B7632" s="159"/>
    </row>
    <row r="7633" spans="2:2" ht="15.6">
      <c r="B7633" s="159"/>
    </row>
    <row r="7634" spans="2:2" ht="15.6">
      <c r="B7634" s="159"/>
    </row>
    <row r="7635" spans="2:2" ht="15.6">
      <c r="B7635" s="159"/>
    </row>
    <row r="7636" spans="2:2" ht="15.6">
      <c r="B7636" s="159"/>
    </row>
    <row r="7637" spans="2:2" ht="15.6">
      <c r="B7637" s="159"/>
    </row>
    <row r="7638" spans="2:2" ht="15.6">
      <c r="B7638" s="159"/>
    </row>
    <row r="7639" spans="2:2" ht="15.6">
      <c r="B7639" s="159"/>
    </row>
    <row r="7640" spans="2:2" ht="15.6">
      <c r="B7640" s="159"/>
    </row>
    <row r="7641" spans="2:2" ht="15.6">
      <c r="B7641" s="159"/>
    </row>
    <row r="7642" spans="2:2" ht="15.6">
      <c r="B7642" s="159"/>
    </row>
    <row r="7643" spans="2:2" ht="15.6">
      <c r="B7643" s="159"/>
    </row>
    <row r="7644" spans="2:2" ht="15.6">
      <c r="B7644" s="159"/>
    </row>
    <row r="7645" spans="2:2" ht="15.6">
      <c r="B7645" s="159"/>
    </row>
    <row r="7646" spans="2:2" ht="15.6">
      <c r="B7646" s="159"/>
    </row>
    <row r="7647" spans="2:2" ht="15.6">
      <c r="B7647" s="159"/>
    </row>
    <row r="7648" spans="2:2" ht="15.6">
      <c r="B7648" s="159"/>
    </row>
    <row r="7649" spans="2:2" ht="15.6">
      <c r="B7649" s="159"/>
    </row>
    <row r="7650" spans="2:2" ht="15.6">
      <c r="B7650" s="159"/>
    </row>
    <row r="7651" spans="2:2" ht="15.6">
      <c r="B7651" s="159"/>
    </row>
    <row r="7652" spans="2:2" ht="15.6">
      <c r="B7652" s="159"/>
    </row>
    <row r="7653" spans="2:2" ht="15.6">
      <c r="B7653" s="159"/>
    </row>
    <row r="7654" spans="2:2" ht="15.6">
      <c r="B7654" s="159"/>
    </row>
    <row r="7655" spans="2:2" ht="15.6">
      <c r="B7655" s="159"/>
    </row>
    <row r="7656" spans="2:2" ht="15.6">
      <c r="B7656" s="159"/>
    </row>
    <row r="7657" spans="2:2" ht="15.6">
      <c r="B7657" s="159"/>
    </row>
    <row r="7658" spans="2:2" ht="15.6">
      <c r="B7658" s="159"/>
    </row>
    <row r="7659" spans="2:2" ht="15.6">
      <c r="B7659" s="159"/>
    </row>
    <row r="7660" spans="2:2" ht="15.6">
      <c r="B7660" s="159"/>
    </row>
    <row r="7661" spans="2:2" ht="15.6">
      <c r="B7661" s="159"/>
    </row>
    <row r="7662" spans="2:2" ht="15.6">
      <c r="B7662" s="159"/>
    </row>
    <row r="7663" spans="2:2" ht="15.6">
      <c r="B7663" s="159"/>
    </row>
    <row r="7664" spans="2:2" ht="15.6">
      <c r="B7664" s="159"/>
    </row>
    <row r="7665" spans="2:2" ht="15.6">
      <c r="B7665" s="159"/>
    </row>
    <row r="7666" spans="2:2" ht="15.6">
      <c r="B7666" s="159"/>
    </row>
    <row r="7667" spans="2:2" ht="15.6">
      <c r="B7667" s="159"/>
    </row>
    <row r="7668" spans="2:2" ht="15.6">
      <c r="B7668" s="159"/>
    </row>
    <row r="7669" spans="2:2" ht="15.6">
      <c r="B7669" s="159"/>
    </row>
    <row r="7670" spans="2:2" ht="15.6">
      <c r="B7670" s="159"/>
    </row>
    <row r="7671" spans="2:2" ht="15.6">
      <c r="B7671" s="159"/>
    </row>
    <row r="7672" spans="2:2" ht="15.6">
      <c r="B7672" s="159"/>
    </row>
    <row r="7673" spans="2:2" ht="15.6">
      <c r="B7673" s="159"/>
    </row>
    <row r="7674" spans="2:2" ht="15.6">
      <c r="B7674" s="159"/>
    </row>
    <row r="7675" spans="2:2" ht="15.6">
      <c r="B7675" s="159"/>
    </row>
    <row r="7676" spans="2:2" ht="15.6">
      <c r="B7676" s="159"/>
    </row>
    <row r="7677" spans="2:2" ht="15.6">
      <c r="B7677" s="159"/>
    </row>
    <row r="7678" spans="2:2" ht="15.6">
      <c r="B7678" s="159"/>
    </row>
    <row r="7679" spans="2:2" ht="15.6">
      <c r="B7679" s="159"/>
    </row>
    <row r="7680" spans="2:2" ht="15.6">
      <c r="B7680" s="159"/>
    </row>
    <row r="7681" spans="2:2" ht="15.6">
      <c r="B7681" s="159"/>
    </row>
    <row r="7682" spans="2:2" ht="15.6">
      <c r="B7682" s="159"/>
    </row>
    <row r="7683" spans="2:2" ht="15.6">
      <c r="B7683" s="159"/>
    </row>
    <row r="7684" spans="2:2" ht="15.6">
      <c r="B7684" s="159"/>
    </row>
    <row r="7685" spans="2:2" ht="15.6">
      <c r="B7685" s="159"/>
    </row>
    <row r="7686" spans="2:2" ht="15.6">
      <c r="B7686" s="159"/>
    </row>
    <row r="7687" spans="2:2" ht="15.6">
      <c r="B7687" s="159"/>
    </row>
    <row r="7688" spans="2:2" ht="15.6">
      <c r="B7688" s="159"/>
    </row>
    <row r="7689" spans="2:2" ht="15.6">
      <c r="B7689" s="159"/>
    </row>
    <row r="7690" spans="2:2" ht="15.6">
      <c r="B7690" s="159"/>
    </row>
    <row r="7691" spans="2:2" ht="15.6">
      <c r="B7691" s="159"/>
    </row>
    <row r="7692" spans="2:2" ht="15.6">
      <c r="B7692" s="159"/>
    </row>
    <row r="7693" spans="2:2" ht="15.6">
      <c r="B7693" s="159"/>
    </row>
    <row r="7694" spans="2:2" ht="15.6">
      <c r="B7694" s="159"/>
    </row>
    <row r="7695" spans="2:2" ht="15.6">
      <c r="B7695" s="159"/>
    </row>
    <row r="7696" spans="2:2" ht="15.6">
      <c r="B7696" s="159"/>
    </row>
    <row r="7697" spans="2:2" ht="15.6">
      <c r="B7697" s="159"/>
    </row>
    <row r="7698" spans="2:2" ht="15.6">
      <c r="B7698" s="159"/>
    </row>
    <row r="7699" spans="2:2" ht="15.6">
      <c r="B7699" s="159"/>
    </row>
    <row r="7700" spans="2:2" ht="15.6">
      <c r="B7700" s="159"/>
    </row>
    <row r="7701" spans="2:2" ht="15.6">
      <c r="B7701" s="159"/>
    </row>
    <row r="7702" spans="2:2" ht="15.6">
      <c r="B7702" s="159"/>
    </row>
    <row r="7703" spans="2:2" ht="15.6">
      <c r="B7703" s="159"/>
    </row>
    <row r="7704" spans="2:2" ht="15.6">
      <c r="B7704" s="159"/>
    </row>
    <row r="7705" spans="2:2" ht="15.6">
      <c r="B7705" s="159"/>
    </row>
    <row r="7706" spans="2:2" ht="15.6">
      <c r="B7706" s="159"/>
    </row>
    <row r="7707" spans="2:2" ht="15.6">
      <c r="B7707" s="159"/>
    </row>
    <row r="7708" spans="2:2" ht="15.6">
      <c r="B7708" s="159"/>
    </row>
    <row r="7709" spans="2:2" ht="15.6">
      <c r="B7709" s="159"/>
    </row>
    <row r="7710" spans="2:2" ht="15.6">
      <c r="B7710" s="159"/>
    </row>
    <row r="7711" spans="2:2" ht="15.6">
      <c r="B7711" s="159"/>
    </row>
    <row r="7712" spans="2:2" ht="15.6">
      <c r="B7712" s="159"/>
    </row>
    <row r="7713" spans="2:2" ht="15.6">
      <c r="B7713" s="159"/>
    </row>
    <row r="7714" spans="2:2" ht="15.6">
      <c r="B7714" s="159"/>
    </row>
    <row r="7715" spans="2:2" ht="15.6">
      <c r="B7715" s="159"/>
    </row>
    <row r="7716" spans="2:2" ht="15.6">
      <c r="B7716" s="159"/>
    </row>
    <row r="7717" spans="2:2" ht="15.6">
      <c r="B7717" s="159"/>
    </row>
    <row r="7718" spans="2:2" ht="15.6">
      <c r="B7718" s="159"/>
    </row>
    <row r="7719" spans="2:2" ht="15.6">
      <c r="B7719" s="159"/>
    </row>
    <row r="7720" spans="2:2" ht="15.6">
      <c r="B7720" s="159"/>
    </row>
    <row r="7721" spans="2:2" ht="15.6">
      <c r="B7721" s="159"/>
    </row>
    <row r="7722" spans="2:2" ht="15.6">
      <c r="B7722" s="159"/>
    </row>
    <row r="7723" spans="2:2" ht="15.6">
      <c r="B7723" s="159"/>
    </row>
    <row r="7724" spans="2:2" ht="15.6">
      <c r="B7724" s="159"/>
    </row>
    <row r="7725" spans="2:2" ht="15.6">
      <c r="B7725" s="159"/>
    </row>
    <row r="7726" spans="2:2" ht="15.6">
      <c r="B7726" s="159"/>
    </row>
    <row r="7727" spans="2:2" ht="15.6">
      <c r="B7727" s="159"/>
    </row>
    <row r="7728" spans="2:2" ht="15.6">
      <c r="B7728" s="159"/>
    </row>
    <row r="7729" spans="2:2" ht="15.6">
      <c r="B7729" s="159"/>
    </row>
    <row r="7730" spans="2:2" ht="15.6">
      <c r="B7730" s="159"/>
    </row>
    <row r="7731" spans="2:2" ht="15.6">
      <c r="B7731" s="159"/>
    </row>
    <row r="7732" spans="2:2" ht="15.6">
      <c r="B7732" s="159"/>
    </row>
    <row r="7733" spans="2:2" ht="15.6">
      <c r="B7733" s="159"/>
    </row>
    <row r="7734" spans="2:2" ht="15.6">
      <c r="B7734" s="159"/>
    </row>
    <row r="7735" spans="2:2" ht="15.6">
      <c r="B7735" s="159"/>
    </row>
    <row r="7736" spans="2:2" ht="15.6">
      <c r="B7736" s="159"/>
    </row>
    <row r="7737" spans="2:2" ht="15.6">
      <c r="B7737" s="159"/>
    </row>
    <row r="7738" spans="2:2" ht="15.6">
      <c r="B7738" s="159"/>
    </row>
    <row r="7739" spans="2:2" ht="15.6">
      <c r="B7739" s="159"/>
    </row>
    <row r="7740" spans="2:2" ht="15.6">
      <c r="B7740" s="159"/>
    </row>
    <row r="7741" spans="2:2" ht="15.6">
      <c r="B7741" s="159"/>
    </row>
    <row r="7742" spans="2:2" ht="15.6">
      <c r="B7742" s="159"/>
    </row>
    <row r="7743" spans="2:2" ht="15.6">
      <c r="B7743" s="159"/>
    </row>
    <row r="7744" spans="2:2" ht="15.6">
      <c r="B7744" s="159"/>
    </row>
    <row r="7745" spans="2:2" ht="15.6">
      <c r="B7745" s="159"/>
    </row>
    <row r="7746" spans="2:2" ht="15.6">
      <c r="B7746" s="159"/>
    </row>
    <row r="7747" spans="2:2" ht="15.6">
      <c r="B7747" s="159"/>
    </row>
    <row r="7748" spans="2:2" ht="15.6">
      <c r="B7748" s="159"/>
    </row>
    <row r="7749" spans="2:2" ht="15.6">
      <c r="B7749" s="159"/>
    </row>
    <row r="7750" spans="2:2" ht="15.6">
      <c r="B7750" s="159"/>
    </row>
    <row r="7751" spans="2:2" ht="15.6">
      <c r="B7751" s="159"/>
    </row>
    <row r="7752" spans="2:2" ht="15.6">
      <c r="B7752" s="159"/>
    </row>
    <row r="7753" spans="2:2" ht="15.6">
      <c r="B7753" s="159"/>
    </row>
    <row r="7754" spans="2:2" ht="15.6">
      <c r="B7754" s="159"/>
    </row>
    <row r="7755" spans="2:2" ht="15.6">
      <c r="B7755" s="159"/>
    </row>
    <row r="7756" spans="2:2" ht="15.6">
      <c r="B7756" s="159"/>
    </row>
    <row r="7757" spans="2:2" ht="15.6">
      <c r="B7757" s="159"/>
    </row>
    <row r="7758" spans="2:2" ht="15.6">
      <c r="B7758" s="159"/>
    </row>
    <row r="7759" spans="2:2" ht="15.6">
      <c r="B7759" s="159"/>
    </row>
    <row r="7760" spans="2:2" ht="15.6">
      <c r="B7760" s="159"/>
    </row>
    <row r="7761" spans="2:2" ht="15.6">
      <c r="B7761" s="159"/>
    </row>
    <row r="7762" spans="2:2" ht="15.6">
      <c r="B7762" s="159"/>
    </row>
    <row r="7763" spans="2:2" ht="15.6">
      <c r="B7763" s="159"/>
    </row>
    <row r="7764" spans="2:2" ht="15.6">
      <c r="B7764" s="159"/>
    </row>
    <row r="7765" spans="2:2" ht="15.6">
      <c r="B7765" s="159"/>
    </row>
    <row r="7766" spans="2:2" ht="15.6">
      <c r="B7766" s="159"/>
    </row>
    <row r="7767" spans="2:2" ht="15.6">
      <c r="B7767" s="159"/>
    </row>
    <row r="7768" spans="2:2" ht="15.6">
      <c r="B7768" s="159"/>
    </row>
    <row r="7769" spans="2:2" ht="15.6">
      <c r="B7769" s="159"/>
    </row>
    <row r="7770" spans="2:2" ht="15.6">
      <c r="B7770" s="159"/>
    </row>
    <row r="7771" spans="2:2" ht="15.6">
      <c r="B7771" s="159"/>
    </row>
    <row r="7772" spans="2:2" ht="15.6">
      <c r="B7772" s="159"/>
    </row>
    <row r="7773" spans="2:2" ht="15.6">
      <c r="B7773" s="159"/>
    </row>
    <row r="7774" spans="2:2" ht="15.6">
      <c r="B7774" s="159"/>
    </row>
    <row r="7775" spans="2:2" ht="15.6">
      <c r="B7775" s="159"/>
    </row>
    <row r="7776" spans="2:2" ht="15.6">
      <c r="B7776" s="159"/>
    </row>
    <row r="7777" spans="2:2" ht="15.6">
      <c r="B7777" s="159"/>
    </row>
    <row r="7778" spans="2:2" ht="15.6">
      <c r="B7778" s="159"/>
    </row>
    <row r="7779" spans="2:2" ht="15.6">
      <c r="B7779" s="159"/>
    </row>
    <row r="7780" spans="2:2" ht="15.6">
      <c r="B7780" s="159"/>
    </row>
    <row r="7781" spans="2:2" ht="15.6">
      <c r="B7781" s="159"/>
    </row>
    <row r="7782" spans="2:2" ht="15.6">
      <c r="B7782" s="159"/>
    </row>
    <row r="7783" spans="2:2" ht="15.6">
      <c r="B7783" s="159"/>
    </row>
    <row r="7784" spans="2:2" ht="15.6">
      <c r="B7784" s="159"/>
    </row>
    <row r="7785" spans="2:2" ht="15.6">
      <c r="B7785" s="159"/>
    </row>
    <row r="7786" spans="2:2" ht="15.6">
      <c r="B7786" s="159"/>
    </row>
    <row r="7787" spans="2:2" ht="15.6">
      <c r="B7787" s="159"/>
    </row>
    <row r="7788" spans="2:2" ht="15.6">
      <c r="B7788" s="159"/>
    </row>
    <row r="7789" spans="2:2" ht="15.6">
      <c r="B7789" s="159"/>
    </row>
    <row r="7790" spans="2:2" ht="15.6">
      <c r="B7790" s="159"/>
    </row>
    <row r="7791" spans="2:2" ht="15.6">
      <c r="B7791" s="159"/>
    </row>
    <row r="7792" spans="2:2" ht="15.6">
      <c r="B7792" s="159"/>
    </row>
    <row r="7793" spans="2:2" ht="15.6">
      <c r="B7793" s="159"/>
    </row>
    <row r="7794" spans="2:2" ht="15.6">
      <c r="B7794" s="159"/>
    </row>
    <row r="7795" spans="2:2" ht="15.6">
      <c r="B7795" s="159"/>
    </row>
    <row r="7796" spans="2:2" ht="15.6">
      <c r="B7796" s="159"/>
    </row>
    <row r="7797" spans="2:2" ht="15.6">
      <c r="B7797" s="159"/>
    </row>
    <row r="7798" spans="2:2" ht="15.6">
      <c r="B7798" s="159"/>
    </row>
    <row r="7799" spans="2:2" ht="15.6">
      <c r="B7799" s="159"/>
    </row>
    <row r="7800" spans="2:2" ht="15.6">
      <c r="B7800" s="159"/>
    </row>
    <row r="7801" spans="2:2" ht="15.6">
      <c r="B7801" s="159"/>
    </row>
    <row r="7802" spans="2:2" ht="15.6">
      <c r="B7802" s="159"/>
    </row>
    <row r="7803" spans="2:2" ht="15.6">
      <c r="B7803" s="159"/>
    </row>
    <row r="7804" spans="2:2" ht="15.6">
      <c r="B7804" s="159"/>
    </row>
    <row r="7805" spans="2:2" ht="15.6">
      <c r="B7805" s="159"/>
    </row>
    <row r="7806" spans="2:2" ht="15.6">
      <c r="B7806" s="159"/>
    </row>
    <row r="7807" spans="2:2" ht="15.6">
      <c r="B7807" s="159"/>
    </row>
    <row r="7808" spans="2:2" ht="15.6">
      <c r="B7808" s="159"/>
    </row>
    <row r="7809" spans="2:2" ht="15.6">
      <c r="B7809" s="159"/>
    </row>
    <row r="7810" spans="2:2" ht="15.6">
      <c r="B7810" s="159"/>
    </row>
    <row r="7811" spans="2:2" ht="15.6">
      <c r="B7811" s="159"/>
    </row>
    <row r="7812" spans="2:2" ht="15.6">
      <c r="B7812" s="159"/>
    </row>
    <row r="7813" spans="2:2" ht="15.6">
      <c r="B7813" s="159"/>
    </row>
    <row r="7814" spans="2:2" ht="15.6">
      <c r="B7814" s="159"/>
    </row>
    <row r="7815" spans="2:2" ht="15.6">
      <c r="B7815" s="159"/>
    </row>
    <row r="7816" spans="2:2" ht="15.6">
      <c r="B7816" s="159"/>
    </row>
    <row r="7817" spans="2:2" ht="15.6">
      <c r="B7817" s="159"/>
    </row>
    <row r="7818" spans="2:2" ht="15.6">
      <c r="B7818" s="159"/>
    </row>
    <row r="7819" spans="2:2" ht="15.6">
      <c r="B7819" s="159"/>
    </row>
    <row r="7820" spans="2:2" ht="15.6">
      <c r="B7820" s="159"/>
    </row>
    <row r="7821" spans="2:2" ht="15.6">
      <c r="B7821" s="159"/>
    </row>
    <row r="7822" spans="2:2" ht="15.6">
      <c r="B7822" s="159"/>
    </row>
    <row r="7823" spans="2:2" ht="15.6">
      <c r="B7823" s="159"/>
    </row>
    <row r="7824" spans="2:2" ht="15.6">
      <c r="B7824" s="159"/>
    </row>
    <row r="7825" spans="2:2" ht="15.6">
      <c r="B7825" s="159"/>
    </row>
    <row r="7826" spans="2:2" ht="15.6">
      <c r="B7826" s="159"/>
    </row>
    <row r="7827" spans="2:2" ht="15.6">
      <c r="B7827" s="159"/>
    </row>
    <row r="7828" spans="2:2" ht="15.6">
      <c r="B7828" s="159"/>
    </row>
    <row r="7829" spans="2:2" ht="15.6">
      <c r="B7829" s="159"/>
    </row>
    <row r="7830" spans="2:2" ht="15.6">
      <c r="B7830" s="159"/>
    </row>
    <row r="7831" spans="2:2" ht="15.6">
      <c r="B7831" s="159"/>
    </row>
    <row r="7832" spans="2:2" ht="15.6">
      <c r="B7832" s="159"/>
    </row>
    <row r="7833" spans="2:2" ht="15.6">
      <c r="B7833" s="159"/>
    </row>
    <row r="7834" spans="2:2" ht="15.6">
      <c r="B7834" s="159"/>
    </row>
    <row r="7835" spans="2:2" ht="15.6">
      <c r="B7835" s="159"/>
    </row>
    <row r="7836" spans="2:2" ht="15.6">
      <c r="B7836" s="159"/>
    </row>
    <row r="7837" spans="2:2" ht="15.6">
      <c r="B7837" s="159"/>
    </row>
    <row r="7838" spans="2:2" ht="15.6">
      <c r="B7838" s="159"/>
    </row>
    <row r="7839" spans="2:2" ht="15.6">
      <c r="B7839" s="159"/>
    </row>
    <row r="7840" spans="2:2" ht="15.6">
      <c r="B7840" s="159"/>
    </row>
    <row r="7841" spans="2:2" ht="15.6">
      <c r="B7841" s="159"/>
    </row>
    <row r="7842" spans="2:2" ht="15.6">
      <c r="B7842" s="159"/>
    </row>
    <row r="7843" spans="2:2" ht="15.6">
      <c r="B7843" s="159"/>
    </row>
    <row r="7844" spans="2:2" ht="15.6">
      <c r="B7844" s="159"/>
    </row>
    <row r="7845" spans="2:2" ht="15.6">
      <c r="B7845" s="159"/>
    </row>
    <row r="7846" spans="2:2" ht="15.6">
      <c r="B7846" s="159"/>
    </row>
    <row r="7847" spans="2:2" ht="15.6">
      <c r="B7847" s="159"/>
    </row>
    <row r="7848" spans="2:2" ht="15.6">
      <c r="B7848" s="159"/>
    </row>
    <row r="7849" spans="2:2" ht="15.6">
      <c r="B7849" s="159"/>
    </row>
    <row r="7850" spans="2:2" ht="15.6">
      <c r="B7850" s="159"/>
    </row>
    <row r="7851" spans="2:2" ht="15.6">
      <c r="B7851" s="159"/>
    </row>
    <row r="7852" spans="2:2" ht="15.6">
      <c r="B7852" s="159"/>
    </row>
    <row r="7853" spans="2:2" ht="15.6">
      <c r="B7853" s="159"/>
    </row>
    <row r="7854" spans="2:2" ht="15.6">
      <c r="B7854" s="159"/>
    </row>
    <row r="7855" spans="2:2" ht="15.6">
      <c r="B7855" s="159"/>
    </row>
    <row r="7856" spans="2:2" ht="15.6">
      <c r="B7856" s="159"/>
    </row>
    <row r="7857" spans="2:2" ht="15.6">
      <c r="B7857" s="159"/>
    </row>
    <row r="7858" spans="2:2" ht="15.6">
      <c r="B7858" s="159"/>
    </row>
    <row r="7859" spans="2:2" ht="15.6">
      <c r="B7859" s="159"/>
    </row>
    <row r="7860" spans="2:2" ht="15.6">
      <c r="B7860" s="159"/>
    </row>
    <row r="7861" spans="2:2" ht="15.6">
      <c r="B7861" s="159"/>
    </row>
    <row r="7862" spans="2:2" ht="15.6">
      <c r="B7862" s="159"/>
    </row>
    <row r="7863" spans="2:2" ht="15.6">
      <c r="B7863" s="159"/>
    </row>
    <row r="7864" spans="2:2" ht="15.6">
      <c r="B7864" s="159"/>
    </row>
    <row r="7865" spans="2:2" ht="15.6">
      <c r="B7865" s="159"/>
    </row>
    <row r="7866" spans="2:2" ht="15.6">
      <c r="B7866" s="159"/>
    </row>
    <row r="7867" spans="2:2" ht="15.6">
      <c r="B7867" s="159"/>
    </row>
    <row r="7868" spans="2:2" ht="15.6">
      <c r="B7868" s="159"/>
    </row>
    <row r="7869" spans="2:2" ht="15.6">
      <c r="B7869" s="159"/>
    </row>
    <row r="7870" spans="2:2" ht="15.6">
      <c r="B7870" s="159"/>
    </row>
    <row r="7871" spans="2:2" ht="15.6">
      <c r="B7871" s="159"/>
    </row>
    <row r="7872" spans="2:2" ht="15.6">
      <c r="B7872" s="159"/>
    </row>
    <row r="7873" spans="2:2" ht="15.6">
      <c r="B7873" s="159"/>
    </row>
    <row r="7874" spans="2:2" ht="15.6">
      <c r="B7874" s="159"/>
    </row>
    <row r="7875" spans="2:2" ht="15.6">
      <c r="B7875" s="159"/>
    </row>
    <row r="7876" spans="2:2" ht="15.6">
      <c r="B7876" s="159"/>
    </row>
    <row r="7877" spans="2:2" ht="15.6">
      <c r="B7877" s="159"/>
    </row>
    <row r="7878" spans="2:2" ht="15.6">
      <c r="B7878" s="159"/>
    </row>
    <row r="7879" spans="2:2" ht="15.6">
      <c r="B7879" s="159"/>
    </row>
    <row r="7880" spans="2:2" ht="15.6">
      <c r="B7880" s="159"/>
    </row>
    <row r="7881" spans="2:2" ht="15.6">
      <c r="B7881" s="159"/>
    </row>
    <row r="7882" spans="2:2" ht="15.6">
      <c r="B7882" s="159"/>
    </row>
    <row r="7883" spans="2:2" ht="15.6">
      <c r="B7883" s="159"/>
    </row>
    <row r="7884" spans="2:2" ht="15.6">
      <c r="B7884" s="159"/>
    </row>
    <row r="7885" spans="2:2" ht="15.6">
      <c r="B7885" s="159"/>
    </row>
    <row r="7886" spans="2:2" ht="15.6">
      <c r="B7886" s="159"/>
    </row>
    <row r="7887" spans="2:2" ht="15.6">
      <c r="B7887" s="159"/>
    </row>
    <row r="7888" spans="2:2" ht="15.6">
      <c r="B7888" s="159"/>
    </row>
    <row r="7889" spans="2:2" ht="15.6">
      <c r="B7889" s="159"/>
    </row>
    <row r="7890" spans="2:2" ht="15.6">
      <c r="B7890" s="159"/>
    </row>
    <row r="7891" spans="2:2" ht="15.6">
      <c r="B7891" s="159"/>
    </row>
    <row r="7892" spans="2:2" ht="15.6">
      <c r="B7892" s="159"/>
    </row>
    <row r="7893" spans="2:2" ht="15.6">
      <c r="B7893" s="159"/>
    </row>
    <row r="7894" spans="2:2" ht="15.6">
      <c r="B7894" s="159"/>
    </row>
    <row r="7895" spans="2:2" ht="15.6">
      <c r="B7895" s="159"/>
    </row>
    <row r="7896" spans="2:2" ht="15.6">
      <c r="B7896" s="159"/>
    </row>
    <row r="7897" spans="2:2" ht="15.6">
      <c r="B7897" s="159"/>
    </row>
    <row r="7898" spans="2:2" ht="15.6">
      <c r="B7898" s="159"/>
    </row>
    <row r="7899" spans="2:2" ht="15.6">
      <c r="B7899" s="159"/>
    </row>
    <row r="7900" spans="2:2" ht="15.6">
      <c r="B7900" s="159"/>
    </row>
    <row r="7901" spans="2:2" ht="15.6">
      <c r="B7901" s="159"/>
    </row>
    <row r="7902" spans="2:2" ht="15.6">
      <c r="B7902" s="159"/>
    </row>
    <row r="7903" spans="2:2" ht="15.6">
      <c r="B7903" s="159"/>
    </row>
    <row r="7904" spans="2:2" ht="15.6">
      <c r="B7904" s="159"/>
    </row>
    <row r="7905" spans="2:2" ht="15.6">
      <c r="B7905" s="159"/>
    </row>
    <row r="7906" spans="2:2" ht="15.6">
      <c r="B7906" s="159"/>
    </row>
    <row r="7907" spans="2:2" ht="15.6">
      <c r="B7907" s="159"/>
    </row>
    <row r="7908" spans="2:2" ht="15.6">
      <c r="B7908" s="159"/>
    </row>
    <row r="7909" spans="2:2" ht="15.6">
      <c r="B7909" s="159"/>
    </row>
    <row r="7910" spans="2:2" ht="15.6">
      <c r="B7910" s="159"/>
    </row>
    <row r="7911" spans="2:2" ht="15.6">
      <c r="B7911" s="159"/>
    </row>
    <row r="7912" spans="2:2" ht="15.6">
      <c r="B7912" s="159"/>
    </row>
    <row r="7913" spans="2:2" ht="15.6">
      <c r="B7913" s="159"/>
    </row>
    <row r="7914" spans="2:2" ht="15.6">
      <c r="B7914" s="159"/>
    </row>
    <row r="7915" spans="2:2" ht="15.6">
      <c r="B7915" s="159"/>
    </row>
    <row r="7916" spans="2:2" ht="15.6">
      <c r="B7916" s="159"/>
    </row>
    <row r="7917" spans="2:2" ht="15.6">
      <c r="B7917" s="159"/>
    </row>
    <row r="7918" spans="2:2" ht="15.6">
      <c r="B7918" s="159"/>
    </row>
    <row r="7919" spans="2:2" ht="15.6">
      <c r="B7919" s="159"/>
    </row>
    <row r="7920" spans="2:2" ht="15.6">
      <c r="B7920" s="159"/>
    </row>
    <row r="7921" spans="2:2" ht="15.6">
      <c r="B7921" s="159"/>
    </row>
    <row r="7922" spans="2:2" ht="15.6">
      <c r="B7922" s="159"/>
    </row>
    <row r="7923" spans="2:2" ht="15.6">
      <c r="B7923" s="159"/>
    </row>
    <row r="7924" spans="2:2" ht="15.6">
      <c r="B7924" s="159"/>
    </row>
    <row r="7925" spans="2:2" ht="15.6">
      <c r="B7925" s="159"/>
    </row>
    <row r="7926" spans="2:2" ht="15.6">
      <c r="B7926" s="159"/>
    </row>
    <row r="7927" spans="2:2" ht="15.6">
      <c r="B7927" s="159"/>
    </row>
    <row r="7928" spans="2:2" ht="15.6">
      <c r="B7928" s="159"/>
    </row>
    <row r="7929" spans="2:2" ht="15.6">
      <c r="B7929" s="159"/>
    </row>
    <row r="7930" spans="2:2" ht="15.6">
      <c r="B7930" s="159"/>
    </row>
    <row r="7931" spans="2:2" ht="15.6">
      <c r="B7931" s="159"/>
    </row>
    <row r="7932" spans="2:2" ht="15.6">
      <c r="B7932" s="159"/>
    </row>
    <row r="7933" spans="2:2" ht="15.6">
      <c r="B7933" s="159"/>
    </row>
    <row r="7934" spans="2:2" ht="15.6">
      <c r="B7934" s="159"/>
    </row>
    <row r="7935" spans="2:2" ht="15.6">
      <c r="B7935" s="159"/>
    </row>
    <row r="7936" spans="2:2" ht="15.6">
      <c r="B7936" s="159"/>
    </row>
    <row r="7937" spans="2:2" ht="15.6">
      <c r="B7937" s="159"/>
    </row>
    <row r="7938" spans="2:2" ht="15.6">
      <c r="B7938" s="159"/>
    </row>
    <row r="7939" spans="2:2" ht="15.6">
      <c r="B7939" s="159"/>
    </row>
    <row r="7940" spans="2:2" ht="15.6">
      <c r="B7940" s="159"/>
    </row>
    <row r="7941" spans="2:2" ht="15.6">
      <c r="B7941" s="159"/>
    </row>
    <row r="7942" spans="2:2" ht="15.6">
      <c r="B7942" s="159"/>
    </row>
    <row r="7943" spans="2:2" ht="15.6">
      <c r="B7943" s="159"/>
    </row>
    <row r="7944" spans="2:2" ht="15.6">
      <c r="B7944" s="159"/>
    </row>
    <row r="7945" spans="2:2" ht="15.6">
      <c r="B7945" s="159"/>
    </row>
    <row r="7946" spans="2:2" ht="15.6">
      <c r="B7946" s="159"/>
    </row>
    <row r="7947" spans="2:2" ht="15.6">
      <c r="B7947" s="159"/>
    </row>
    <row r="7948" spans="2:2" ht="15.6">
      <c r="B7948" s="159"/>
    </row>
    <row r="7949" spans="2:2" ht="15.6">
      <c r="B7949" s="159"/>
    </row>
    <row r="7950" spans="2:2" ht="15.6">
      <c r="B7950" s="159"/>
    </row>
    <row r="7951" spans="2:2" ht="15.6">
      <c r="B7951" s="159"/>
    </row>
    <row r="7952" spans="2:2" ht="15.6">
      <c r="B7952" s="159"/>
    </row>
    <row r="7953" spans="2:2" ht="15.6">
      <c r="B7953" s="159"/>
    </row>
    <row r="7954" spans="2:2" ht="15.6">
      <c r="B7954" s="159"/>
    </row>
    <row r="7955" spans="2:2" ht="15.6">
      <c r="B7955" s="159"/>
    </row>
    <row r="7956" spans="2:2" ht="15.6">
      <c r="B7956" s="159"/>
    </row>
    <row r="7957" spans="2:2" ht="15.6">
      <c r="B7957" s="159"/>
    </row>
    <row r="7958" spans="2:2" ht="15.6">
      <c r="B7958" s="159"/>
    </row>
    <row r="7959" spans="2:2" ht="15.6">
      <c r="B7959" s="159"/>
    </row>
    <row r="7960" spans="2:2" ht="15.6">
      <c r="B7960" s="159"/>
    </row>
    <row r="7961" spans="2:2" ht="15.6">
      <c r="B7961" s="159"/>
    </row>
    <row r="7962" spans="2:2" ht="15.6">
      <c r="B7962" s="159"/>
    </row>
    <row r="7963" spans="2:2" ht="15.6">
      <c r="B7963" s="159"/>
    </row>
    <row r="7964" spans="2:2" ht="15.6">
      <c r="B7964" s="159"/>
    </row>
    <row r="7965" spans="2:2" ht="15.6">
      <c r="B7965" s="159"/>
    </row>
    <row r="7966" spans="2:2" ht="15.6">
      <c r="B7966" s="159"/>
    </row>
    <row r="7967" spans="2:2" ht="15.6">
      <c r="B7967" s="159"/>
    </row>
    <row r="7968" spans="2:2" ht="15.6">
      <c r="B7968" s="159"/>
    </row>
    <row r="7969" spans="2:2" ht="15.6">
      <c r="B7969" s="159"/>
    </row>
    <row r="7970" spans="2:2" ht="15.6">
      <c r="B7970" s="159"/>
    </row>
    <row r="7971" spans="2:2" ht="15.6">
      <c r="B7971" s="159"/>
    </row>
    <row r="7972" spans="2:2" ht="15.6">
      <c r="B7972" s="159"/>
    </row>
    <row r="7973" spans="2:2" ht="15.6">
      <c r="B7973" s="159"/>
    </row>
    <row r="7974" spans="2:2" ht="15.6">
      <c r="B7974" s="159"/>
    </row>
    <row r="7975" spans="2:2" ht="15.6">
      <c r="B7975" s="159"/>
    </row>
    <row r="7976" spans="2:2" ht="15.6">
      <c r="B7976" s="159"/>
    </row>
    <row r="7977" spans="2:2" ht="15.6">
      <c r="B7977" s="159"/>
    </row>
    <row r="7978" spans="2:2" ht="15.6">
      <c r="B7978" s="159"/>
    </row>
    <row r="7979" spans="2:2" ht="15.6">
      <c r="B7979" s="159"/>
    </row>
    <row r="7980" spans="2:2" ht="15.6">
      <c r="B7980" s="159"/>
    </row>
    <row r="7981" spans="2:2" ht="15.6">
      <c r="B7981" s="159"/>
    </row>
    <row r="7982" spans="2:2" ht="15.6">
      <c r="B7982" s="159"/>
    </row>
    <row r="7983" spans="2:2" ht="15.6">
      <c r="B7983" s="159"/>
    </row>
    <row r="7984" spans="2:2" ht="15.6">
      <c r="B7984" s="159"/>
    </row>
    <row r="7985" spans="2:2" ht="15.6">
      <c r="B7985" s="159"/>
    </row>
    <row r="7986" spans="2:2" ht="15.6">
      <c r="B7986" s="159"/>
    </row>
    <row r="7987" spans="2:2" ht="15.6">
      <c r="B7987" s="159"/>
    </row>
    <row r="7988" spans="2:2" ht="15.6">
      <c r="B7988" s="159"/>
    </row>
    <row r="7989" spans="2:2" ht="15.6">
      <c r="B7989" s="159"/>
    </row>
    <row r="7990" spans="2:2" ht="15.6">
      <c r="B7990" s="159"/>
    </row>
    <row r="7991" spans="2:2" ht="15.6">
      <c r="B7991" s="159"/>
    </row>
    <row r="7992" spans="2:2" ht="15.6">
      <c r="B7992" s="159"/>
    </row>
    <row r="7993" spans="2:2" ht="15.6">
      <c r="B7993" s="159"/>
    </row>
    <row r="7994" spans="2:2" ht="15.6">
      <c r="B7994" s="159"/>
    </row>
    <row r="7995" spans="2:2" ht="15.6">
      <c r="B7995" s="159"/>
    </row>
    <row r="7996" spans="2:2" ht="15.6">
      <c r="B7996" s="159"/>
    </row>
    <row r="7997" spans="2:2" ht="15.6">
      <c r="B7997" s="159"/>
    </row>
    <row r="7998" spans="2:2" ht="15.6">
      <c r="B7998" s="159"/>
    </row>
    <row r="7999" spans="2:2" ht="15.6">
      <c r="B7999" s="159"/>
    </row>
    <row r="8000" spans="2:2" ht="15.6">
      <c r="B8000" s="159"/>
    </row>
    <row r="8001" spans="2:2" ht="15.6">
      <c r="B8001" s="159"/>
    </row>
    <row r="8002" spans="2:2" ht="15.6">
      <c r="B8002" s="159"/>
    </row>
    <row r="8003" spans="2:2" ht="15.6">
      <c r="B8003" s="159"/>
    </row>
    <row r="8004" spans="2:2" ht="15.6">
      <c r="B8004" s="159"/>
    </row>
    <row r="8005" spans="2:2" ht="15.6">
      <c r="B8005" s="159"/>
    </row>
    <row r="8006" spans="2:2" ht="15.6">
      <c r="B8006" s="159"/>
    </row>
    <row r="8007" spans="2:2" ht="15.6">
      <c r="B8007" s="159"/>
    </row>
    <row r="8008" spans="2:2" ht="15.6">
      <c r="B8008" s="159"/>
    </row>
    <row r="8009" spans="2:2" ht="15.6">
      <c r="B8009" s="159"/>
    </row>
    <row r="8010" spans="2:2" ht="15.6">
      <c r="B8010" s="159"/>
    </row>
    <row r="8011" spans="2:2" ht="15.6">
      <c r="B8011" s="159"/>
    </row>
    <row r="8012" spans="2:2" ht="15.6">
      <c r="B8012" s="159"/>
    </row>
    <row r="8013" spans="2:2" ht="15.6">
      <c r="B8013" s="159"/>
    </row>
    <row r="8014" spans="2:2" ht="15.6">
      <c r="B8014" s="159"/>
    </row>
    <row r="8015" spans="2:2" ht="15.6">
      <c r="B8015" s="159"/>
    </row>
    <row r="8016" spans="2:2" ht="15.6">
      <c r="B8016" s="159"/>
    </row>
    <row r="8017" spans="2:2" ht="15.6">
      <c r="B8017" s="159"/>
    </row>
    <row r="8018" spans="2:2" ht="15.6">
      <c r="B8018" s="159"/>
    </row>
    <row r="8019" spans="2:2" ht="15.6">
      <c r="B8019" s="159"/>
    </row>
    <row r="8020" spans="2:2" ht="15.6">
      <c r="B8020" s="159"/>
    </row>
    <row r="8021" spans="2:2" ht="15.6">
      <c r="B8021" s="159"/>
    </row>
    <row r="8022" spans="2:2" ht="15.6">
      <c r="B8022" s="159"/>
    </row>
    <row r="8023" spans="2:2" ht="15.6">
      <c r="B8023" s="159"/>
    </row>
    <row r="8024" spans="2:2" ht="15.6">
      <c r="B8024" s="159"/>
    </row>
    <row r="8025" spans="2:2" ht="15.6">
      <c r="B8025" s="159"/>
    </row>
    <row r="8026" spans="2:2" ht="15.6">
      <c r="B8026" s="159"/>
    </row>
    <row r="8027" spans="2:2" ht="15.6">
      <c r="B8027" s="159"/>
    </row>
    <row r="8028" spans="2:2" ht="15.6">
      <c r="B8028" s="159"/>
    </row>
    <row r="8029" spans="2:2" ht="15.6">
      <c r="B8029" s="159"/>
    </row>
    <row r="8030" spans="2:2" ht="15.6">
      <c r="B8030" s="159"/>
    </row>
    <row r="8031" spans="2:2" ht="15.6">
      <c r="B8031" s="159"/>
    </row>
    <row r="8032" spans="2:2" ht="15.6">
      <c r="B8032" s="159"/>
    </row>
    <row r="8033" spans="2:2" ht="15.6">
      <c r="B8033" s="159"/>
    </row>
    <row r="8034" spans="2:2" ht="15.6">
      <c r="B8034" s="159"/>
    </row>
    <row r="8035" spans="2:2" ht="15.6">
      <c r="B8035" s="159"/>
    </row>
    <row r="8036" spans="2:2" ht="15.6">
      <c r="B8036" s="159"/>
    </row>
    <row r="8037" spans="2:2" ht="15.6">
      <c r="B8037" s="159"/>
    </row>
    <row r="8038" spans="2:2" ht="15.6">
      <c r="B8038" s="159"/>
    </row>
    <row r="8039" spans="2:2" ht="15.6">
      <c r="B8039" s="159"/>
    </row>
    <row r="8040" spans="2:2" ht="15.6">
      <c r="B8040" s="159"/>
    </row>
    <row r="8041" spans="2:2" ht="15.6">
      <c r="B8041" s="159"/>
    </row>
    <row r="8042" spans="2:2" ht="15.6">
      <c r="B8042" s="159"/>
    </row>
    <row r="8043" spans="2:2" ht="15.6">
      <c r="B8043" s="159"/>
    </row>
    <row r="8044" spans="2:2" ht="15.6">
      <c r="B8044" s="159"/>
    </row>
    <row r="8045" spans="2:2" ht="15.6">
      <c r="B8045" s="159"/>
    </row>
    <row r="8046" spans="2:2" ht="15.6">
      <c r="B8046" s="159"/>
    </row>
    <row r="8047" spans="2:2" ht="15.6">
      <c r="B8047" s="159"/>
    </row>
    <row r="8048" spans="2:2" ht="15.6">
      <c r="B8048" s="159"/>
    </row>
    <row r="8049" spans="2:2" ht="15.6">
      <c r="B8049" s="159"/>
    </row>
    <row r="8050" spans="2:2" ht="15.6">
      <c r="B8050" s="159"/>
    </row>
    <row r="8051" spans="2:2" ht="15.6">
      <c r="B8051" s="159"/>
    </row>
    <row r="8052" spans="2:2" ht="15.6">
      <c r="B8052" s="159"/>
    </row>
    <row r="8053" spans="2:2" ht="15.6">
      <c r="B8053" s="159"/>
    </row>
    <row r="8054" spans="2:2" ht="15.6">
      <c r="B8054" s="159"/>
    </row>
    <row r="8055" spans="2:2" ht="15.6">
      <c r="B8055" s="159"/>
    </row>
    <row r="8056" spans="2:2" ht="15.6">
      <c r="B8056" s="159"/>
    </row>
    <row r="8057" spans="2:2" ht="15.6">
      <c r="B8057" s="159"/>
    </row>
    <row r="8058" spans="2:2" ht="15.6">
      <c r="B8058" s="159"/>
    </row>
    <row r="8059" spans="2:2" ht="15.6">
      <c r="B8059" s="159"/>
    </row>
    <row r="8060" spans="2:2" ht="15.6">
      <c r="B8060" s="159"/>
    </row>
    <row r="8061" spans="2:2" ht="15.6">
      <c r="B8061" s="159"/>
    </row>
    <row r="8062" spans="2:2" ht="15.6">
      <c r="B8062" s="159"/>
    </row>
    <row r="8063" spans="2:2" ht="15.6">
      <c r="B8063" s="159"/>
    </row>
    <row r="8064" spans="2:2" ht="15.6">
      <c r="B8064" s="159"/>
    </row>
    <row r="8065" spans="2:2" ht="15.6">
      <c r="B8065" s="159"/>
    </row>
    <row r="8066" spans="2:2" ht="15.6">
      <c r="B8066" s="159"/>
    </row>
    <row r="8067" spans="2:2" ht="15.6">
      <c r="B8067" s="159"/>
    </row>
    <row r="8068" spans="2:2" ht="15.6">
      <c r="B8068" s="159"/>
    </row>
    <row r="8069" spans="2:2" ht="15.6">
      <c r="B8069" s="159"/>
    </row>
    <row r="8070" spans="2:2" ht="15.6">
      <c r="B8070" s="159"/>
    </row>
    <row r="8071" spans="2:2" ht="15.6">
      <c r="B8071" s="159"/>
    </row>
    <row r="8072" spans="2:2" ht="15.6">
      <c r="B8072" s="159"/>
    </row>
    <row r="8073" spans="2:2" ht="15.6">
      <c r="B8073" s="159"/>
    </row>
    <row r="8074" spans="2:2" ht="15.6">
      <c r="B8074" s="159"/>
    </row>
    <row r="8075" spans="2:2" ht="15.6">
      <c r="B8075" s="159"/>
    </row>
    <row r="8076" spans="2:2" ht="15.6">
      <c r="B8076" s="159"/>
    </row>
    <row r="8077" spans="2:2" ht="15.6">
      <c r="B8077" s="159"/>
    </row>
    <row r="8078" spans="2:2" ht="15.6">
      <c r="B8078" s="159"/>
    </row>
    <row r="8079" spans="2:2" ht="15.6">
      <c r="B8079" s="159"/>
    </row>
    <row r="8080" spans="2:2" ht="15.6">
      <c r="B8080" s="159"/>
    </row>
    <row r="8081" spans="2:2" ht="15.6">
      <c r="B8081" s="159"/>
    </row>
    <row r="8082" spans="2:2" ht="15.6">
      <c r="B8082" s="159"/>
    </row>
    <row r="8083" spans="2:2" ht="15.6">
      <c r="B8083" s="159"/>
    </row>
    <row r="8084" spans="2:2" ht="15.6">
      <c r="B8084" s="159"/>
    </row>
    <row r="8085" spans="2:2" ht="15.6">
      <c r="B8085" s="159"/>
    </row>
    <row r="8086" spans="2:2" ht="15.6">
      <c r="B8086" s="159"/>
    </row>
    <row r="8087" spans="2:2" ht="15.6">
      <c r="B8087" s="159"/>
    </row>
    <row r="8088" spans="2:2" ht="15.6">
      <c r="B8088" s="159"/>
    </row>
    <row r="8089" spans="2:2" ht="15.6">
      <c r="B8089" s="159"/>
    </row>
    <row r="8090" spans="2:2" ht="15.6">
      <c r="B8090" s="159"/>
    </row>
    <row r="8091" spans="2:2" ht="15.6">
      <c r="B8091" s="159"/>
    </row>
    <row r="8092" spans="2:2" ht="15.6">
      <c r="B8092" s="159"/>
    </row>
    <row r="8093" spans="2:2" ht="15.6">
      <c r="B8093" s="159"/>
    </row>
    <row r="8094" spans="2:2" ht="15.6">
      <c r="B8094" s="159"/>
    </row>
    <row r="8095" spans="2:2" ht="15.6">
      <c r="B8095" s="159"/>
    </row>
    <row r="8096" spans="2:2" ht="15.6">
      <c r="B8096" s="159"/>
    </row>
    <row r="8097" spans="2:2" ht="15.6">
      <c r="B8097" s="159"/>
    </row>
    <row r="8098" spans="2:2" ht="15.6">
      <c r="B8098" s="159"/>
    </row>
    <row r="8099" spans="2:2" ht="15.6">
      <c r="B8099" s="159"/>
    </row>
    <row r="8100" spans="2:2" ht="15.6">
      <c r="B8100" s="159"/>
    </row>
    <row r="8101" spans="2:2" ht="15.6">
      <c r="B8101" s="159"/>
    </row>
    <row r="8102" spans="2:2" ht="15.6">
      <c r="B8102" s="159"/>
    </row>
    <row r="8103" spans="2:2" ht="15.6">
      <c r="B8103" s="159"/>
    </row>
    <row r="8104" spans="2:2" ht="15.6">
      <c r="B8104" s="159"/>
    </row>
    <row r="8105" spans="2:2" ht="15.6">
      <c r="B8105" s="159"/>
    </row>
    <row r="8106" spans="2:2" ht="15.6">
      <c r="B8106" s="159"/>
    </row>
    <row r="8107" spans="2:2" ht="15.6">
      <c r="B8107" s="159"/>
    </row>
    <row r="8108" spans="2:2" ht="15.6">
      <c r="B8108" s="159"/>
    </row>
    <row r="8109" spans="2:2" ht="15.6">
      <c r="B8109" s="159"/>
    </row>
    <row r="8110" spans="2:2" ht="15.6">
      <c r="B8110" s="159"/>
    </row>
    <row r="8111" spans="2:2" ht="15.6">
      <c r="B8111" s="159"/>
    </row>
    <row r="8112" spans="2:2" ht="15.6">
      <c r="B8112" s="159"/>
    </row>
    <row r="8113" spans="2:2" ht="15.6">
      <c r="B8113" s="159"/>
    </row>
    <row r="8114" spans="2:2" ht="15.6">
      <c r="B8114" s="159"/>
    </row>
    <row r="8115" spans="2:2" ht="15.6">
      <c r="B8115" s="159"/>
    </row>
    <row r="8116" spans="2:2" ht="15.6">
      <c r="B8116" s="159"/>
    </row>
    <row r="8117" spans="2:2" ht="15.6">
      <c r="B8117" s="159"/>
    </row>
    <row r="8118" spans="2:2" ht="15.6">
      <c r="B8118" s="159"/>
    </row>
    <row r="8119" spans="2:2" ht="15.6">
      <c r="B8119" s="159"/>
    </row>
    <row r="8120" spans="2:2" ht="15.6">
      <c r="B8120" s="159"/>
    </row>
    <row r="8121" spans="2:2" ht="15.6">
      <c r="B8121" s="159"/>
    </row>
    <row r="8122" spans="2:2" ht="15.6">
      <c r="B8122" s="159"/>
    </row>
    <row r="8123" spans="2:2" ht="15.6">
      <c r="B8123" s="159"/>
    </row>
    <row r="8124" spans="2:2" ht="15.6">
      <c r="B8124" s="159"/>
    </row>
    <row r="8125" spans="2:2" ht="15.6">
      <c r="B8125" s="159"/>
    </row>
    <row r="8126" spans="2:2" ht="15.6">
      <c r="B8126" s="159"/>
    </row>
    <row r="8127" spans="2:2" ht="15.6">
      <c r="B8127" s="159"/>
    </row>
    <row r="8128" spans="2:2" ht="15.6">
      <c r="B8128" s="159"/>
    </row>
    <row r="8129" spans="2:2" ht="15.6">
      <c r="B8129" s="159"/>
    </row>
    <row r="8130" spans="2:2" ht="15.6">
      <c r="B8130" s="159"/>
    </row>
    <row r="8131" spans="2:2" ht="15.6">
      <c r="B8131" s="159"/>
    </row>
    <row r="8132" spans="2:2" ht="15.6">
      <c r="B8132" s="159"/>
    </row>
    <row r="8133" spans="2:2" ht="15.6">
      <c r="B8133" s="159"/>
    </row>
    <row r="8134" spans="2:2" ht="15.6">
      <c r="B8134" s="159"/>
    </row>
    <row r="8135" spans="2:2" ht="15.6">
      <c r="B8135" s="159"/>
    </row>
    <row r="8136" spans="2:2" ht="15.6">
      <c r="B8136" s="159"/>
    </row>
    <row r="8137" spans="2:2" ht="15.6">
      <c r="B8137" s="159"/>
    </row>
    <row r="8138" spans="2:2" ht="15.6">
      <c r="B8138" s="159"/>
    </row>
    <row r="8139" spans="2:2" ht="15.6">
      <c r="B8139" s="159"/>
    </row>
    <row r="8140" spans="2:2" ht="15.6">
      <c r="B8140" s="159"/>
    </row>
    <row r="8141" spans="2:2" ht="15.6">
      <c r="B8141" s="159"/>
    </row>
    <row r="8142" spans="2:2" ht="15.6">
      <c r="B8142" s="159"/>
    </row>
    <row r="8143" spans="2:2" ht="15.6">
      <c r="B8143" s="159"/>
    </row>
    <row r="8144" spans="2:2" ht="15.6">
      <c r="B8144" s="159"/>
    </row>
    <row r="8145" spans="2:2" ht="15.6">
      <c r="B8145" s="159"/>
    </row>
    <row r="8146" spans="2:2" ht="15.6">
      <c r="B8146" s="159"/>
    </row>
    <row r="8147" spans="2:2" ht="15.6">
      <c r="B8147" s="159"/>
    </row>
    <row r="8148" spans="2:2" ht="15.6">
      <c r="B8148" s="159"/>
    </row>
    <row r="8149" spans="2:2" ht="15.6">
      <c r="B8149" s="159"/>
    </row>
    <row r="8150" spans="2:2" ht="15.6">
      <c r="B8150" s="159"/>
    </row>
    <row r="8151" spans="2:2" ht="15.6">
      <c r="B8151" s="159"/>
    </row>
    <row r="8152" spans="2:2" ht="15.6">
      <c r="B8152" s="159"/>
    </row>
    <row r="8153" spans="2:2" ht="15.6">
      <c r="B8153" s="159"/>
    </row>
    <row r="8154" spans="2:2" ht="15.6">
      <c r="B8154" s="159"/>
    </row>
    <row r="8155" spans="2:2" ht="15.6">
      <c r="B8155" s="159"/>
    </row>
    <row r="8156" spans="2:2" ht="15.6">
      <c r="B8156" s="159"/>
    </row>
    <row r="8157" spans="2:2" ht="15.6">
      <c r="B8157" s="159"/>
    </row>
    <row r="8158" spans="2:2" ht="15.6">
      <c r="B8158" s="159"/>
    </row>
    <row r="8159" spans="2:2" ht="15.6">
      <c r="B8159" s="159"/>
    </row>
    <row r="8160" spans="2:2" ht="15.6">
      <c r="B8160" s="159"/>
    </row>
    <row r="8161" spans="2:2" ht="15.6">
      <c r="B8161" s="159"/>
    </row>
    <row r="8162" spans="2:2" ht="15.6">
      <c r="B8162" s="159"/>
    </row>
    <row r="8163" spans="2:2" ht="15.6">
      <c r="B8163" s="159"/>
    </row>
    <row r="8164" spans="2:2" ht="15.6">
      <c r="B8164" s="159"/>
    </row>
    <row r="8165" spans="2:2" ht="15.6">
      <c r="B8165" s="159"/>
    </row>
    <row r="8166" spans="2:2" ht="15.6">
      <c r="B8166" s="159"/>
    </row>
    <row r="8167" spans="2:2" ht="15.6">
      <c r="B8167" s="159"/>
    </row>
    <row r="8168" spans="2:2" ht="15.6">
      <c r="B8168" s="159"/>
    </row>
    <row r="8169" spans="2:2" ht="15.6">
      <c r="B8169" s="159"/>
    </row>
    <row r="8170" spans="2:2" ht="15.6">
      <c r="B8170" s="159"/>
    </row>
    <row r="8171" spans="2:2" ht="15.6">
      <c r="B8171" s="159"/>
    </row>
    <row r="8172" spans="2:2" ht="15.6">
      <c r="B8172" s="159"/>
    </row>
    <row r="8173" spans="2:2" ht="15.6">
      <c r="B8173" s="159"/>
    </row>
    <row r="8174" spans="2:2" ht="15.6">
      <c r="B8174" s="159"/>
    </row>
    <row r="8175" spans="2:2" ht="15.6">
      <c r="B8175" s="159"/>
    </row>
    <row r="8176" spans="2:2" ht="15.6">
      <c r="B8176" s="159"/>
    </row>
    <row r="8177" spans="2:2" ht="15.6">
      <c r="B8177" s="159"/>
    </row>
    <row r="8178" spans="2:2" ht="15.6">
      <c r="B8178" s="159"/>
    </row>
    <row r="8179" spans="2:2" ht="15.6">
      <c r="B8179" s="159"/>
    </row>
    <row r="8180" spans="2:2" ht="15.6">
      <c r="B8180" s="159"/>
    </row>
    <row r="8181" spans="2:2" ht="15.6">
      <c r="B8181" s="159"/>
    </row>
    <row r="8182" spans="2:2" ht="15.6">
      <c r="B8182" s="159"/>
    </row>
    <row r="8183" spans="2:2" ht="15.6">
      <c r="B8183" s="159"/>
    </row>
    <row r="8184" spans="2:2" ht="15.6">
      <c r="B8184" s="159"/>
    </row>
    <row r="8185" spans="2:2" ht="15.6">
      <c r="B8185" s="159"/>
    </row>
    <row r="8186" spans="2:2" ht="15.6">
      <c r="B8186" s="159"/>
    </row>
    <row r="8187" spans="2:2" ht="15.6">
      <c r="B8187" s="159"/>
    </row>
    <row r="8188" spans="2:2" ht="15.6">
      <c r="B8188" s="159"/>
    </row>
    <row r="8189" spans="2:2" ht="15.6">
      <c r="B8189" s="159"/>
    </row>
    <row r="8190" spans="2:2" ht="15.6">
      <c r="B8190" s="159"/>
    </row>
    <row r="8191" spans="2:2" ht="15.6">
      <c r="B8191" s="159"/>
    </row>
    <row r="8192" spans="2:2" ht="15.6">
      <c r="B8192" s="159"/>
    </row>
    <row r="8193" spans="2:2" ht="15.6">
      <c r="B8193" s="159"/>
    </row>
    <row r="8194" spans="2:2" ht="15.6">
      <c r="B8194" s="159"/>
    </row>
    <row r="8195" spans="2:2" ht="15.6">
      <c r="B8195" s="159"/>
    </row>
    <row r="8196" spans="2:2" ht="15.6">
      <c r="B8196" s="159"/>
    </row>
    <row r="8197" spans="2:2" ht="15.6">
      <c r="B8197" s="159"/>
    </row>
    <row r="8198" spans="2:2" ht="15.6">
      <c r="B8198" s="159"/>
    </row>
    <row r="8199" spans="2:2" ht="15.6">
      <c r="B8199" s="159"/>
    </row>
    <row r="8200" spans="2:2" ht="15.6">
      <c r="B8200" s="159"/>
    </row>
    <row r="8201" spans="2:2" ht="15.6">
      <c r="B8201" s="159"/>
    </row>
    <row r="8202" spans="2:2" ht="15.6">
      <c r="B8202" s="159"/>
    </row>
    <row r="8203" spans="2:2" ht="15.6">
      <c r="B8203" s="159"/>
    </row>
    <row r="8204" spans="2:2" ht="15.6">
      <c r="B8204" s="159"/>
    </row>
    <row r="8205" spans="2:2" ht="15.6">
      <c r="B8205" s="159"/>
    </row>
    <row r="8206" spans="2:2" ht="15.6">
      <c r="B8206" s="159"/>
    </row>
    <row r="8207" spans="2:2" ht="15.6">
      <c r="B8207" s="159"/>
    </row>
    <row r="8208" spans="2:2" ht="15.6">
      <c r="B8208" s="159"/>
    </row>
    <row r="8209" spans="2:2" ht="15.6">
      <c r="B8209" s="159"/>
    </row>
    <row r="8210" spans="2:2" ht="15.6">
      <c r="B8210" s="159"/>
    </row>
    <row r="8211" spans="2:2" ht="15.6">
      <c r="B8211" s="159"/>
    </row>
    <row r="8212" spans="2:2" ht="15.6">
      <c r="B8212" s="159"/>
    </row>
    <row r="8213" spans="2:2" ht="15.6">
      <c r="B8213" s="159"/>
    </row>
    <row r="8214" spans="2:2" ht="15.6">
      <c r="B8214" s="159"/>
    </row>
    <row r="8215" spans="2:2" ht="15.6">
      <c r="B8215" s="159"/>
    </row>
    <row r="8216" spans="2:2" ht="15.6">
      <c r="B8216" s="159"/>
    </row>
    <row r="8217" spans="2:2" ht="15.6">
      <c r="B8217" s="159"/>
    </row>
    <row r="8218" spans="2:2" ht="15.6">
      <c r="B8218" s="159"/>
    </row>
    <row r="8219" spans="2:2" ht="15.6">
      <c r="B8219" s="159"/>
    </row>
    <row r="8220" spans="2:2" ht="15.6">
      <c r="B8220" s="159"/>
    </row>
    <row r="8221" spans="2:2" ht="15.6">
      <c r="B8221" s="159"/>
    </row>
    <row r="8222" spans="2:2" ht="15.6">
      <c r="B8222" s="159"/>
    </row>
    <row r="8223" spans="2:2" ht="15.6">
      <c r="B8223" s="159"/>
    </row>
    <row r="8224" spans="2:2" ht="15.6">
      <c r="B8224" s="159"/>
    </row>
    <row r="8225" spans="2:2" ht="15.6">
      <c r="B8225" s="159"/>
    </row>
    <row r="8226" spans="2:2" ht="15.6">
      <c r="B8226" s="159"/>
    </row>
    <row r="8227" spans="2:2" ht="15.6">
      <c r="B8227" s="159"/>
    </row>
    <row r="8228" spans="2:2" ht="15.6">
      <c r="B8228" s="159"/>
    </row>
    <row r="8229" spans="2:2" ht="15.6">
      <c r="B8229" s="159"/>
    </row>
    <row r="8230" spans="2:2" ht="15.6">
      <c r="B8230" s="159"/>
    </row>
    <row r="8231" spans="2:2" ht="15.6">
      <c r="B8231" s="159"/>
    </row>
    <row r="8232" spans="2:2" ht="15.6">
      <c r="B8232" s="159"/>
    </row>
    <row r="8233" spans="2:2" ht="15.6">
      <c r="B8233" s="159"/>
    </row>
    <row r="8234" spans="2:2" ht="15.6">
      <c r="B8234" s="159"/>
    </row>
    <row r="8235" spans="2:2" ht="15.6">
      <c r="B8235" s="159"/>
    </row>
    <row r="8236" spans="2:2" ht="15.6">
      <c r="B8236" s="159"/>
    </row>
    <row r="8237" spans="2:2" ht="15.6">
      <c r="B8237" s="159"/>
    </row>
    <row r="8238" spans="2:2" ht="15.6">
      <c r="B8238" s="159"/>
    </row>
    <row r="8239" spans="2:2" ht="15.6">
      <c r="B8239" s="159"/>
    </row>
    <row r="8240" spans="2:2" ht="15.6">
      <c r="B8240" s="159"/>
    </row>
    <row r="8241" spans="2:2" ht="15.6">
      <c r="B8241" s="159"/>
    </row>
    <row r="8242" spans="2:2" ht="15.6">
      <c r="B8242" s="159"/>
    </row>
    <row r="8243" spans="2:2" ht="15.6">
      <c r="B8243" s="159"/>
    </row>
    <row r="8244" spans="2:2" ht="15.6">
      <c r="B8244" s="159"/>
    </row>
    <row r="8245" spans="2:2" ht="15.6">
      <c r="B8245" s="159"/>
    </row>
    <row r="8246" spans="2:2" ht="15.6">
      <c r="B8246" s="159"/>
    </row>
    <row r="8247" spans="2:2" ht="15.6">
      <c r="B8247" s="159"/>
    </row>
    <row r="8248" spans="2:2" ht="15.6">
      <c r="B8248" s="159"/>
    </row>
    <row r="8249" spans="2:2" ht="15.6">
      <c r="B8249" s="159"/>
    </row>
    <row r="8250" spans="2:2" ht="15.6">
      <c r="B8250" s="159"/>
    </row>
    <row r="8251" spans="2:2" ht="15.6">
      <c r="B8251" s="159"/>
    </row>
    <row r="8252" spans="2:2" ht="15.6">
      <c r="B8252" s="159"/>
    </row>
    <row r="8253" spans="2:2" ht="15.6">
      <c r="B8253" s="159"/>
    </row>
    <row r="8254" spans="2:2" ht="15.6">
      <c r="B8254" s="159"/>
    </row>
    <row r="8255" spans="2:2" ht="15.6">
      <c r="B8255" s="159"/>
    </row>
    <row r="8256" spans="2:2" ht="15.6">
      <c r="B8256" s="159"/>
    </row>
    <row r="8257" spans="2:2" ht="15.6">
      <c r="B8257" s="159"/>
    </row>
    <row r="8258" spans="2:2" ht="15.6">
      <c r="B8258" s="159"/>
    </row>
    <row r="8259" spans="2:2" ht="15.6">
      <c r="B8259" s="159"/>
    </row>
    <row r="8260" spans="2:2" ht="15.6">
      <c r="B8260" s="159"/>
    </row>
    <row r="8261" spans="2:2" ht="15.6">
      <c r="B8261" s="159"/>
    </row>
    <row r="8262" spans="2:2" ht="15.6">
      <c r="B8262" s="159"/>
    </row>
    <row r="8263" spans="2:2" ht="15.6">
      <c r="B8263" s="159"/>
    </row>
    <row r="8264" spans="2:2" ht="15.6">
      <c r="B8264" s="159"/>
    </row>
    <row r="8265" spans="2:2" ht="15.6">
      <c r="B8265" s="159"/>
    </row>
    <row r="8266" spans="2:2" ht="15.6">
      <c r="B8266" s="159"/>
    </row>
    <row r="8267" spans="2:2" ht="15.6">
      <c r="B8267" s="159"/>
    </row>
    <row r="8268" spans="2:2" ht="15.6">
      <c r="B8268" s="159"/>
    </row>
    <row r="8269" spans="2:2" ht="15.6">
      <c r="B8269" s="159"/>
    </row>
    <row r="8270" spans="2:2" ht="15.6">
      <c r="B8270" s="159"/>
    </row>
    <row r="8271" spans="2:2" ht="15.6">
      <c r="B8271" s="159"/>
    </row>
    <row r="8272" spans="2:2" ht="15.6">
      <c r="B8272" s="159"/>
    </row>
    <row r="8273" spans="2:2" ht="15.6">
      <c r="B8273" s="159"/>
    </row>
    <row r="8274" spans="2:2" ht="15.6">
      <c r="B8274" s="159"/>
    </row>
    <row r="8275" spans="2:2" ht="15.6">
      <c r="B8275" s="159"/>
    </row>
    <row r="8276" spans="2:2" ht="15.6">
      <c r="B8276" s="159"/>
    </row>
    <row r="8277" spans="2:2" ht="15.6">
      <c r="B8277" s="159"/>
    </row>
    <row r="8278" spans="2:2" ht="15.6">
      <c r="B8278" s="159"/>
    </row>
    <row r="8279" spans="2:2" ht="15.6">
      <c r="B8279" s="159"/>
    </row>
    <row r="8280" spans="2:2" ht="15.6">
      <c r="B8280" s="159"/>
    </row>
    <row r="8281" spans="2:2" ht="15.6">
      <c r="B8281" s="159"/>
    </row>
    <row r="8282" spans="2:2" ht="15.6">
      <c r="B8282" s="159"/>
    </row>
    <row r="8283" spans="2:2" ht="15.6">
      <c r="B8283" s="159"/>
    </row>
    <row r="8284" spans="2:2" ht="15.6">
      <c r="B8284" s="159"/>
    </row>
    <row r="8285" spans="2:2" ht="15.6">
      <c r="B8285" s="159"/>
    </row>
    <row r="8286" spans="2:2" ht="15.6">
      <c r="B8286" s="159"/>
    </row>
    <row r="8287" spans="2:2" ht="15.6">
      <c r="B8287" s="159"/>
    </row>
    <row r="8288" spans="2:2" ht="15.6">
      <c r="B8288" s="159"/>
    </row>
    <row r="8289" spans="2:2" ht="15.6">
      <c r="B8289" s="159"/>
    </row>
    <row r="8290" spans="2:2" ht="15.6">
      <c r="B8290" s="159"/>
    </row>
    <row r="8291" spans="2:2" ht="15.6">
      <c r="B8291" s="159"/>
    </row>
    <row r="8292" spans="2:2" ht="15.6">
      <c r="B8292" s="159"/>
    </row>
    <row r="8293" spans="2:2" ht="15.6">
      <c r="B8293" s="159"/>
    </row>
    <row r="8294" spans="2:2" ht="15.6">
      <c r="B8294" s="159"/>
    </row>
    <row r="8295" spans="2:2" ht="15.6">
      <c r="B8295" s="159"/>
    </row>
    <row r="8296" spans="2:2" ht="15.6">
      <c r="B8296" s="159"/>
    </row>
    <row r="8297" spans="2:2" ht="15.6">
      <c r="B8297" s="159"/>
    </row>
    <row r="8298" spans="2:2" ht="15.6">
      <c r="B8298" s="159"/>
    </row>
    <row r="8299" spans="2:2" ht="15.6">
      <c r="B8299" s="159"/>
    </row>
    <row r="8300" spans="2:2" ht="15.6">
      <c r="B8300" s="159"/>
    </row>
    <row r="8301" spans="2:2" ht="15.6">
      <c r="B8301" s="159"/>
    </row>
    <row r="8302" spans="2:2" ht="15.6">
      <c r="B8302" s="159"/>
    </row>
    <row r="8303" spans="2:2" ht="15.6">
      <c r="B8303" s="159"/>
    </row>
    <row r="8304" spans="2:2" ht="15.6">
      <c r="B8304" s="159"/>
    </row>
    <row r="8305" spans="2:2" ht="15.6">
      <c r="B8305" s="159"/>
    </row>
    <row r="8306" spans="2:2" ht="15.6">
      <c r="B8306" s="159"/>
    </row>
    <row r="8307" spans="2:2" ht="15.6">
      <c r="B8307" s="159"/>
    </row>
    <row r="8308" spans="2:2" ht="15.6">
      <c r="B8308" s="159"/>
    </row>
    <row r="8309" spans="2:2" ht="15.6">
      <c r="B8309" s="159"/>
    </row>
    <row r="8310" spans="2:2" ht="15.6">
      <c r="B8310" s="159"/>
    </row>
    <row r="8311" spans="2:2" ht="15.6">
      <c r="B8311" s="159"/>
    </row>
    <row r="8312" spans="2:2" ht="15.6">
      <c r="B8312" s="159"/>
    </row>
    <row r="8313" spans="2:2" ht="15.6">
      <c r="B8313" s="159"/>
    </row>
    <row r="8314" spans="2:2" ht="15.6">
      <c r="B8314" s="159"/>
    </row>
    <row r="8315" spans="2:2" ht="15.6">
      <c r="B8315" s="159"/>
    </row>
    <row r="8316" spans="2:2" ht="15.6">
      <c r="B8316" s="159"/>
    </row>
    <row r="8317" spans="2:2" ht="15.6">
      <c r="B8317" s="159"/>
    </row>
    <row r="8318" spans="2:2" ht="15.6">
      <c r="B8318" s="159"/>
    </row>
    <row r="8319" spans="2:2" ht="15.6">
      <c r="B8319" s="159"/>
    </row>
    <row r="8320" spans="2:2" ht="15.6">
      <c r="B8320" s="159"/>
    </row>
    <row r="8321" spans="2:2" ht="15.6">
      <c r="B8321" s="159"/>
    </row>
    <row r="8322" spans="2:2" ht="15.6">
      <c r="B8322" s="159"/>
    </row>
    <row r="8323" spans="2:2" ht="15.6">
      <c r="B8323" s="159"/>
    </row>
    <row r="8324" spans="2:2" ht="15.6">
      <c r="B8324" s="159"/>
    </row>
    <row r="8325" spans="2:2" ht="15.6">
      <c r="B8325" s="159"/>
    </row>
    <row r="8326" spans="2:2" ht="15.6">
      <c r="B8326" s="159"/>
    </row>
    <row r="8327" spans="2:2" ht="15.6">
      <c r="B8327" s="159"/>
    </row>
    <row r="8328" spans="2:2" ht="15.6">
      <c r="B8328" s="159"/>
    </row>
    <row r="8329" spans="2:2" ht="15.6">
      <c r="B8329" s="159"/>
    </row>
    <row r="8330" spans="2:2" ht="15.6">
      <c r="B8330" s="159"/>
    </row>
    <row r="8331" spans="2:2" ht="15.6">
      <c r="B8331" s="159"/>
    </row>
    <row r="8332" spans="2:2" ht="15.6">
      <c r="B8332" s="159"/>
    </row>
    <row r="8333" spans="2:2" ht="15.6">
      <c r="B8333" s="159"/>
    </row>
    <row r="8334" spans="2:2" ht="15.6">
      <c r="B8334" s="159"/>
    </row>
    <row r="8335" spans="2:2" ht="15.6">
      <c r="B8335" s="159"/>
    </row>
    <row r="8336" spans="2:2" ht="15.6">
      <c r="B8336" s="159"/>
    </row>
    <row r="8337" spans="2:2" ht="15.6">
      <c r="B8337" s="159"/>
    </row>
    <row r="8338" spans="2:2" ht="15.6">
      <c r="B8338" s="159"/>
    </row>
    <row r="8339" spans="2:2" ht="15.6">
      <c r="B8339" s="159"/>
    </row>
    <row r="8340" spans="2:2" ht="15.6">
      <c r="B8340" s="159"/>
    </row>
    <row r="8341" spans="2:2" ht="15.6">
      <c r="B8341" s="159"/>
    </row>
    <row r="8342" spans="2:2" ht="15.6">
      <c r="B8342" s="159"/>
    </row>
    <row r="8343" spans="2:2" ht="15.6">
      <c r="B8343" s="159"/>
    </row>
    <row r="8344" spans="2:2" ht="15.6">
      <c r="B8344" s="159"/>
    </row>
    <row r="8345" spans="2:2" ht="15.6">
      <c r="B8345" s="159"/>
    </row>
    <row r="8346" spans="2:2" ht="15.6">
      <c r="B8346" s="159"/>
    </row>
    <row r="8347" spans="2:2" ht="15.6">
      <c r="B8347" s="159"/>
    </row>
    <row r="8348" spans="2:2" ht="15.6">
      <c r="B8348" s="159"/>
    </row>
    <row r="8349" spans="2:2" ht="15.6">
      <c r="B8349" s="159"/>
    </row>
    <row r="8350" spans="2:2" ht="15.6">
      <c r="B8350" s="159"/>
    </row>
    <row r="8351" spans="2:2" ht="15.6">
      <c r="B8351" s="159"/>
    </row>
    <row r="8352" spans="2:2" ht="15.6">
      <c r="B8352" s="159"/>
    </row>
    <row r="8353" spans="2:2" ht="15.6">
      <c r="B8353" s="159"/>
    </row>
    <row r="8354" spans="2:2" ht="15.6">
      <c r="B8354" s="159"/>
    </row>
    <row r="8355" spans="2:2" ht="15.6">
      <c r="B8355" s="159"/>
    </row>
    <row r="8356" spans="2:2" ht="15.6">
      <c r="B8356" s="159"/>
    </row>
    <row r="8357" spans="2:2" ht="15.6">
      <c r="B8357" s="159"/>
    </row>
    <row r="8358" spans="2:2" ht="15.6">
      <c r="B8358" s="159"/>
    </row>
    <row r="8359" spans="2:2" ht="15.6">
      <c r="B8359" s="159"/>
    </row>
    <row r="8360" spans="2:2" ht="15.6">
      <c r="B8360" s="159"/>
    </row>
    <row r="8361" spans="2:2" ht="15.6">
      <c r="B8361" s="159"/>
    </row>
    <row r="8362" spans="2:2" ht="15.6">
      <c r="B8362" s="159"/>
    </row>
    <row r="8363" spans="2:2" ht="15.6">
      <c r="B8363" s="159"/>
    </row>
    <row r="8364" spans="2:2" ht="15.6">
      <c r="B8364" s="159"/>
    </row>
    <row r="8365" spans="2:2" ht="15.6">
      <c r="B8365" s="159"/>
    </row>
    <row r="8366" spans="2:2" ht="15.6">
      <c r="B8366" s="159"/>
    </row>
    <row r="8367" spans="2:2" ht="15.6">
      <c r="B8367" s="159"/>
    </row>
    <row r="8368" spans="2:2" ht="15.6">
      <c r="B8368" s="159"/>
    </row>
    <row r="8369" spans="2:2" ht="15.6">
      <c r="B8369" s="159"/>
    </row>
    <row r="8370" spans="2:2" ht="15.6">
      <c r="B8370" s="159"/>
    </row>
    <row r="8371" spans="2:2" ht="15.6">
      <c r="B8371" s="159"/>
    </row>
    <row r="8372" spans="2:2" ht="15.6">
      <c r="B8372" s="159"/>
    </row>
    <row r="8373" spans="2:2" ht="15.6">
      <c r="B8373" s="159"/>
    </row>
    <row r="8374" spans="2:2" ht="15.6">
      <c r="B8374" s="159"/>
    </row>
    <row r="8375" spans="2:2" ht="15.6">
      <c r="B8375" s="159"/>
    </row>
    <row r="8376" spans="2:2" ht="15.6">
      <c r="B8376" s="159"/>
    </row>
    <row r="8377" spans="2:2" ht="15.6">
      <c r="B8377" s="159"/>
    </row>
    <row r="8378" spans="2:2" ht="15.6">
      <c r="B8378" s="159"/>
    </row>
    <row r="8379" spans="2:2" ht="15.6">
      <c r="B8379" s="159"/>
    </row>
    <row r="8380" spans="2:2" ht="15.6">
      <c r="B8380" s="159"/>
    </row>
    <row r="8381" spans="2:2" ht="15.6">
      <c r="B8381" s="159"/>
    </row>
    <row r="8382" spans="2:2" ht="15.6">
      <c r="B8382" s="159"/>
    </row>
    <row r="8383" spans="2:2" ht="15.6">
      <c r="B8383" s="159"/>
    </row>
    <row r="8384" spans="2:2" ht="15.6">
      <c r="B8384" s="159"/>
    </row>
    <row r="8385" spans="2:2" ht="15.6">
      <c r="B8385" s="159"/>
    </row>
    <row r="8386" spans="2:2" ht="15.6">
      <c r="B8386" s="159"/>
    </row>
    <row r="8387" spans="2:2" ht="15.6">
      <c r="B8387" s="159"/>
    </row>
    <row r="8388" spans="2:2" ht="15.6">
      <c r="B8388" s="159"/>
    </row>
    <row r="8389" spans="2:2" ht="15.6">
      <c r="B8389" s="159"/>
    </row>
    <row r="8390" spans="2:2" ht="15.6">
      <c r="B8390" s="159"/>
    </row>
    <row r="8391" spans="2:2" ht="15.6">
      <c r="B8391" s="159"/>
    </row>
    <row r="8392" spans="2:2" ht="15.6">
      <c r="B8392" s="159"/>
    </row>
    <row r="8393" spans="2:2" ht="15.6">
      <c r="B8393" s="159"/>
    </row>
    <row r="8394" spans="2:2" ht="15.6">
      <c r="B8394" s="159"/>
    </row>
    <row r="8395" spans="2:2" ht="15.6">
      <c r="B8395" s="159"/>
    </row>
    <row r="8396" spans="2:2" ht="15.6">
      <c r="B8396" s="159"/>
    </row>
    <row r="8397" spans="2:2" ht="15.6">
      <c r="B8397" s="159"/>
    </row>
    <row r="8398" spans="2:2" ht="15.6">
      <c r="B8398" s="159"/>
    </row>
    <row r="8399" spans="2:2" ht="15.6">
      <c r="B8399" s="159"/>
    </row>
    <row r="8400" spans="2:2" ht="15.6">
      <c r="B8400" s="159"/>
    </row>
    <row r="8401" spans="2:2" ht="15.6">
      <c r="B8401" s="159"/>
    </row>
    <row r="8402" spans="2:2" ht="15.6">
      <c r="B8402" s="159"/>
    </row>
    <row r="8403" spans="2:2" ht="15.6">
      <c r="B8403" s="159"/>
    </row>
    <row r="8404" spans="2:2" ht="15.6">
      <c r="B8404" s="159"/>
    </row>
    <row r="8405" spans="2:2" ht="15.6">
      <c r="B8405" s="159"/>
    </row>
    <row r="8406" spans="2:2" ht="15.6">
      <c r="B8406" s="159"/>
    </row>
    <row r="8407" spans="2:2" ht="15.6">
      <c r="B8407" s="159"/>
    </row>
    <row r="8408" spans="2:2" ht="15.6">
      <c r="B8408" s="159"/>
    </row>
    <row r="8409" spans="2:2" ht="15.6">
      <c r="B8409" s="159"/>
    </row>
    <row r="8410" spans="2:2" ht="15.6">
      <c r="B8410" s="159"/>
    </row>
    <row r="8411" spans="2:2" ht="15.6">
      <c r="B8411" s="159"/>
    </row>
    <row r="8412" spans="2:2" ht="15.6">
      <c r="B8412" s="159"/>
    </row>
    <row r="8413" spans="2:2" ht="15.6">
      <c r="B8413" s="159"/>
    </row>
    <row r="8414" spans="2:2" ht="15.6">
      <c r="B8414" s="159"/>
    </row>
    <row r="8415" spans="2:2" ht="15.6">
      <c r="B8415" s="159"/>
    </row>
    <row r="8416" spans="2:2" ht="15.6">
      <c r="B8416" s="159"/>
    </row>
    <row r="8417" spans="2:2" ht="15.6">
      <c r="B8417" s="159"/>
    </row>
    <row r="8418" spans="2:2" ht="15.6">
      <c r="B8418" s="159"/>
    </row>
    <row r="8419" spans="2:2" ht="15.6">
      <c r="B8419" s="159"/>
    </row>
    <row r="8420" spans="2:2" ht="15.6">
      <c r="B8420" s="159"/>
    </row>
    <row r="8421" spans="2:2" ht="15.6">
      <c r="B8421" s="159"/>
    </row>
    <row r="8422" spans="2:2" ht="15.6">
      <c r="B8422" s="159"/>
    </row>
    <row r="8423" spans="2:2" ht="15.6">
      <c r="B8423" s="159"/>
    </row>
    <row r="8424" spans="2:2" ht="15.6">
      <c r="B8424" s="159"/>
    </row>
    <row r="8425" spans="2:2" ht="15.6">
      <c r="B8425" s="159"/>
    </row>
    <row r="8426" spans="2:2" ht="15.6">
      <c r="B8426" s="159"/>
    </row>
    <row r="8427" spans="2:2" ht="15.6">
      <c r="B8427" s="159"/>
    </row>
    <row r="8428" spans="2:2" ht="15.6">
      <c r="B8428" s="159"/>
    </row>
    <row r="8429" spans="2:2" ht="15.6">
      <c r="B8429" s="159"/>
    </row>
    <row r="8430" spans="2:2" ht="15.6">
      <c r="B8430" s="159"/>
    </row>
    <row r="8431" spans="2:2" ht="15.6">
      <c r="B8431" s="159"/>
    </row>
    <row r="8432" spans="2:2" ht="15.6">
      <c r="B8432" s="159"/>
    </row>
    <row r="8433" spans="2:2" ht="15.6">
      <c r="B8433" s="159"/>
    </row>
    <row r="8434" spans="2:2" ht="15.6">
      <c r="B8434" s="159"/>
    </row>
    <row r="8435" spans="2:2" ht="15.6">
      <c r="B8435" s="159"/>
    </row>
    <row r="8436" spans="2:2" ht="15.6">
      <c r="B8436" s="159"/>
    </row>
    <row r="8437" spans="2:2" ht="15.6">
      <c r="B8437" s="159"/>
    </row>
    <row r="8438" spans="2:2" ht="15.6">
      <c r="B8438" s="159"/>
    </row>
    <row r="8439" spans="2:2" ht="15.6">
      <c r="B8439" s="159"/>
    </row>
    <row r="8440" spans="2:2" ht="15.6">
      <c r="B8440" s="159"/>
    </row>
    <row r="8441" spans="2:2" ht="15.6">
      <c r="B8441" s="159"/>
    </row>
    <row r="8442" spans="2:2" ht="15.6">
      <c r="B8442" s="159"/>
    </row>
    <row r="8443" spans="2:2" ht="15.6">
      <c r="B8443" s="159"/>
    </row>
    <row r="8444" spans="2:2" ht="15.6">
      <c r="B8444" s="159"/>
    </row>
    <row r="8445" spans="2:2" ht="15.6">
      <c r="B8445" s="159"/>
    </row>
    <row r="8446" spans="2:2" ht="15.6">
      <c r="B8446" s="159"/>
    </row>
    <row r="8447" spans="2:2" ht="15.6">
      <c r="B8447" s="159"/>
    </row>
    <row r="8448" spans="2:2" ht="15.6">
      <c r="B8448" s="159"/>
    </row>
    <row r="8449" spans="2:2" ht="15.6">
      <c r="B8449" s="159"/>
    </row>
    <row r="8450" spans="2:2" ht="15.6">
      <c r="B8450" s="159"/>
    </row>
    <row r="8451" spans="2:2" ht="15.6">
      <c r="B8451" s="159"/>
    </row>
    <row r="8452" spans="2:2" ht="15.6">
      <c r="B8452" s="159"/>
    </row>
    <row r="8453" spans="2:2" ht="15.6">
      <c r="B8453" s="159"/>
    </row>
    <row r="8454" spans="2:2" ht="15.6">
      <c r="B8454" s="159"/>
    </row>
    <row r="8455" spans="2:2" ht="15.6">
      <c r="B8455" s="159"/>
    </row>
    <row r="8456" spans="2:2" ht="15.6">
      <c r="B8456" s="159"/>
    </row>
    <row r="8457" spans="2:2" ht="15.6">
      <c r="B8457" s="159"/>
    </row>
    <row r="8458" spans="2:2" ht="15.6">
      <c r="B8458" s="159"/>
    </row>
    <row r="8459" spans="2:2" ht="15.6">
      <c r="B8459" s="159"/>
    </row>
    <row r="8460" spans="2:2" ht="15.6">
      <c r="B8460" s="159"/>
    </row>
    <row r="8461" spans="2:2" ht="15.6">
      <c r="B8461" s="159"/>
    </row>
    <row r="8462" spans="2:2" ht="15.6">
      <c r="B8462" s="159"/>
    </row>
    <row r="8463" spans="2:2" ht="15.6">
      <c r="B8463" s="159"/>
    </row>
    <row r="8464" spans="2:2" ht="15.6">
      <c r="B8464" s="159"/>
    </row>
    <row r="8465" spans="2:2" ht="15.6">
      <c r="B8465" s="159"/>
    </row>
    <row r="8466" spans="2:2" ht="15.6">
      <c r="B8466" s="159"/>
    </row>
    <row r="8467" spans="2:2" ht="15.6">
      <c r="B8467" s="159"/>
    </row>
    <row r="8468" spans="2:2" ht="15.6">
      <c r="B8468" s="159"/>
    </row>
    <row r="8469" spans="2:2" ht="15.6">
      <c r="B8469" s="159"/>
    </row>
    <row r="8470" spans="2:2" ht="15.6">
      <c r="B8470" s="159"/>
    </row>
    <row r="8471" spans="2:2" ht="15.6">
      <c r="B8471" s="159"/>
    </row>
    <row r="8472" spans="2:2" ht="15.6">
      <c r="B8472" s="159"/>
    </row>
    <row r="8473" spans="2:2" ht="15.6">
      <c r="B8473" s="159"/>
    </row>
    <row r="8474" spans="2:2" ht="15.6">
      <c r="B8474" s="159"/>
    </row>
    <row r="8475" spans="2:2" ht="15.6">
      <c r="B8475" s="159"/>
    </row>
    <row r="8476" spans="2:2" ht="15.6">
      <c r="B8476" s="159"/>
    </row>
    <row r="8477" spans="2:2" ht="15.6">
      <c r="B8477" s="159"/>
    </row>
    <row r="8478" spans="2:2" ht="15.6">
      <c r="B8478" s="159"/>
    </row>
    <row r="8479" spans="2:2" ht="15.6">
      <c r="B8479" s="159"/>
    </row>
    <row r="8480" spans="2:2" ht="15.6">
      <c r="B8480" s="159"/>
    </row>
    <row r="8481" spans="2:2" ht="15.6">
      <c r="B8481" s="159"/>
    </row>
    <row r="8482" spans="2:2" ht="15.6">
      <c r="B8482" s="159"/>
    </row>
    <row r="8483" spans="2:2" ht="15.6">
      <c r="B8483" s="159"/>
    </row>
    <row r="8484" spans="2:2" ht="15.6">
      <c r="B8484" s="159"/>
    </row>
    <row r="8485" spans="2:2" ht="15.6">
      <c r="B8485" s="159"/>
    </row>
    <row r="8486" spans="2:2" ht="15.6">
      <c r="B8486" s="159"/>
    </row>
    <row r="8487" spans="2:2" ht="15.6">
      <c r="B8487" s="159"/>
    </row>
    <row r="8488" spans="2:2" ht="15.6">
      <c r="B8488" s="159"/>
    </row>
    <row r="8489" spans="2:2" ht="15.6">
      <c r="B8489" s="159"/>
    </row>
    <row r="8490" spans="2:2" ht="15.6">
      <c r="B8490" s="159"/>
    </row>
    <row r="8491" spans="2:2" ht="15.6">
      <c r="B8491" s="159"/>
    </row>
    <row r="8492" spans="2:2" ht="15.6">
      <c r="B8492" s="159"/>
    </row>
    <row r="8493" spans="2:2" ht="15.6">
      <c r="B8493" s="159"/>
    </row>
    <row r="8494" spans="2:2" ht="15.6">
      <c r="B8494" s="159"/>
    </row>
    <row r="8495" spans="2:2" ht="15.6">
      <c r="B8495" s="159"/>
    </row>
    <row r="8496" spans="2:2" ht="15.6">
      <c r="B8496" s="159"/>
    </row>
    <row r="8497" spans="2:2" ht="15.6">
      <c r="B8497" s="159"/>
    </row>
    <row r="8498" spans="2:2" ht="15.6">
      <c r="B8498" s="159"/>
    </row>
    <row r="8499" spans="2:2" ht="15.6">
      <c r="B8499" s="159"/>
    </row>
    <row r="8500" spans="2:2" ht="15.6">
      <c r="B8500" s="159"/>
    </row>
    <row r="8501" spans="2:2" ht="15.6">
      <c r="B8501" s="159"/>
    </row>
    <row r="8502" spans="2:2" ht="15.6">
      <c r="B8502" s="159"/>
    </row>
    <row r="8503" spans="2:2" ht="15.6">
      <c r="B8503" s="159"/>
    </row>
    <row r="8504" spans="2:2" ht="15.6">
      <c r="B8504" s="159"/>
    </row>
    <row r="8505" spans="2:2" ht="15.6">
      <c r="B8505" s="159"/>
    </row>
    <row r="8506" spans="2:2" ht="15.6">
      <c r="B8506" s="159"/>
    </row>
    <row r="8507" spans="2:2" ht="15.6">
      <c r="B8507" s="159"/>
    </row>
    <row r="8508" spans="2:2" ht="15.6">
      <c r="B8508" s="159"/>
    </row>
    <row r="8509" spans="2:2" ht="15.6">
      <c r="B8509" s="159"/>
    </row>
    <row r="8510" spans="2:2" ht="15.6">
      <c r="B8510" s="159"/>
    </row>
    <row r="8511" spans="2:2" ht="15.6">
      <c r="B8511" s="159"/>
    </row>
    <row r="8512" spans="2:2" ht="15.6">
      <c r="B8512" s="159"/>
    </row>
    <row r="8513" spans="2:2" ht="15.6">
      <c r="B8513" s="159"/>
    </row>
    <row r="8514" spans="2:2" ht="15.6">
      <c r="B8514" s="159"/>
    </row>
    <row r="8515" spans="2:2" ht="15.6">
      <c r="B8515" s="159"/>
    </row>
    <row r="8516" spans="2:2" ht="15.6">
      <c r="B8516" s="159"/>
    </row>
    <row r="8517" spans="2:2" ht="15.6">
      <c r="B8517" s="159"/>
    </row>
    <row r="8518" spans="2:2" ht="15.6">
      <c r="B8518" s="159"/>
    </row>
    <row r="8519" spans="2:2" ht="15.6">
      <c r="B8519" s="159"/>
    </row>
    <row r="8520" spans="2:2" ht="15.6">
      <c r="B8520" s="159"/>
    </row>
    <row r="8521" spans="2:2" ht="15.6">
      <c r="B8521" s="159"/>
    </row>
    <row r="8522" spans="2:2" ht="15.6">
      <c r="B8522" s="159"/>
    </row>
    <row r="8523" spans="2:2" ht="15.6">
      <c r="B8523" s="159"/>
    </row>
    <row r="8524" spans="2:2" ht="15.6">
      <c r="B8524" s="159"/>
    </row>
    <row r="8525" spans="2:2" ht="15.6">
      <c r="B8525" s="159"/>
    </row>
    <row r="8526" spans="2:2" ht="15.6">
      <c r="B8526" s="159"/>
    </row>
    <row r="8527" spans="2:2" ht="15.6">
      <c r="B8527" s="159"/>
    </row>
    <row r="8528" spans="2:2" ht="15.6">
      <c r="B8528" s="159"/>
    </row>
    <row r="8529" spans="2:2" ht="15.6">
      <c r="B8529" s="159"/>
    </row>
    <row r="8530" spans="2:2" ht="15.6">
      <c r="B8530" s="159"/>
    </row>
    <row r="8531" spans="2:2" ht="15.6">
      <c r="B8531" s="159"/>
    </row>
    <row r="8532" spans="2:2" ht="15.6">
      <c r="B8532" s="159"/>
    </row>
    <row r="8533" spans="2:2" ht="15.6">
      <c r="B8533" s="159"/>
    </row>
    <row r="8534" spans="2:2" ht="15.6">
      <c r="B8534" s="159"/>
    </row>
    <row r="8535" spans="2:2" ht="15.6">
      <c r="B8535" s="159"/>
    </row>
    <row r="8536" spans="2:2" ht="15.6">
      <c r="B8536" s="159"/>
    </row>
    <row r="8537" spans="2:2" ht="15.6">
      <c r="B8537" s="159"/>
    </row>
    <row r="8538" spans="2:2" ht="15.6">
      <c r="B8538" s="159"/>
    </row>
    <row r="8539" spans="2:2" ht="15.6">
      <c r="B8539" s="159"/>
    </row>
    <row r="8540" spans="2:2" ht="15.6">
      <c r="B8540" s="159"/>
    </row>
    <row r="8541" spans="2:2" ht="15.6">
      <c r="B8541" s="159"/>
    </row>
    <row r="8542" spans="2:2" ht="15.6">
      <c r="B8542" s="159"/>
    </row>
    <row r="8543" spans="2:2" ht="15.6">
      <c r="B8543" s="159"/>
    </row>
    <row r="8544" spans="2:2" ht="15.6">
      <c r="B8544" s="159"/>
    </row>
    <row r="8545" spans="2:2" ht="15.6">
      <c r="B8545" s="159"/>
    </row>
    <row r="8546" spans="2:2" ht="15.6">
      <c r="B8546" s="159"/>
    </row>
    <row r="8547" spans="2:2" ht="15.6">
      <c r="B8547" s="159"/>
    </row>
    <row r="8548" spans="2:2" ht="15.6">
      <c r="B8548" s="159"/>
    </row>
    <row r="8549" spans="2:2" ht="15.6">
      <c r="B8549" s="159"/>
    </row>
    <row r="8550" spans="2:2" ht="15.6">
      <c r="B8550" s="159"/>
    </row>
    <row r="8551" spans="2:2" ht="15.6">
      <c r="B8551" s="159"/>
    </row>
    <row r="8552" spans="2:2" ht="15.6">
      <c r="B8552" s="159"/>
    </row>
    <row r="8553" spans="2:2" ht="15.6">
      <c r="B8553" s="159"/>
    </row>
    <row r="8554" spans="2:2" ht="15.6">
      <c r="B8554" s="159"/>
    </row>
    <row r="8555" spans="2:2" ht="15.6">
      <c r="B8555" s="159"/>
    </row>
    <row r="8556" spans="2:2" ht="15.6">
      <c r="B8556" s="159"/>
    </row>
    <row r="8557" spans="2:2" ht="15.6">
      <c r="B8557" s="159"/>
    </row>
    <row r="8558" spans="2:2" ht="15.6">
      <c r="B8558" s="159"/>
    </row>
    <row r="8559" spans="2:2" ht="15.6">
      <c r="B8559" s="159"/>
    </row>
    <row r="8560" spans="2:2" ht="15.6">
      <c r="B8560" s="159"/>
    </row>
    <row r="8561" spans="2:2" ht="15.6">
      <c r="B8561" s="159"/>
    </row>
    <row r="8562" spans="2:2" ht="15.6">
      <c r="B8562" s="159"/>
    </row>
    <row r="8563" spans="2:2" ht="15.6">
      <c r="B8563" s="159"/>
    </row>
    <row r="8564" spans="2:2" ht="15.6">
      <c r="B8564" s="159"/>
    </row>
    <row r="8565" spans="2:2" ht="15.6">
      <c r="B8565" s="159"/>
    </row>
    <row r="8566" spans="2:2" ht="15.6">
      <c r="B8566" s="159"/>
    </row>
    <row r="8567" spans="2:2" ht="15.6">
      <c r="B8567" s="159"/>
    </row>
    <row r="8568" spans="2:2" ht="15.6">
      <c r="B8568" s="159"/>
    </row>
    <row r="8569" spans="2:2" ht="15.6">
      <c r="B8569" s="159"/>
    </row>
    <row r="8570" spans="2:2" ht="15.6">
      <c r="B8570" s="159"/>
    </row>
    <row r="8571" spans="2:2" ht="15.6">
      <c r="B8571" s="159"/>
    </row>
    <row r="8572" spans="2:2" ht="15.6">
      <c r="B8572" s="159"/>
    </row>
    <row r="8573" spans="2:2" ht="15.6">
      <c r="B8573" s="159"/>
    </row>
    <row r="8574" spans="2:2" ht="15.6">
      <c r="B8574" s="159"/>
    </row>
    <row r="8575" spans="2:2" ht="15.6">
      <c r="B8575" s="159"/>
    </row>
    <row r="8576" spans="2:2" ht="15.6">
      <c r="B8576" s="159"/>
    </row>
    <row r="8577" spans="2:2" ht="15.6">
      <c r="B8577" s="159"/>
    </row>
    <row r="8578" spans="2:2" ht="15.6">
      <c r="B8578" s="159"/>
    </row>
    <row r="8579" spans="2:2" ht="15.6">
      <c r="B8579" s="159"/>
    </row>
    <row r="8580" spans="2:2" ht="15.6">
      <c r="B8580" s="159"/>
    </row>
    <row r="8581" spans="2:2" ht="15.6">
      <c r="B8581" s="159"/>
    </row>
    <row r="8582" spans="2:2" ht="15.6">
      <c r="B8582" s="159"/>
    </row>
    <row r="8583" spans="2:2" ht="15.6">
      <c r="B8583" s="159"/>
    </row>
    <row r="8584" spans="2:2" ht="15.6">
      <c r="B8584" s="159"/>
    </row>
    <row r="8585" spans="2:2" ht="15.6">
      <c r="B8585" s="159"/>
    </row>
    <row r="8586" spans="2:2" ht="15.6">
      <c r="B8586" s="159"/>
    </row>
    <row r="8587" spans="2:2" ht="15.6">
      <c r="B8587" s="159"/>
    </row>
    <row r="8588" spans="2:2" ht="15.6">
      <c r="B8588" s="159"/>
    </row>
    <row r="8589" spans="2:2" ht="15.6">
      <c r="B8589" s="159"/>
    </row>
    <row r="8590" spans="2:2" ht="15.6">
      <c r="B8590" s="159"/>
    </row>
    <row r="8591" spans="2:2" ht="15.6">
      <c r="B8591" s="159"/>
    </row>
    <row r="8592" spans="2:2" ht="15.6">
      <c r="B8592" s="159"/>
    </row>
    <row r="8593" spans="2:2" ht="15.6">
      <c r="B8593" s="159"/>
    </row>
    <row r="8594" spans="2:2" ht="15.6">
      <c r="B8594" s="159"/>
    </row>
    <row r="8595" spans="2:2" ht="15.6">
      <c r="B8595" s="159"/>
    </row>
    <row r="8596" spans="2:2" ht="15.6">
      <c r="B8596" s="159"/>
    </row>
    <row r="8597" spans="2:2" ht="15.6">
      <c r="B8597" s="159"/>
    </row>
    <row r="8598" spans="2:2" ht="15.6">
      <c r="B8598" s="159"/>
    </row>
    <row r="8599" spans="2:2" ht="15.6">
      <c r="B8599" s="159"/>
    </row>
    <row r="8600" spans="2:2" ht="15.6">
      <c r="B8600" s="159"/>
    </row>
    <row r="8601" spans="2:2" ht="15.6">
      <c r="B8601" s="159"/>
    </row>
    <row r="8602" spans="2:2" ht="15.6">
      <c r="B8602" s="159"/>
    </row>
    <row r="8603" spans="2:2" ht="15.6">
      <c r="B8603" s="159"/>
    </row>
    <row r="8604" spans="2:2" ht="15.6">
      <c r="B8604" s="159"/>
    </row>
    <row r="8605" spans="2:2" ht="15.6">
      <c r="B8605" s="159"/>
    </row>
    <row r="8606" spans="2:2" ht="15.6">
      <c r="B8606" s="159"/>
    </row>
    <row r="8607" spans="2:2" ht="15.6">
      <c r="B8607" s="159"/>
    </row>
    <row r="8608" spans="2:2" ht="15.6">
      <c r="B8608" s="159"/>
    </row>
    <row r="8609" spans="2:2" ht="15.6">
      <c r="B8609" s="159"/>
    </row>
    <row r="8610" spans="2:2" ht="15.6">
      <c r="B8610" s="159"/>
    </row>
    <row r="8611" spans="2:2" ht="15.6">
      <c r="B8611" s="159"/>
    </row>
    <row r="8612" spans="2:2" ht="15.6">
      <c r="B8612" s="159"/>
    </row>
    <row r="8613" spans="2:2" ht="15.6">
      <c r="B8613" s="159"/>
    </row>
    <row r="8614" spans="2:2" ht="15.6">
      <c r="B8614" s="159"/>
    </row>
    <row r="8615" spans="2:2" ht="15.6">
      <c r="B8615" s="159"/>
    </row>
    <row r="8616" spans="2:2" ht="15.6">
      <c r="B8616" s="159"/>
    </row>
    <row r="8617" spans="2:2" ht="15.6">
      <c r="B8617" s="159"/>
    </row>
    <row r="8618" spans="2:2" ht="15.6">
      <c r="B8618" s="159"/>
    </row>
    <row r="8619" spans="2:2" ht="15.6">
      <c r="B8619" s="159"/>
    </row>
    <row r="8620" spans="2:2" ht="15.6">
      <c r="B8620" s="159"/>
    </row>
    <row r="8621" spans="2:2" ht="15.6">
      <c r="B8621" s="159"/>
    </row>
    <row r="8622" spans="2:2" ht="15.6">
      <c r="B8622" s="159"/>
    </row>
    <row r="8623" spans="2:2" ht="15.6">
      <c r="B8623" s="159"/>
    </row>
    <row r="8624" spans="2:2" ht="15.6">
      <c r="B8624" s="159"/>
    </row>
    <row r="8625" spans="2:2" ht="15.6">
      <c r="B8625" s="159"/>
    </row>
    <row r="8626" spans="2:2" ht="15.6">
      <c r="B8626" s="159"/>
    </row>
    <row r="8627" spans="2:2" ht="15.6">
      <c r="B8627" s="159"/>
    </row>
    <row r="8628" spans="2:2" ht="15.6">
      <c r="B8628" s="159"/>
    </row>
    <row r="8629" spans="2:2" ht="15.6">
      <c r="B8629" s="159"/>
    </row>
    <row r="8630" spans="2:2" ht="15.6">
      <c r="B8630" s="159"/>
    </row>
    <row r="8631" spans="2:2" ht="15.6">
      <c r="B8631" s="159"/>
    </row>
    <row r="8632" spans="2:2" ht="15.6">
      <c r="B8632" s="159"/>
    </row>
    <row r="8633" spans="2:2" ht="15.6">
      <c r="B8633" s="159"/>
    </row>
    <row r="8634" spans="2:2" ht="15.6">
      <c r="B8634" s="159"/>
    </row>
    <row r="8635" spans="2:2" ht="15.6">
      <c r="B8635" s="159"/>
    </row>
    <row r="8636" spans="2:2" ht="15.6">
      <c r="B8636" s="159"/>
    </row>
    <row r="8637" spans="2:2" ht="15.6">
      <c r="B8637" s="159"/>
    </row>
    <row r="8638" spans="2:2" ht="15.6">
      <c r="B8638" s="159"/>
    </row>
    <row r="8639" spans="2:2" ht="15.6">
      <c r="B8639" s="159"/>
    </row>
    <row r="8640" spans="2:2" ht="15.6">
      <c r="B8640" s="159"/>
    </row>
    <row r="8641" spans="2:2" ht="15.6">
      <c r="B8641" s="159"/>
    </row>
    <row r="8642" spans="2:2" ht="15.6">
      <c r="B8642" s="159"/>
    </row>
    <row r="8643" spans="2:2" ht="15.6">
      <c r="B8643" s="159"/>
    </row>
    <row r="8644" spans="2:2" ht="15.6">
      <c r="B8644" s="159"/>
    </row>
    <row r="8645" spans="2:2" ht="15.6">
      <c r="B8645" s="159"/>
    </row>
    <row r="8646" spans="2:2" ht="15.6">
      <c r="B8646" s="159"/>
    </row>
    <row r="8647" spans="2:2" ht="15.6">
      <c r="B8647" s="159"/>
    </row>
    <row r="8648" spans="2:2" ht="15.6">
      <c r="B8648" s="159"/>
    </row>
    <row r="8649" spans="2:2" ht="15.6">
      <c r="B8649" s="159"/>
    </row>
    <row r="8650" spans="2:2" ht="15.6">
      <c r="B8650" s="159"/>
    </row>
    <row r="8651" spans="2:2" ht="15.6">
      <c r="B8651" s="159"/>
    </row>
    <row r="8652" spans="2:2" ht="15.6">
      <c r="B8652" s="159"/>
    </row>
    <row r="8653" spans="2:2" ht="15.6">
      <c r="B8653" s="159"/>
    </row>
    <row r="8654" spans="2:2" ht="15.6">
      <c r="B8654" s="159"/>
    </row>
    <row r="8655" spans="2:2" ht="15.6">
      <c r="B8655" s="159"/>
    </row>
    <row r="8656" spans="2:2" ht="15.6">
      <c r="B8656" s="159"/>
    </row>
    <row r="8657" spans="2:2" ht="15.6">
      <c r="B8657" s="159"/>
    </row>
    <row r="8658" spans="2:2" ht="15.6">
      <c r="B8658" s="159"/>
    </row>
    <row r="8659" spans="2:2" ht="15.6">
      <c r="B8659" s="159"/>
    </row>
    <row r="8660" spans="2:2" ht="15.6">
      <c r="B8660" s="159"/>
    </row>
    <row r="8661" spans="2:2" ht="15.6">
      <c r="B8661" s="159"/>
    </row>
    <row r="8662" spans="2:2" ht="15.6">
      <c r="B8662" s="159"/>
    </row>
    <row r="8663" spans="2:2" ht="15.6">
      <c r="B8663" s="159"/>
    </row>
    <row r="8664" spans="2:2" ht="15.6">
      <c r="B8664" s="159"/>
    </row>
    <row r="8665" spans="2:2" ht="15.6">
      <c r="B8665" s="159"/>
    </row>
    <row r="8666" spans="2:2" ht="15.6">
      <c r="B8666" s="159"/>
    </row>
    <row r="8667" spans="2:2" ht="15.6">
      <c r="B8667" s="159"/>
    </row>
    <row r="8668" spans="2:2" ht="15.6">
      <c r="B8668" s="159"/>
    </row>
    <row r="8669" spans="2:2" ht="15.6">
      <c r="B8669" s="159"/>
    </row>
    <row r="8670" spans="2:2" ht="15.6">
      <c r="B8670" s="159"/>
    </row>
    <row r="8671" spans="2:2" ht="15.6">
      <c r="B8671" s="159"/>
    </row>
    <row r="8672" spans="2:2" ht="15.6">
      <c r="B8672" s="159"/>
    </row>
    <row r="8673" spans="2:2" ht="15.6">
      <c r="B8673" s="159"/>
    </row>
    <row r="8674" spans="2:2" ht="15.6">
      <c r="B8674" s="159"/>
    </row>
    <row r="8675" spans="2:2" ht="15.6">
      <c r="B8675" s="159"/>
    </row>
    <row r="8676" spans="2:2" ht="15.6">
      <c r="B8676" s="159"/>
    </row>
    <row r="8677" spans="2:2" ht="15.6">
      <c r="B8677" s="159"/>
    </row>
    <row r="8678" spans="2:2" ht="15.6">
      <c r="B8678" s="159"/>
    </row>
    <row r="8679" spans="2:2" ht="15.6">
      <c r="B8679" s="159"/>
    </row>
    <row r="8680" spans="2:2" ht="15.6">
      <c r="B8680" s="159"/>
    </row>
    <row r="8681" spans="2:2" ht="15.6">
      <c r="B8681" s="159"/>
    </row>
    <row r="8682" spans="2:2" ht="15.6">
      <c r="B8682" s="159"/>
    </row>
    <row r="8683" spans="2:2" ht="15.6">
      <c r="B8683" s="159"/>
    </row>
    <row r="8684" spans="2:2" ht="15.6">
      <c r="B8684" s="159"/>
    </row>
    <row r="8685" spans="2:2" ht="15.6">
      <c r="B8685" s="159"/>
    </row>
    <row r="8686" spans="2:2" ht="15.6">
      <c r="B8686" s="159"/>
    </row>
    <row r="8687" spans="2:2" ht="15.6">
      <c r="B8687" s="159"/>
    </row>
    <row r="8688" spans="2:2" ht="15.6">
      <c r="B8688" s="159"/>
    </row>
    <row r="8689" spans="2:2" ht="15.6">
      <c r="B8689" s="159"/>
    </row>
    <row r="8690" spans="2:2" ht="15.6">
      <c r="B8690" s="159"/>
    </row>
    <row r="8691" spans="2:2" ht="15.6">
      <c r="B8691" s="159"/>
    </row>
    <row r="8692" spans="2:2" ht="15.6">
      <c r="B8692" s="159"/>
    </row>
    <row r="8693" spans="2:2" ht="15.6">
      <c r="B8693" s="159"/>
    </row>
    <row r="8694" spans="2:2" ht="15.6">
      <c r="B8694" s="159"/>
    </row>
    <row r="8695" spans="2:2" ht="15.6">
      <c r="B8695" s="159"/>
    </row>
    <row r="8696" spans="2:2" ht="15.6">
      <c r="B8696" s="159"/>
    </row>
    <row r="8697" spans="2:2" ht="15.6">
      <c r="B8697" s="159"/>
    </row>
    <row r="8698" spans="2:2" ht="15.6">
      <c r="B8698" s="159"/>
    </row>
    <row r="8699" spans="2:2" ht="15.6">
      <c r="B8699" s="159"/>
    </row>
    <row r="8700" spans="2:2" ht="15.6">
      <c r="B8700" s="159"/>
    </row>
    <row r="8701" spans="2:2" ht="15.6">
      <c r="B8701" s="159"/>
    </row>
    <row r="8702" spans="2:2" ht="15.6">
      <c r="B8702" s="159"/>
    </row>
    <row r="8703" spans="2:2" ht="15.6">
      <c r="B8703" s="159"/>
    </row>
    <row r="8704" spans="2:2" ht="15.6">
      <c r="B8704" s="159"/>
    </row>
    <row r="8705" spans="2:2" ht="15.6">
      <c r="B8705" s="159"/>
    </row>
    <row r="8706" spans="2:2" ht="15.6">
      <c r="B8706" s="159"/>
    </row>
    <row r="8707" spans="2:2" ht="15.6">
      <c r="B8707" s="159"/>
    </row>
    <row r="8708" spans="2:2" ht="15.6">
      <c r="B8708" s="159"/>
    </row>
    <row r="8709" spans="2:2" ht="15.6">
      <c r="B8709" s="159"/>
    </row>
    <row r="8710" spans="2:2" ht="15.6">
      <c r="B8710" s="159"/>
    </row>
    <row r="8711" spans="2:2" ht="15.6">
      <c r="B8711" s="159"/>
    </row>
    <row r="8712" spans="2:2" ht="15.6">
      <c r="B8712" s="159"/>
    </row>
    <row r="8713" spans="2:2" ht="15.6">
      <c r="B8713" s="159"/>
    </row>
    <row r="8714" spans="2:2" ht="15.6">
      <c r="B8714" s="159"/>
    </row>
    <row r="8715" spans="2:2" ht="15.6">
      <c r="B8715" s="159"/>
    </row>
    <row r="8716" spans="2:2" ht="15.6">
      <c r="B8716" s="159"/>
    </row>
    <row r="8717" spans="2:2" ht="15.6">
      <c r="B8717" s="159"/>
    </row>
    <row r="8718" spans="2:2" ht="15.6">
      <c r="B8718" s="159"/>
    </row>
    <row r="8719" spans="2:2" ht="15.6">
      <c r="B8719" s="159"/>
    </row>
    <row r="8720" spans="2:2" ht="15.6">
      <c r="B8720" s="159"/>
    </row>
    <row r="8721" spans="2:2" ht="15.6">
      <c r="B8721" s="159"/>
    </row>
    <row r="8722" spans="2:2" ht="15.6">
      <c r="B8722" s="159"/>
    </row>
    <row r="8723" spans="2:2" ht="15.6">
      <c r="B8723" s="159"/>
    </row>
    <row r="8724" spans="2:2" ht="15.6">
      <c r="B8724" s="159"/>
    </row>
    <row r="8725" spans="2:2" ht="15.6">
      <c r="B8725" s="159"/>
    </row>
    <row r="8726" spans="2:2" ht="15.6">
      <c r="B8726" s="159"/>
    </row>
    <row r="8727" spans="2:2" ht="15.6">
      <c r="B8727" s="159"/>
    </row>
    <row r="8728" spans="2:2" ht="15.6">
      <c r="B8728" s="159"/>
    </row>
    <row r="8729" spans="2:2" ht="15.6">
      <c r="B8729" s="159"/>
    </row>
    <row r="8730" spans="2:2" ht="15.6">
      <c r="B8730" s="159"/>
    </row>
    <row r="8731" spans="2:2" ht="15.6">
      <c r="B8731" s="159"/>
    </row>
    <row r="8732" spans="2:2" ht="15.6">
      <c r="B8732" s="159"/>
    </row>
    <row r="8733" spans="2:2" ht="15.6">
      <c r="B8733" s="159"/>
    </row>
    <row r="8734" spans="2:2" ht="15.6">
      <c r="B8734" s="159"/>
    </row>
    <row r="8735" spans="2:2" ht="15.6">
      <c r="B8735" s="159"/>
    </row>
    <row r="8736" spans="2:2" ht="15.6">
      <c r="B8736" s="159"/>
    </row>
    <row r="8737" spans="2:2" ht="15.6">
      <c r="B8737" s="159"/>
    </row>
    <row r="8738" spans="2:2" ht="15.6">
      <c r="B8738" s="159"/>
    </row>
    <row r="8739" spans="2:2" ht="15.6">
      <c r="B8739" s="159"/>
    </row>
    <row r="8740" spans="2:2" ht="15.6">
      <c r="B8740" s="159"/>
    </row>
    <row r="8741" spans="2:2" ht="15.6">
      <c r="B8741" s="159"/>
    </row>
    <row r="8742" spans="2:2" ht="15.6">
      <c r="B8742" s="159"/>
    </row>
    <row r="8743" spans="2:2" ht="15.6">
      <c r="B8743" s="159"/>
    </row>
    <row r="8744" spans="2:2" ht="15.6">
      <c r="B8744" s="159"/>
    </row>
    <row r="8745" spans="2:2" ht="15.6">
      <c r="B8745" s="159"/>
    </row>
    <row r="8746" spans="2:2" ht="15.6">
      <c r="B8746" s="159"/>
    </row>
    <row r="8747" spans="2:2" ht="15.6">
      <c r="B8747" s="159"/>
    </row>
    <row r="8748" spans="2:2" ht="15.6">
      <c r="B8748" s="159"/>
    </row>
    <row r="8749" spans="2:2" ht="15.6">
      <c r="B8749" s="159"/>
    </row>
    <row r="8750" spans="2:2" ht="15.6">
      <c r="B8750" s="159"/>
    </row>
    <row r="8751" spans="2:2" ht="15.6">
      <c r="B8751" s="159"/>
    </row>
    <row r="8752" spans="2:2" ht="15.6">
      <c r="B8752" s="159"/>
    </row>
    <row r="8753" spans="2:2" ht="15.6">
      <c r="B8753" s="159"/>
    </row>
    <row r="8754" spans="2:2" ht="15.6">
      <c r="B8754" s="159"/>
    </row>
    <row r="8755" spans="2:2" ht="15.6">
      <c r="B8755" s="159"/>
    </row>
    <row r="8756" spans="2:2" ht="15.6">
      <c r="B8756" s="159"/>
    </row>
    <row r="8757" spans="2:2" ht="15.6">
      <c r="B8757" s="159"/>
    </row>
    <row r="8758" spans="2:2" ht="15.6">
      <c r="B8758" s="159"/>
    </row>
    <row r="8759" spans="2:2" ht="15.6">
      <c r="B8759" s="159"/>
    </row>
    <row r="8760" spans="2:2" ht="15.6">
      <c r="B8760" s="159"/>
    </row>
    <row r="8761" spans="2:2" ht="15.6">
      <c r="B8761" s="159"/>
    </row>
    <row r="8762" spans="2:2" ht="15.6">
      <c r="B8762" s="159"/>
    </row>
    <row r="8763" spans="2:2" ht="15.6">
      <c r="B8763" s="159"/>
    </row>
    <row r="8764" spans="2:2" ht="15.6">
      <c r="B8764" s="159"/>
    </row>
    <row r="8765" spans="2:2" ht="15.6">
      <c r="B8765" s="159"/>
    </row>
    <row r="8766" spans="2:2" ht="15.6">
      <c r="B8766" s="159"/>
    </row>
    <row r="8767" spans="2:2" ht="15.6">
      <c r="B8767" s="159"/>
    </row>
    <row r="8768" spans="2:2" ht="15.6">
      <c r="B8768" s="159"/>
    </row>
    <row r="8769" spans="2:2" ht="15.6">
      <c r="B8769" s="159"/>
    </row>
    <row r="8770" spans="2:2" ht="15.6">
      <c r="B8770" s="159"/>
    </row>
    <row r="8771" spans="2:2" ht="15.6">
      <c r="B8771" s="159"/>
    </row>
    <row r="8772" spans="2:2" ht="15.6">
      <c r="B8772" s="159"/>
    </row>
    <row r="8773" spans="2:2" ht="15.6">
      <c r="B8773" s="159"/>
    </row>
    <row r="8774" spans="2:2" ht="15.6">
      <c r="B8774" s="159"/>
    </row>
    <row r="8775" spans="2:2" ht="15.6">
      <c r="B8775" s="159"/>
    </row>
    <row r="8776" spans="2:2" ht="15.6">
      <c r="B8776" s="159"/>
    </row>
    <row r="8777" spans="2:2" ht="15.6">
      <c r="B8777" s="159"/>
    </row>
    <row r="8778" spans="2:2" ht="15.6">
      <c r="B8778" s="159"/>
    </row>
    <row r="8779" spans="2:2" ht="15.6">
      <c r="B8779" s="159"/>
    </row>
    <row r="8780" spans="2:2" ht="15.6">
      <c r="B8780" s="159"/>
    </row>
    <row r="8781" spans="2:2" ht="15.6">
      <c r="B8781" s="159"/>
    </row>
    <row r="8782" spans="2:2" ht="15.6">
      <c r="B8782" s="159"/>
    </row>
    <row r="8783" spans="2:2" ht="15.6">
      <c r="B8783" s="159"/>
    </row>
    <row r="8784" spans="2:2" ht="15.6">
      <c r="B8784" s="159"/>
    </row>
    <row r="8785" spans="2:2" ht="15.6">
      <c r="B8785" s="159"/>
    </row>
    <row r="8786" spans="2:2" ht="15.6">
      <c r="B8786" s="159"/>
    </row>
    <row r="8787" spans="2:2" ht="15.6">
      <c r="B8787" s="159"/>
    </row>
    <row r="8788" spans="2:2" ht="15.6">
      <c r="B8788" s="159"/>
    </row>
    <row r="8789" spans="2:2" ht="15.6">
      <c r="B8789" s="159"/>
    </row>
    <row r="8790" spans="2:2" ht="15.6">
      <c r="B8790" s="159"/>
    </row>
    <row r="8791" spans="2:2" ht="15.6">
      <c r="B8791" s="159"/>
    </row>
    <row r="8792" spans="2:2" ht="15.6">
      <c r="B8792" s="159"/>
    </row>
    <row r="8793" spans="2:2" ht="15.6">
      <c r="B8793" s="159"/>
    </row>
    <row r="8794" spans="2:2" ht="15.6">
      <c r="B8794" s="159"/>
    </row>
    <row r="8795" spans="2:2" ht="15.6">
      <c r="B8795" s="159"/>
    </row>
    <row r="8796" spans="2:2" ht="15.6">
      <c r="B8796" s="159"/>
    </row>
    <row r="8797" spans="2:2" ht="15.6">
      <c r="B8797" s="159"/>
    </row>
    <row r="8798" spans="2:2" ht="15.6">
      <c r="B8798" s="159"/>
    </row>
    <row r="8799" spans="2:2" ht="15.6">
      <c r="B8799" s="159"/>
    </row>
    <row r="8800" spans="2:2" ht="15.6">
      <c r="B8800" s="159"/>
    </row>
    <row r="8801" spans="2:2" ht="15.6">
      <c r="B8801" s="159"/>
    </row>
    <row r="8802" spans="2:2" ht="15.6">
      <c r="B8802" s="159"/>
    </row>
    <row r="8803" spans="2:2" ht="15.6">
      <c r="B8803" s="159"/>
    </row>
    <row r="8804" spans="2:2" ht="15.6">
      <c r="B8804" s="159"/>
    </row>
    <row r="8805" spans="2:2" ht="15.6">
      <c r="B8805" s="159"/>
    </row>
    <row r="8806" spans="2:2" ht="15.6">
      <c r="B8806" s="159"/>
    </row>
    <row r="8807" spans="2:2" ht="15.6">
      <c r="B8807" s="159"/>
    </row>
    <row r="8808" spans="2:2" ht="15.6">
      <c r="B8808" s="159"/>
    </row>
    <row r="8809" spans="2:2" ht="15.6">
      <c r="B8809" s="159"/>
    </row>
    <row r="8810" spans="2:2" ht="15.6">
      <c r="B8810" s="159"/>
    </row>
    <row r="8811" spans="2:2" ht="15.6">
      <c r="B8811" s="159"/>
    </row>
    <row r="8812" spans="2:2" ht="15.6">
      <c r="B8812" s="159"/>
    </row>
    <row r="8813" spans="2:2" ht="15.6">
      <c r="B8813" s="159"/>
    </row>
    <row r="8814" spans="2:2" ht="15.6">
      <c r="B8814" s="159"/>
    </row>
    <row r="8815" spans="2:2" ht="15.6">
      <c r="B8815" s="159"/>
    </row>
    <row r="8816" spans="2:2" ht="15.6">
      <c r="B8816" s="159"/>
    </row>
    <row r="8817" spans="2:2" ht="15.6">
      <c r="B8817" s="159"/>
    </row>
    <row r="8818" spans="2:2" ht="15.6">
      <c r="B8818" s="159"/>
    </row>
    <row r="8819" spans="2:2" ht="15.6">
      <c r="B8819" s="159"/>
    </row>
    <row r="8820" spans="2:2" ht="15.6">
      <c r="B8820" s="159"/>
    </row>
    <row r="8821" spans="2:2" ht="15.6">
      <c r="B8821" s="159"/>
    </row>
    <row r="8822" spans="2:2" ht="15.6">
      <c r="B8822" s="159"/>
    </row>
    <row r="8823" spans="2:2" ht="15.6">
      <c r="B8823" s="159"/>
    </row>
    <row r="8824" spans="2:2" ht="15.6">
      <c r="B8824" s="159"/>
    </row>
    <row r="8825" spans="2:2" ht="15.6">
      <c r="B8825" s="159"/>
    </row>
    <row r="8826" spans="2:2" ht="15.6">
      <c r="B8826" s="159"/>
    </row>
    <row r="8827" spans="2:2" ht="15.6">
      <c r="B8827" s="159"/>
    </row>
    <row r="8828" spans="2:2" ht="15.6">
      <c r="B8828" s="159"/>
    </row>
    <row r="8829" spans="2:2" ht="15.6">
      <c r="B8829" s="159"/>
    </row>
    <row r="8830" spans="2:2" ht="15.6">
      <c r="B8830" s="159"/>
    </row>
    <row r="8831" spans="2:2" ht="15.6">
      <c r="B8831" s="159"/>
    </row>
    <row r="8832" spans="2:2" ht="15.6">
      <c r="B8832" s="159"/>
    </row>
    <row r="8833" spans="2:2" ht="15.6">
      <c r="B8833" s="159"/>
    </row>
    <row r="8834" spans="2:2" ht="15.6">
      <c r="B8834" s="159"/>
    </row>
    <row r="8835" spans="2:2" ht="15.6">
      <c r="B8835" s="159"/>
    </row>
    <row r="8836" spans="2:2" ht="15.6">
      <c r="B8836" s="159"/>
    </row>
    <row r="8837" spans="2:2" ht="15.6">
      <c r="B8837" s="159"/>
    </row>
    <row r="8838" spans="2:2" ht="15.6">
      <c r="B8838" s="159"/>
    </row>
    <row r="8839" spans="2:2" ht="15.6">
      <c r="B8839" s="159"/>
    </row>
    <row r="8840" spans="2:2" ht="15.6">
      <c r="B8840" s="159"/>
    </row>
    <row r="8841" spans="2:2" ht="15.6">
      <c r="B8841" s="159"/>
    </row>
    <row r="8842" spans="2:2" ht="15.6">
      <c r="B8842" s="159"/>
    </row>
    <row r="8843" spans="2:2" ht="15.6">
      <c r="B8843" s="159"/>
    </row>
    <row r="8844" spans="2:2" ht="15.6">
      <c r="B8844" s="159"/>
    </row>
    <row r="8845" spans="2:2" ht="15.6">
      <c r="B8845" s="159"/>
    </row>
    <row r="8846" spans="2:2" ht="15.6">
      <c r="B8846" s="159"/>
    </row>
    <row r="8847" spans="2:2" ht="15.6">
      <c r="B8847" s="159"/>
    </row>
    <row r="8848" spans="2:2" ht="15.6">
      <c r="B8848" s="159"/>
    </row>
    <row r="8849" spans="2:2" ht="15.6">
      <c r="B8849" s="159"/>
    </row>
    <row r="8850" spans="2:2" ht="15.6">
      <c r="B8850" s="159"/>
    </row>
    <row r="8851" spans="2:2" ht="15.6">
      <c r="B8851" s="159"/>
    </row>
    <row r="8852" spans="2:2" ht="15.6">
      <c r="B8852" s="159"/>
    </row>
    <row r="8853" spans="2:2" ht="15.6">
      <c r="B8853" s="159"/>
    </row>
    <row r="8854" spans="2:2" ht="15.6">
      <c r="B8854" s="159"/>
    </row>
    <row r="8855" spans="2:2" ht="15.6">
      <c r="B8855" s="159"/>
    </row>
    <row r="8856" spans="2:2" ht="15.6">
      <c r="B8856" s="159"/>
    </row>
    <row r="8857" spans="2:2" ht="15.6">
      <c r="B8857" s="159"/>
    </row>
    <row r="8858" spans="2:2" ht="15.6">
      <c r="B8858" s="159"/>
    </row>
    <row r="8859" spans="2:2" ht="15.6">
      <c r="B8859" s="159"/>
    </row>
    <row r="8860" spans="2:2" ht="15.6">
      <c r="B8860" s="159"/>
    </row>
    <row r="8861" spans="2:2" ht="15.6">
      <c r="B8861" s="159"/>
    </row>
    <row r="8862" spans="2:2" ht="15.6">
      <c r="B8862" s="159"/>
    </row>
    <row r="8863" spans="2:2" ht="15.6">
      <c r="B8863" s="159"/>
    </row>
    <row r="8864" spans="2:2" ht="15.6">
      <c r="B8864" s="159"/>
    </row>
    <row r="8865" spans="2:2" ht="15.6">
      <c r="B8865" s="159"/>
    </row>
    <row r="8866" spans="2:2" ht="15.6">
      <c r="B8866" s="159"/>
    </row>
    <row r="8867" spans="2:2" ht="15.6">
      <c r="B8867" s="159"/>
    </row>
    <row r="8868" spans="2:2" ht="15.6">
      <c r="B8868" s="159"/>
    </row>
    <row r="8869" spans="2:2" ht="15.6">
      <c r="B8869" s="159"/>
    </row>
    <row r="8870" spans="2:2" ht="15.6">
      <c r="B8870" s="159"/>
    </row>
    <row r="8871" spans="2:2" ht="15.6">
      <c r="B8871" s="159"/>
    </row>
    <row r="8872" spans="2:2" ht="15.6">
      <c r="B8872" s="159"/>
    </row>
    <row r="8873" spans="2:2" ht="15.6">
      <c r="B8873" s="159"/>
    </row>
    <row r="8874" spans="2:2" ht="15.6">
      <c r="B8874" s="159"/>
    </row>
    <row r="8875" spans="2:2" ht="15.6">
      <c r="B8875" s="159"/>
    </row>
    <row r="8876" spans="2:2" ht="15.6">
      <c r="B8876" s="159"/>
    </row>
    <row r="8877" spans="2:2" ht="15.6">
      <c r="B8877" s="159"/>
    </row>
    <row r="8878" spans="2:2" ht="15.6">
      <c r="B8878" s="159"/>
    </row>
    <row r="8879" spans="2:2" ht="15.6">
      <c r="B8879" s="159"/>
    </row>
    <row r="8880" spans="2:2" ht="15.6">
      <c r="B8880" s="159"/>
    </row>
    <row r="8881" spans="2:2" ht="15.6">
      <c r="B8881" s="159"/>
    </row>
    <row r="8882" spans="2:2" ht="15.6">
      <c r="B8882" s="159"/>
    </row>
    <row r="8883" spans="2:2" ht="15.6">
      <c r="B8883" s="159"/>
    </row>
    <row r="8884" spans="2:2" ht="15.6">
      <c r="B8884" s="159"/>
    </row>
    <row r="8885" spans="2:2" ht="15.6">
      <c r="B8885" s="159"/>
    </row>
    <row r="8886" spans="2:2" ht="15.6">
      <c r="B8886" s="159"/>
    </row>
    <row r="8887" spans="2:2" ht="15.6">
      <c r="B8887" s="159"/>
    </row>
    <row r="8888" spans="2:2" ht="15.6">
      <c r="B8888" s="159"/>
    </row>
    <row r="8889" spans="2:2" ht="15.6">
      <c r="B8889" s="159"/>
    </row>
    <row r="8890" spans="2:2" ht="15.6">
      <c r="B8890" s="159"/>
    </row>
    <row r="8891" spans="2:2" ht="15.6">
      <c r="B8891" s="159"/>
    </row>
    <row r="8892" spans="2:2" ht="15.6">
      <c r="B8892" s="159"/>
    </row>
    <row r="8893" spans="2:2" ht="15.6">
      <c r="B8893" s="159"/>
    </row>
    <row r="8894" spans="2:2" ht="15.6">
      <c r="B8894" s="159"/>
    </row>
    <row r="8895" spans="2:2" ht="15.6">
      <c r="B8895" s="159"/>
    </row>
    <row r="8896" spans="2:2" ht="15.6">
      <c r="B8896" s="159"/>
    </row>
    <row r="8897" spans="2:2" ht="15.6">
      <c r="B8897" s="159"/>
    </row>
    <row r="8898" spans="2:2" ht="15.6">
      <c r="B8898" s="159"/>
    </row>
    <row r="8899" spans="2:2" ht="15.6">
      <c r="B8899" s="159"/>
    </row>
    <row r="8900" spans="2:2" ht="15.6">
      <c r="B8900" s="159"/>
    </row>
    <row r="8901" spans="2:2" ht="15.6">
      <c r="B8901" s="159"/>
    </row>
    <row r="8902" spans="2:2" ht="15.6">
      <c r="B8902" s="159"/>
    </row>
    <row r="8903" spans="2:2" ht="15.6">
      <c r="B8903" s="159"/>
    </row>
    <row r="8904" spans="2:2" ht="15.6">
      <c r="B8904" s="159"/>
    </row>
    <row r="8905" spans="2:2" ht="15.6">
      <c r="B8905" s="159"/>
    </row>
    <row r="8906" spans="2:2" ht="15.6">
      <c r="B8906" s="159"/>
    </row>
    <row r="8907" spans="2:2" ht="15.6">
      <c r="B8907" s="159"/>
    </row>
    <row r="8908" spans="2:2" ht="15.6">
      <c r="B8908" s="159"/>
    </row>
    <row r="8909" spans="2:2" ht="15.6">
      <c r="B8909" s="159"/>
    </row>
    <row r="8910" spans="2:2" ht="15.6">
      <c r="B8910" s="159"/>
    </row>
    <row r="8911" spans="2:2" ht="15.6">
      <c r="B8911" s="159"/>
    </row>
    <row r="8912" spans="2:2" ht="15.6">
      <c r="B8912" s="159"/>
    </row>
    <row r="8913" spans="2:2" ht="15.6">
      <c r="B8913" s="159"/>
    </row>
    <row r="8914" spans="2:2" ht="15.6">
      <c r="B8914" s="159"/>
    </row>
    <row r="8915" spans="2:2" ht="15.6">
      <c r="B8915" s="159"/>
    </row>
    <row r="8916" spans="2:2" ht="15.6">
      <c r="B8916" s="159"/>
    </row>
    <row r="8917" spans="2:2" ht="15.6">
      <c r="B8917" s="159"/>
    </row>
    <row r="8918" spans="2:2" ht="15.6">
      <c r="B8918" s="159"/>
    </row>
    <row r="8919" spans="2:2" ht="15.6">
      <c r="B8919" s="159"/>
    </row>
    <row r="8920" spans="2:2" ht="15.6">
      <c r="B8920" s="159"/>
    </row>
    <row r="8921" spans="2:2" ht="15.6">
      <c r="B8921" s="159"/>
    </row>
    <row r="8922" spans="2:2" ht="15.6">
      <c r="B8922" s="159"/>
    </row>
    <row r="8923" spans="2:2" ht="15.6">
      <c r="B8923" s="159"/>
    </row>
    <row r="8924" spans="2:2" ht="15.6">
      <c r="B8924" s="159"/>
    </row>
    <row r="8925" spans="2:2" ht="15.6">
      <c r="B8925" s="159"/>
    </row>
    <row r="8926" spans="2:2" ht="15.6">
      <c r="B8926" s="159"/>
    </row>
    <row r="8927" spans="2:2" ht="15.6">
      <c r="B8927" s="159"/>
    </row>
    <row r="8928" spans="2:2" ht="15.6">
      <c r="B8928" s="159"/>
    </row>
    <row r="8929" spans="2:2" ht="15.6">
      <c r="B8929" s="159"/>
    </row>
    <row r="8930" spans="2:2" ht="15.6">
      <c r="B8930" s="159"/>
    </row>
    <row r="8931" spans="2:2" ht="15.6">
      <c r="B8931" s="159"/>
    </row>
    <row r="8932" spans="2:2" ht="15.6">
      <c r="B8932" s="159"/>
    </row>
    <row r="8933" spans="2:2" ht="15.6">
      <c r="B8933" s="159"/>
    </row>
    <row r="8934" spans="2:2" ht="15.6">
      <c r="B8934" s="159"/>
    </row>
    <row r="8935" spans="2:2" ht="15.6">
      <c r="B8935" s="159"/>
    </row>
    <row r="8936" spans="2:2" ht="15.6">
      <c r="B8936" s="159"/>
    </row>
    <row r="8937" spans="2:2" ht="15.6">
      <c r="B8937" s="159"/>
    </row>
    <row r="8938" spans="2:2" ht="15.6">
      <c r="B8938" s="159"/>
    </row>
    <row r="8939" spans="2:2" ht="15.6">
      <c r="B8939" s="159"/>
    </row>
    <row r="8940" spans="2:2" ht="15.6">
      <c r="B8940" s="159"/>
    </row>
    <row r="8941" spans="2:2" ht="15.6">
      <c r="B8941" s="159"/>
    </row>
    <row r="8942" spans="2:2" ht="15.6">
      <c r="B8942" s="159"/>
    </row>
    <row r="8943" spans="2:2" ht="15.6">
      <c r="B8943" s="159"/>
    </row>
    <row r="8944" spans="2:2" ht="15.6">
      <c r="B8944" s="159"/>
    </row>
    <row r="8945" spans="2:2" ht="15.6">
      <c r="B8945" s="159"/>
    </row>
    <row r="8946" spans="2:2" ht="15.6">
      <c r="B8946" s="159"/>
    </row>
    <row r="8947" spans="2:2" ht="15.6">
      <c r="B8947" s="159"/>
    </row>
    <row r="8948" spans="2:2" ht="15.6">
      <c r="B8948" s="159"/>
    </row>
    <row r="8949" spans="2:2" ht="15.6">
      <c r="B8949" s="159"/>
    </row>
    <row r="8950" spans="2:2" ht="15.6">
      <c r="B8950" s="159"/>
    </row>
    <row r="8951" spans="2:2" ht="15.6">
      <c r="B8951" s="159"/>
    </row>
    <row r="8952" spans="2:2" ht="15.6">
      <c r="B8952" s="159"/>
    </row>
    <row r="8953" spans="2:2" ht="15.6">
      <c r="B8953" s="159"/>
    </row>
    <row r="8954" spans="2:2" ht="15.6">
      <c r="B8954" s="159"/>
    </row>
    <row r="8955" spans="2:2" ht="15.6">
      <c r="B8955" s="159"/>
    </row>
    <row r="8956" spans="2:2" ht="15.6">
      <c r="B8956" s="159"/>
    </row>
    <row r="8957" spans="2:2" ht="15.6">
      <c r="B8957" s="159"/>
    </row>
    <row r="8958" spans="2:2" ht="15.6">
      <c r="B8958" s="159"/>
    </row>
    <row r="8959" spans="2:2" ht="15.6">
      <c r="B8959" s="159"/>
    </row>
    <row r="8960" spans="2:2" ht="15.6">
      <c r="B8960" s="159"/>
    </row>
    <row r="8961" spans="2:2" ht="15.6">
      <c r="B8961" s="159"/>
    </row>
    <row r="8962" spans="2:2" ht="15.6">
      <c r="B8962" s="159"/>
    </row>
    <row r="8963" spans="2:2" ht="15.6">
      <c r="B8963" s="159"/>
    </row>
    <row r="8964" spans="2:2" ht="15.6">
      <c r="B8964" s="159"/>
    </row>
    <row r="8965" spans="2:2" ht="15.6">
      <c r="B8965" s="159"/>
    </row>
    <row r="8966" spans="2:2" ht="15.6">
      <c r="B8966" s="159"/>
    </row>
    <row r="8967" spans="2:2" ht="15.6">
      <c r="B8967" s="159"/>
    </row>
    <row r="8968" spans="2:2" ht="15.6">
      <c r="B8968" s="159"/>
    </row>
    <row r="8969" spans="2:2" ht="15.6">
      <c r="B8969" s="159"/>
    </row>
    <row r="8970" spans="2:2" ht="15.6">
      <c r="B8970" s="159"/>
    </row>
    <row r="8971" spans="2:2" ht="15.6">
      <c r="B8971" s="159"/>
    </row>
    <row r="8972" spans="2:2" ht="15.6">
      <c r="B8972" s="159"/>
    </row>
    <row r="8973" spans="2:2" ht="15.6">
      <c r="B8973" s="159"/>
    </row>
    <row r="8974" spans="2:2" ht="15.6">
      <c r="B8974" s="159"/>
    </row>
    <row r="8975" spans="2:2" ht="15.6">
      <c r="B8975" s="159"/>
    </row>
    <row r="8976" spans="2:2" ht="15.6">
      <c r="B8976" s="159"/>
    </row>
    <row r="8977" spans="2:2" ht="15.6">
      <c r="B8977" s="159"/>
    </row>
    <row r="8978" spans="2:2" ht="15.6">
      <c r="B8978" s="159"/>
    </row>
    <row r="8979" spans="2:2" ht="15.6">
      <c r="B8979" s="159"/>
    </row>
    <row r="8980" spans="2:2" ht="15.6">
      <c r="B8980" s="159"/>
    </row>
    <row r="8981" spans="2:2" ht="15.6">
      <c r="B8981" s="159"/>
    </row>
    <row r="8982" spans="2:2" ht="15.6">
      <c r="B8982" s="159"/>
    </row>
    <row r="8983" spans="2:2" ht="15.6">
      <c r="B8983" s="159"/>
    </row>
    <row r="8984" spans="2:2" ht="15.6">
      <c r="B8984" s="159"/>
    </row>
    <row r="8985" spans="2:2" ht="15.6">
      <c r="B8985" s="159"/>
    </row>
    <row r="8986" spans="2:2" ht="15.6">
      <c r="B8986" s="159"/>
    </row>
    <row r="8987" spans="2:2" ht="15.6">
      <c r="B8987" s="159"/>
    </row>
    <row r="8988" spans="2:2" ht="15.6">
      <c r="B8988" s="159"/>
    </row>
    <row r="8989" spans="2:2" ht="15.6">
      <c r="B8989" s="159"/>
    </row>
    <row r="8990" spans="2:2" ht="15.6">
      <c r="B8990" s="159"/>
    </row>
    <row r="8991" spans="2:2" ht="15.6">
      <c r="B8991" s="159"/>
    </row>
    <row r="8992" spans="2:2" ht="15.6">
      <c r="B8992" s="159"/>
    </row>
    <row r="8993" spans="2:2" ht="15.6">
      <c r="B8993" s="159"/>
    </row>
    <row r="8994" spans="2:2" ht="15.6">
      <c r="B8994" s="159"/>
    </row>
    <row r="8995" spans="2:2" ht="15.6">
      <c r="B8995" s="159"/>
    </row>
    <row r="8996" spans="2:2" ht="15.6">
      <c r="B8996" s="159"/>
    </row>
    <row r="8997" spans="2:2" ht="15.6">
      <c r="B8997" s="159"/>
    </row>
    <row r="8998" spans="2:2" ht="15.6">
      <c r="B8998" s="159"/>
    </row>
    <row r="8999" spans="2:2" ht="15.6">
      <c r="B8999" s="159"/>
    </row>
    <row r="9000" spans="2:2" ht="15.6">
      <c r="B9000" s="159"/>
    </row>
    <row r="9001" spans="2:2" ht="15.6">
      <c r="B9001" s="159"/>
    </row>
    <row r="9002" spans="2:2" ht="15.6">
      <c r="B9002" s="159"/>
    </row>
    <row r="9003" spans="2:2" ht="15.6">
      <c r="B9003" s="159"/>
    </row>
    <row r="9004" spans="2:2" ht="15.6">
      <c r="B9004" s="159"/>
    </row>
    <row r="9005" spans="2:2" ht="15.6">
      <c r="B9005" s="159"/>
    </row>
    <row r="9006" spans="2:2" ht="15.6">
      <c r="B9006" s="159"/>
    </row>
    <row r="9007" spans="2:2" ht="15.6">
      <c r="B9007" s="159"/>
    </row>
    <row r="9008" spans="2:2" ht="15.6">
      <c r="B9008" s="159"/>
    </row>
    <row r="9009" spans="2:2" ht="15.6">
      <c r="B9009" s="159"/>
    </row>
    <row r="9010" spans="2:2" ht="15.6">
      <c r="B9010" s="159"/>
    </row>
    <row r="9011" spans="2:2" ht="15.6">
      <c r="B9011" s="159"/>
    </row>
    <row r="9012" spans="2:2" ht="15.6">
      <c r="B9012" s="159"/>
    </row>
    <row r="9013" spans="2:2" ht="15.6">
      <c r="B9013" s="159"/>
    </row>
    <row r="9014" spans="2:2" ht="15.6">
      <c r="B9014" s="159"/>
    </row>
    <row r="9015" spans="2:2" ht="15.6">
      <c r="B9015" s="159"/>
    </row>
    <row r="9016" spans="2:2" ht="15.6">
      <c r="B9016" s="159"/>
    </row>
    <row r="9017" spans="2:2" ht="15.6">
      <c r="B9017" s="159"/>
    </row>
    <row r="9018" spans="2:2" ht="15.6">
      <c r="B9018" s="159"/>
    </row>
    <row r="9019" spans="2:2" ht="15.6">
      <c r="B9019" s="159"/>
    </row>
    <row r="9020" spans="2:2" ht="15.6">
      <c r="B9020" s="159"/>
    </row>
    <row r="9021" spans="2:2" ht="15.6">
      <c r="B9021" s="159"/>
    </row>
    <row r="9022" spans="2:2" ht="15.6">
      <c r="B9022" s="159"/>
    </row>
    <row r="9023" spans="2:2" ht="15.6">
      <c r="B9023" s="159"/>
    </row>
    <row r="9024" spans="2:2" ht="15.6">
      <c r="B9024" s="159"/>
    </row>
    <row r="9025" spans="2:2" ht="15.6">
      <c r="B9025" s="159"/>
    </row>
    <row r="9026" spans="2:2" ht="15.6">
      <c r="B9026" s="159"/>
    </row>
    <row r="9027" spans="2:2" ht="15.6">
      <c r="B9027" s="159"/>
    </row>
    <row r="9028" spans="2:2" ht="15.6">
      <c r="B9028" s="159"/>
    </row>
    <row r="9029" spans="2:2" ht="15.6">
      <c r="B9029" s="159"/>
    </row>
    <row r="9030" spans="2:2" ht="15.6">
      <c r="B9030" s="159"/>
    </row>
    <row r="9031" spans="2:2" ht="15.6">
      <c r="B9031" s="159"/>
    </row>
    <row r="9032" spans="2:2" ht="15.6">
      <c r="B9032" s="159"/>
    </row>
    <row r="9033" spans="2:2" ht="15.6">
      <c r="B9033" s="159"/>
    </row>
    <row r="9034" spans="2:2" ht="15.6">
      <c r="B9034" s="159"/>
    </row>
    <row r="9035" spans="2:2" ht="15.6">
      <c r="B9035" s="159"/>
    </row>
    <row r="9036" spans="2:2" ht="15.6">
      <c r="B9036" s="159"/>
    </row>
    <row r="9037" spans="2:2" ht="15.6">
      <c r="B9037" s="159"/>
    </row>
    <row r="9038" spans="2:2" ht="15.6">
      <c r="B9038" s="159"/>
    </row>
    <row r="9039" spans="2:2" ht="15.6">
      <c r="B9039" s="159"/>
    </row>
    <row r="9040" spans="2:2" ht="15.6">
      <c r="B9040" s="159"/>
    </row>
    <row r="9041" spans="2:2" ht="15.6">
      <c r="B9041" s="159"/>
    </row>
    <row r="9042" spans="2:2" ht="15.6">
      <c r="B9042" s="159"/>
    </row>
    <row r="9043" spans="2:2" ht="15.6">
      <c r="B9043" s="159"/>
    </row>
    <row r="9044" spans="2:2" ht="15.6">
      <c r="B9044" s="159"/>
    </row>
    <row r="9045" spans="2:2" ht="15.6">
      <c r="B9045" s="159"/>
    </row>
    <row r="9046" spans="2:2" ht="15.6">
      <c r="B9046" s="159"/>
    </row>
    <row r="9047" spans="2:2" ht="15.6">
      <c r="B9047" s="159"/>
    </row>
    <row r="9048" spans="2:2" ht="15.6">
      <c r="B9048" s="159"/>
    </row>
    <row r="9049" spans="2:2" ht="15.6">
      <c r="B9049" s="159"/>
    </row>
    <row r="9050" spans="2:2" ht="15.6">
      <c r="B9050" s="159"/>
    </row>
    <row r="9051" spans="2:2" ht="15.6">
      <c r="B9051" s="159"/>
    </row>
    <row r="9052" spans="2:2" ht="15.6">
      <c r="B9052" s="159"/>
    </row>
    <row r="9053" spans="2:2" ht="15.6">
      <c r="B9053" s="159"/>
    </row>
    <row r="9054" spans="2:2" ht="15.6">
      <c r="B9054" s="159"/>
    </row>
    <row r="9055" spans="2:2" ht="15.6">
      <c r="B9055" s="159"/>
    </row>
    <row r="9056" spans="2:2" ht="15.6">
      <c r="B9056" s="159"/>
    </row>
    <row r="9057" spans="2:2" ht="15.6">
      <c r="B9057" s="159"/>
    </row>
    <row r="9058" spans="2:2" ht="15.6">
      <c r="B9058" s="159"/>
    </row>
    <row r="9059" spans="2:2" ht="15.6">
      <c r="B9059" s="159"/>
    </row>
    <row r="9060" spans="2:2" ht="15.6">
      <c r="B9060" s="159"/>
    </row>
    <row r="9061" spans="2:2" ht="15.6">
      <c r="B9061" s="159"/>
    </row>
    <row r="9062" spans="2:2" ht="15.6">
      <c r="B9062" s="159"/>
    </row>
    <row r="9063" spans="2:2" ht="15.6">
      <c r="B9063" s="159"/>
    </row>
    <row r="9064" spans="2:2" ht="15.6">
      <c r="B9064" s="159"/>
    </row>
    <row r="9065" spans="2:2" ht="15.6">
      <c r="B9065" s="159"/>
    </row>
    <row r="9066" spans="2:2" ht="15.6">
      <c r="B9066" s="159"/>
    </row>
    <row r="9067" spans="2:2" ht="15.6">
      <c r="B9067" s="159"/>
    </row>
    <row r="9068" spans="2:2" ht="15.6">
      <c r="B9068" s="159"/>
    </row>
    <row r="9069" spans="2:2" ht="15.6">
      <c r="B9069" s="159"/>
    </row>
    <row r="9070" spans="2:2" ht="15.6">
      <c r="B9070" s="159"/>
    </row>
    <row r="9071" spans="2:2" ht="15.6">
      <c r="B9071" s="159"/>
    </row>
    <row r="9072" spans="2:2" ht="15.6">
      <c r="B9072" s="159"/>
    </row>
    <row r="9073" spans="2:2" ht="15.6">
      <c r="B9073" s="159"/>
    </row>
    <row r="9074" spans="2:2" ht="15.6">
      <c r="B9074" s="159"/>
    </row>
    <row r="9075" spans="2:2" ht="15.6">
      <c r="B9075" s="159"/>
    </row>
    <row r="9076" spans="2:2" ht="15.6">
      <c r="B9076" s="159"/>
    </row>
    <row r="9077" spans="2:2" ht="15.6">
      <c r="B9077" s="159"/>
    </row>
    <row r="9078" spans="2:2" ht="15.6">
      <c r="B9078" s="159"/>
    </row>
    <row r="9079" spans="2:2" ht="15.6">
      <c r="B9079" s="159"/>
    </row>
    <row r="9080" spans="2:2" ht="15.6">
      <c r="B9080" s="159"/>
    </row>
    <row r="9081" spans="2:2" ht="15.6">
      <c r="B9081" s="159"/>
    </row>
    <row r="9082" spans="2:2" ht="15.6">
      <c r="B9082" s="159"/>
    </row>
    <row r="9083" spans="2:2" ht="15.6">
      <c r="B9083" s="159"/>
    </row>
    <row r="9084" spans="2:2" ht="15.6">
      <c r="B9084" s="159"/>
    </row>
    <row r="9085" spans="2:2" ht="15.6">
      <c r="B9085" s="159"/>
    </row>
    <row r="9086" spans="2:2" ht="15.6">
      <c r="B9086" s="159"/>
    </row>
    <row r="9087" spans="2:2" ht="15.6">
      <c r="B9087" s="159"/>
    </row>
    <row r="9088" spans="2:2" ht="15.6">
      <c r="B9088" s="159"/>
    </row>
    <row r="9089" spans="2:2" ht="15.6">
      <c r="B9089" s="159"/>
    </row>
    <row r="9090" spans="2:2" ht="15.6">
      <c r="B9090" s="159"/>
    </row>
    <row r="9091" spans="2:2" ht="15.6">
      <c r="B9091" s="159"/>
    </row>
    <row r="9092" spans="2:2" ht="15.6">
      <c r="B9092" s="159"/>
    </row>
    <row r="9093" spans="2:2" ht="15.6">
      <c r="B9093" s="159"/>
    </row>
    <row r="9094" spans="2:2" ht="15.6">
      <c r="B9094" s="159"/>
    </row>
    <row r="9095" spans="2:2" ht="15.6">
      <c r="B9095" s="159"/>
    </row>
    <row r="9096" spans="2:2" ht="15.6">
      <c r="B9096" s="159"/>
    </row>
    <row r="9097" spans="2:2" ht="15.6">
      <c r="B9097" s="159"/>
    </row>
    <row r="9098" spans="2:2" ht="15.6">
      <c r="B9098" s="159"/>
    </row>
    <row r="9099" spans="2:2" ht="15.6">
      <c r="B9099" s="159"/>
    </row>
    <row r="9100" spans="2:2" ht="15.6">
      <c r="B9100" s="159"/>
    </row>
    <row r="9101" spans="2:2" ht="15.6">
      <c r="B9101" s="159"/>
    </row>
    <row r="9102" spans="2:2" ht="15.6">
      <c r="B9102" s="159"/>
    </row>
    <row r="9103" spans="2:2" ht="15.6">
      <c r="B9103" s="159"/>
    </row>
    <row r="9104" spans="2:2" ht="15.6">
      <c r="B9104" s="159"/>
    </row>
    <row r="9105" spans="2:2" ht="15.6">
      <c r="B9105" s="159"/>
    </row>
    <row r="9106" spans="2:2" ht="15.6">
      <c r="B9106" s="159"/>
    </row>
    <row r="9107" spans="2:2" ht="15.6">
      <c r="B9107" s="159"/>
    </row>
    <row r="9108" spans="2:2" ht="15.6">
      <c r="B9108" s="159"/>
    </row>
    <row r="9109" spans="2:2" ht="15.6">
      <c r="B9109" s="159"/>
    </row>
    <row r="9110" spans="2:2" ht="15.6">
      <c r="B9110" s="159"/>
    </row>
    <row r="9111" spans="2:2" ht="15.6">
      <c r="B9111" s="159"/>
    </row>
    <row r="9112" spans="2:2" ht="15.6">
      <c r="B9112" s="159"/>
    </row>
    <row r="9113" spans="2:2" ht="15.6">
      <c r="B9113" s="159"/>
    </row>
    <row r="9114" spans="2:2" ht="15.6">
      <c r="B9114" s="159"/>
    </row>
    <row r="9115" spans="2:2" ht="15.6">
      <c r="B9115" s="159"/>
    </row>
    <row r="9116" spans="2:2" ht="15.6">
      <c r="B9116" s="159"/>
    </row>
    <row r="9117" spans="2:2" ht="15.6">
      <c r="B9117" s="159"/>
    </row>
    <row r="9118" spans="2:2" ht="15.6">
      <c r="B9118" s="159"/>
    </row>
    <row r="9119" spans="2:2" ht="15.6">
      <c r="B9119" s="159"/>
    </row>
    <row r="9120" spans="2:2" ht="15.6">
      <c r="B9120" s="159"/>
    </row>
    <row r="9121" spans="2:2" ht="15.6">
      <c r="B9121" s="159"/>
    </row>
    <row r="9122" spans="2:2" ht="15.6">
      <c r="B9122" s="159"/>
    </row>
    <row r="9123" spans="2:2" ht="15.6">
      <c r="B9123" s="159"/>
    </row>
    <row r="9124" spans="2:2" ht="15.6">
      <c r="B9124" s="159"/>
    </row>
    <row r="9125" spans="2:2" ht="15.6">
      <c r="B9125" s="159"/>
    </row>
    <row r="9126" spans="2:2" ht="15.6">
      <c r="B9126" s="159"/>
    </row>
    <row r="9127" spans="2:2" ht="15.6">
      <c r="B9127" s="159"/>
    </row>
    <row r="9128" spans="2:2" ht="15.6">
      <c r="B9128" s="159"/>
    </row>
    <row r="9129" spans="2:2" ht="15.6">
      <c r="B9129" s="159"/>
    </row>
    <row r="9130" spans="2:2" ht="15.6">
      <c r="B9130" s="159"/>
    </row>
    <row r="9131" spans="2:2" ht="15.6">
      <c r="B9131" s="159"/>
    </row>
    <row r="9132" spans="2:2" ht="15.6">
      <c r="B9132" s="159"/>
    </row>
    <row r="9133" spans="2:2" ht="15.6">
      <c r="B9133" s="159"/>
    </row>
    <row r="9134" spans="2:2" ht="15.6">
      <c r="B9134" s="159"/>
    </row>
    <row r="9135" spans="2:2" ht="15.6">
      <c r="B9135" s="159"/>
    </row>
    <row r="9136" spans="2:2" ht="15.6">
      <c r="B9136" s="159"/>
    </row>
    <row r="9137" spans="2:2" ht="15.6">
      <c r="B9137" s="159"/>
    </row>
    <row r="9138" spans="2:2" ht="15.6">
      <c r="B9138" s="159"/>
    </row>
    <row r="9139" spans="2:2" ht="15.6">
      <c r="B9139" s="159"/>
    </row>
    <row r="9140" spans="2:2" ht="15.6">
      <c r="B9140" s="159"/>
    </row>
    <row r="9141" spans="2:2" ht="15.6">
      <c r="B9141" s="159"/>
    </row>
    <row r="9142" spans="2:2" ht="15.6">
      <c r="B9142" s="159"/>
    </row>
    <row r="9143" spans="2:2" ht="15.6">
      <c r="B9143" s="159"/>
    </row>
    <row r="9144" spans="2:2" ht="15.6">
      <c r="B9144" s="159"/>
    </row>
    <row r="9145" spans="2:2" ht="15.6">
      <c r="B9145" s="159"/>
    </row>
    <row r="9146" spans="2:2" ht="15.6">
      <c r="B9146" s="159"/>
    </row>
    <row r="9147" spans="2:2" ht="15.6">
      <c r="B9147" s="159"/>
    </row>
    <row r="9148" spans="2:2" ht="15.6">
      <c r="B9148" s="159"/>
    </row>
    <row r="9149" spans="2:2" ht="15.6">
      <c r="B9149" s="159"/>
    </row>
    <row r="9150" spans="2:2" ht="15.6">
      <c r="B9150" s="159"/>
    </row>
    <row r="9151" spans="2:2" ht="15.6">
      <c r="B9151" s="159"/>
    </row>
    <row r="9152" spans="2:2" ht="15.6">
      <c r="B9152" s="159"/>
    </row>
    <row r="9153" spans="2:2" ht="15.6">
      <c r="B9153" s="159"/>
    </row>
    <row r="9154" spans="2:2" ht="15.6">
      <c r="B9154" s="159"/>
    </row>
    <row r="9155" spans="2:2" ht="15.6">
      <c r="B9155" s="159"/>
    </row>
    <row r="9156" spans="2:2" ht="15.6">
      <c r="B9156" s="159"/>
    </row>
    <row r="9157" spans="2:2" ht="15.6">
      <c r="B9157" s="159"/>
    </row>
    <row r="9158" spans="2:2" ht="15.6">
      <c r="B9158" s="159"/>
    </row>
    <row r="9159" spans="2:2" ht="15.6">
      <c r="B9159" s="159"/>
    </row>
    <row r="9160" spans="2:2" ht="15.6">
      <c r="B9160" s="159"/>
    </row>
    <row r="9161" spans="2:2" ht="15.6">
      <c r="B9161" s="159"/>
    </row>
    <row r="9162" spans="2:2" ht="15.6">
      <c r="B9162" s="159"/>
    </row>
    <row r="9163" spans="2:2" ht="15.6">
      <c r="B9163" s="159"/>
    </row>
    <row r="9164" spans="2:2" ht="15.6">
      <c r="B9164" s="159"/>
    </row>
    <row r="9165" spans="2:2" ht="15.6">
      <c r="B9165" s="159"/>
    </row>
    <row r="9166" spans="2:2" ht="15.6">
      <c r="B9166" s="159"/>
    </row>
    <row r="9167" spans="2:2" ht="15.6">
      <c r="B9167" s="159"/>
    </row>
    <row r="9168" spans="2:2" ht="15.6">
      <c r="B9168" s="159"/>
    </row>
    <row r="9169" spans="2:2" ht="15.6">
      <c r="B9169" s="159"/>
    </row>
    <row r="9170" spans="2:2" ht="15.6">
      <c r="B9170" s="159"/>
    </row>
    <row r="9171" spans="2:2" ht="15.6">
      <c r="B9171" s="159"/>
    </row>
    <row r="9172" spans="2:2" ht="15.6">
      <c r="B9172" s="159"/>
    </row>
    <row r="9173" spans="2:2" ht="15.6">
      <c r="B9173" s="159"/>
    </row>
    <row r="9174" spans="2:2" ht="15.6">
      <c r="B9174" s="159"/>
    </row>
    <row r="9175" spans="2:2" ht="15.6">
      <c r="B9175" s="159"/>
    </row>
    <row r="9176" spans="2:2" ht="15.6">
      <c r="B9176" s="159"/>
    </row>
    <row r="9177" spans="2:2" ht="15.6">
      <c r="B9177" s="159"/>
    </row>
    <row r="9178" spans="2:2" ht="15.6">
      <c r="B9178" s="159"/>
    </row>
    <row r="9179" spans="2:2" ht="15.6">
      <c r="B9179" s="159"/>
    </row>
    <row r="9180" spans="2:2" ht="15.6">
      <c r="B9180" s="159"/>
    </row>
    <row r="9181" spans="2:2" ht="15.6">
      <c r="B9181" s="159"/>
    </row>
    <row r="9182" spans="2:2" ht="15.6">
      <c r="B9182" s="159"/>
    </row>
    <row r="9183" spans="2:2" ht="15.6">
      <c r="B9183" s="159"/>
    </row>
    <row r="9184" spans="2:2" ht="15.6">
      <c r="B9184" s="159"/>
    </row>
    <row r="9185" spans="2:2" ht="15.6">
      <c r="B9185" s="159"/>
    </row>
    <row r="9186" spans="2:2" ht="15.6">
      <c r="B9186" s="159"/>
    </row>
    <row r="9187" spans="2:2" ht="15.6">
      <c r="B9187" s="159"/>
    </row>
    <row r="9188" spans="2:2" ht="15.6">
      <c r="B9188" s="159"/>
    </row>
    <row r="9189" spans="2:2" ht="15.6">
      <c r="B9189" s="159"/>
    </row>
    <row r="9190" spans="2:2" ht="15.6">
      <c r="B9190" s="159"/>
    </row>
    <row r="9191" spans="2:2" ht="15.6">
      <c r="B9191" s="159"/>
    </row>
    <row r="9192" spans="2:2" ht="15.6">
      <c r="B9192" s="159"/>
    </row>
    <row r="9193" spans="2:2" ht="15.6">
      <c r="B9193" s="159"/>
    </row>
    <row r="9194" spans="2:2" ht="15.6">
      <c r="B9194" s="159"/>
    </row>
    <row r="9195" spans="2:2" ht="15.6">
      <c r="B9195" s="159"/>
    </row>
    <row r="9196" spans="2:2" ht="15.6">
      <c r="B9196" s="159"/>
    </row>
    <row r="9197" spans="2:2" ht="15.6">
      <c r="B9197" s="159"/>
    </row>
    <row r="9198" spans="2:2" ht="15.6">
      <c r="B9198" s="159"/>
    </row>
    <row r="9199" spans="2:2" ht="15.6">
      <c r="B9199" s="159"/>
    </row>
    <row r="9200" spans="2:2" ht="15.6">
      <c r="B9200" s="159"/>
    </row>
    <row r="9201" spans="2:2" ht="15.6">
      <c r="B9201" s="159"/>
    </row>
    <row r="9202" spans="2:2" ht="15.6">
      <c r="B9202" s="159"/>
    </row>
    <row r="9203" spans="2:2" ht="15.6">
      <c r="B9203" s="159"/>
    </row>
    <row r="9204" spans="2:2" ht="15.6">
      <c r="B9204" s="159"/>
    </row>
    <row r="9205" spans="2:2" ht="15.6">
      <c r="B9205" s="159"/>
    </row>
    <row r="9206" spans="2:2" ht="15.6">
      <c r="B9206" s="159"/>
    </row>
    <row r="9207" spans="2:2" ht="15.6">
      <c r="B9207" s="159"/>
    </row>
    <row r="9208" spans="2:2" ht="15.6">
      <c r="B9208" s="159"/>
    </row>
    <row r="9209" spans="2:2" ht="15.6">
      <c r="B9209" s="159"/>
    </row>
    <row r="9210" spans="2:2" ht="15.6">
      <c r="B9210" s="159"/>
    </row>
    <row r="9211" spans="2:2" ht="15.6">
      <c r="B9211" s="159"/>
    </row>
    <row r="9212" spans="2:2" ht="15.6">
      <c r="B9212" s="159"/>
    </row>
    <row r="9213" spans="2:2" ht="15.6">
      <c r="B9213" s="159"/>
    </row>
    <row r="9214" spans="2:2" ht="15.6">
      <c r="B9214" s="159"/>
    </row>
    <row r="9215" spans="2:2" ht="15.6">
      <c r="B9215" s="159"/>
    </row>
    <row r="9216" spans="2:2" ht="15.6">
      <c r="B9216" s="159"/>
    </row>
    <row r="9217" spans="2:2" ht="15.6">
      <c r="B9217" s="159"/>
    </row>
    <row r="9218" spans="2:2" ht="15.6">
      <c r="B9218" s="159"/>
    </row>
    <row r="9219" spans="2:2" ht="15.6">
      <c r="B9219" s="159"/>
    </row>
    <row r="9220" spans="2:2" ht="15.6">
      <c r="B9220" s="159"/>
    </row>
    <row r="9221" spans="2:2" ht="15.6">
      <c r="B9221" s="159"/>
    </row>
    <row r="9222" spans="2:2" ht="15.6">
      <c r="B9222" s="159"/>
    </row>
    <row r="9223" spans="2:2" ht="15.6">
      <c r="B9223" s="159"/>
    </row>
    <row r="9224" spans="2:2" ht="15.6">
      <c r="B9224" s="159"/>
    </row>
    <row r="9225" spans="2:2" ht="15.6">
      <c r="B9225" s="159"/>
    </row>
    <row r="9226" spans="2:2" ht="15.6">
      <c r="B9226" s="159"/>
    </row>
    <row r="9227" spans="2:2" ht="15.6">
      <c r="B9227" s="159"/>
    </row>
    <row r="9228" spans="2:2" ht="15.6">
      <c r="B9228" s="159"/>
    </row>
    <row r="9229" spans="2:2" ht="15.6">
      <c r="B9229" s="159"/>
    </row>
    <row r="9230" spans="2:2" ht="15.6">
      <c r="B9230" s="159"/>
    </row>
    <row r="9231" spans="2:2" ht="15.6">
      <c r="B9231" s="159"/>
    </row>
    <row r="9232" spans="2:2" ht="15.6">
      <c r="B9232" s="159"/>
    </row>
    <row r="9233" spans="2:2" ht="15.6">
      <c r="B9233" s="159"/>
    </row>
    <row r="9234" spans="2:2" ht="15.6">
      <c r="B9234" s="159"/>
    </row>
    <row r="9235" spans="2:2" ht="15.6">
      <c r="B9235" s="159"/>
    </row>
    <row r="9236" spans="2:2" ht="15.6">
      <c r="B9236" s="159"/>
    </row>
    <row r="9237" spans="2:2" ht="15.6">
      <c r="B9237" s="159"/>
    </row>
    <row r="9238" spans="2:2" ht="15.6">
      <c r="B9238" s="159"/>
    </row>
    <row r="9239" spans="2:2" ht="15.6">
      <c r="B9239" s="159"/>
    </row>
    <row r="9240" spans="2:2" ht="15.6">
      <c r="B9240" s="159"/>
    </row>
    <row r="9241" spans="2:2" ht="15.6">
      <c r="B9241" s="159"/>
    </row>
    <row r="9242" spans="2:2" ht="15.6">
      <c r="B9242" s="159"/>
    </row>
    <row r="9243" spans="2:2" ht="15.6">
      <c r="B9243" s="159"/>
    </row>
    <row r="9244" spans="2:2" ht="15.6">
      <c r="B9244" s="159"/>
    </row>
    <row r="9245" spans="2:2" ht="15.6">
      <c r="B9245" s="159"/>
    </row>
    <row r="9246" spans="2:2" ht="15.6">
      <c r="B9246" s="159"/>
    </row>
    <row r="9247" spans="2:2" ht="15.6">
      <c r="B9247" s="159"/>
    </row>
    <row r="9248" spans="2:2" ht="15.6">
      <c r="B9248" s="159"/>
    </row>
    <row r="9249" spans="2:2" ht="15.6">
      <c r="B9249" s="159"/>
    </row>
    <row r="9250" spans="2:2" ht="15.6">
      <c r="B9250" s="159"/>
    </row>
    <row r="9251" spans="2:2" ht="15.6">
      <c r="B9251" s="159"/>
    </row>
    <row r="9252" spans="2:2" ht="15.6">
      <c r="B9252" s="159"/>
    </row>
    <row r="9253" spans="2:2" ht="15.6">
      <c r="B9253" s="159"/>
    </row>
    <row r="9254" spans="2:2" ht="15.6">
      <c r="B9254" s="159"/>
    </row>
    <row r="9255" spans="2:2" ht="15.6">
      <c r="B9255" s="159"/>
    </row>
    <row r="9256" spans="2:2" ht="15.6">
      <c r="B9256" s="159"/>
    </row>
    <row r="9257" spans="2:2" ht="15.6">
      <c r="B9257" s="159"/>
    </row>
    <row r="9258" spans="2:2" ht="15.6">
      <c r="B9258" s="159"/>
    </row>
    <row r="9259" spans="2:2" ht="15.6">
      <c r="B9259" s="159"/>
    </row>
    <row r="9260" spans="2:2" ht="15.6">
      <c r="B9260" s="159"/>
    </row>
    <row r="9261" spans="2:2" ht="15.6">
      <c r="B9261" s="159"/>
    </row>
    <row r="9262" spans="2:2" ht="15.6">
      <c r="B9262" s="159"/>
    </row>
    <row r="9263" spans="2:2" ht="15.6">
      <c r="B9263" s="159"/>
    </row>
    <row r="9264" spans="2:2" ht="15.6">
      <c r="B9264" s="159"/>
    </row>
    <row r="9265" spans="2:2" ht="15.6">
      <c r="B9265" s="159"/>
    </row>
    <row r="9266" spans="2:2" ht="15.6">
      <c r="B9266" s="159"/>
    </row>
    <row r="9267" spans="2:2" ht="15.6">
      <c r="B9267" s="159"/>
    </row>
    <row r="9268" spans="2:2" ht="15.6">
      <c r="B9268" s="159"/>
    </row>
    <row r="9269" spans="2:2" ht="15.6">
      <c r="B9269" s="159"/>
    </row>
    <row r="9270" spans="2:2" ht="15.6">
      <c r="B9270" s="159"/>
    </row>
    <row r="9271" spans="2:2" ht="15.6">
      <c r="B9271" s="159"/>
    </row>
    <row r="9272" spans="2:2" ht="15.6">
      <c r="B9272" s="159"/>
    </row>
    <row r="9273" spans="2:2" ht="15.6">
      <c r="B9273" s="159"/>
    </row>
    <row r="9274" spans="2:2" ht="15.6">
      <c r="B9274" s="159"/>
    </row>
    <row r="9275" spans="2:2" ht="15.6">
      <c r="B9275" s="159"/>
    </row>
    <row r="9276" spans="2:2" ht="15.6">
      <c r="B9276" s="159"/>
    </row>
    <row r="9277" spans="2:2" ht="15.6">
      <c r="B9277" s="159"/>
    </row>
    <row r="9278" spans="2:2" ht="15.6">
      <c r="B9278" s="159"/>
    </row>
    <row r="9279" spans="2:2" ht="15.6">
      <c r="B9279" s="159"/>
    </row>
    <row r="9280" spans="2:2" ht="15.6">
      <c r="B9280" s="159"/>
    </row>
    <row r="9281" spans="2:2" ht="15.6">
      <c r="B9281" s="159"/>
    </row>
    <row r="9282" spans="2:2" ht="15.6">
      <c r="B9282" s="159"/>
    </row>
    <row r="9283" spans="2:2" ht="15.6">
      <c r="B9283" s="159"/>
    </row>
    <row r="9284" spans="2:2" ht="15.6">
      <c r="B9284" s="159"/>
    </row>
    <row r="9285" spans="2:2" ht="15.6">
      <c r="B9285" s="159"/>
    </row>
    <row r="9286" spans="2:2" ht="15.6">
      <c r="B9286" s="159"/>
    </row>
    <row r="9287" spans="2:2" ht="15.6">
      <c r="B9287" s="159"/>
    </row>
    <row r="9288" spans="2:2" ht="15.6">
      <c r="B9288" s="159"/>
    </row>
    <row r="9289" spans="2:2" ht="15.6">
      <c r="B9289" s="159"/>
    </row>
    <row r="9290" spans="2:2" ht="15.6">
      <c r="B9290" s="159"/>
    </row>
    <row r="9291" spans="2:2" ht="15.6">
      <c r="B9291" s="159"/>
    </row>
    <row r="9292" spans="2:2" ht="15.6">
      <c r="B9292" s="159"/>
    </row>
    <row r="9293" spans="2:2" ht="15.6">
      <c r="B9293" s="159"/>
    </row>
    <row r="9294" spans="2:2" ht="15.6">
      <c r="B9294" s="159"/>
    </row>
    <row r="9295" spans="2:2" ht="15.6">
      <c r="B9295" s="159"/>
    </row>
    <row r="9296" spans="2:2" ht="15.6">
      <c r="B9296" s="159"/>
    </row>
    <row r="9297" spans="2:2" ht="15.6">
      <c r="B9297" s="159"/>
    </row>
    <row r="9298" spans="2:2" ht="15.6">
      <c r="B9298" s="159"/>
    </row>
    <row r="9299" spans="2:2" ht="15.6">
      <c r="B9299" s="159"/>
    </row>
    <row r="9300" spans="2:2" ht="15.6">
      <c r="B9300" s="159"/>
    </row>
    <row r="9301" spans="2:2" ht="15.6">
      <c r="B9301" s="159"/>
    </row>
    <row r="9302" spans="2:2" ht="15.6">
      <c r="B9302" s="159"/>
    </row>
    <row r="9303" spans="2:2" ht="15.6">
      <c r="B9303" s="159"/>
    </row>
    <row r="9304" spans="2:2" ht="15.6">
      <c r="B9304" s="159"/>
    </row>
    <row r="9305" spans="2:2" ht="15.6">
      <c r="B9305" s="159"/>
    </row>
    <row r="9306" spans="2:2" ht="15.6">
      <c r="B9306" s="159"/>
    </row>
    <row r="9307" spans="2:2" ht="15.6">
      <c r="B9307" s="159"/>
    </row>
    <row r="9308" spans="2:2" ht="15.6">
      <c r="B9308" s="159"/>
    </row>
    <row r="9309" spans="2:2" ht="15.6">
      <c r="B9309" s="159"/>
    </row>
    <row r="9310" spans="2:2" ht="15.6">
      <c r="B9310" s="159"/>
    </row>
    <row r="9311" spans="2:2" ht="15.6">
      <c r="B9311" s="159"/>
    </row>
    <row r="9312" spans="2:2" ht="15.6">
      <c r="B9312" s="159"/>
    </row>
    <row r="9313" spans="2:2" ht="15.6">
      <c r="B9313" s="159"/>
    </row>
    <row r="9314" spans="2:2" ht="15.6">
      <c r="B9314" s="159"/>
    </row>
    <row r="9315" spans="2:2" ht="15.6">
      <c r="B9315" s="159"/>
    </row>
    <row r="9316" spans="2:2" ht="15.6">
      <c r="B9316" s="159"/>
    </row>
    <row r="9317" spans="2:2" ht="15.6">
      <c r="B9317" s="159"/>
    </row>
    <row r="9318" spans="2:2" ht="15.6">
      <c r="B9318" s="159"/>
    </row>
    <row r="9319" spans="2:2" ht="15.6">
      <c r="B9319" s="159"/>
    </row>
    <row r="9320" spans="2:2" ht="15.6">
      <c r="B9320" s="159"/>
    </row>
    <row r="9321" spans="2:2" ht="15.6">
      <c r="B9321" s="159"/>
    </row>
    <row r="9322" spans="2:2" ht="15.6">
      <c r="B9322" s="159"/>
    </row>
    <row r="9323" spans="2:2" ht="15.6">
      <c r="B9323" s="159"/>
    </row>
    <row r="9324" spans="2:2" ht="15.6">
      <c r="B9324" s="159"/>
    </row>
    <row r="9325" spans="2:2" ht="15.6">
      <c r="B9325" s="159"/>
    </row>
    <row r="9326" spans="2:2" ht="15.6">
      <c r="B9326" s="159"/>
    </row>
    <row r="9327" spans="2:2" ht="15.6">
      <c r="B9327" s="159"/>
    </row>
    <row r="9328" spans="2:2" ht="15.6">
      <c r="B9328" s="159"/>
    </row>
    <row r="9329" spans="2:2" ht="15.6">
      <c r="B9329" s="159"/>
    </row>
    <row r="9330" spans="2:2" ht="15.6">
      <c r="B9330" s="159"/>
    </row>
    <row r="9331" spans="2:2" ht="15.6">
      <c r="B9331" s="159"/>
    </row>
    <row r="9332" spans="2:2" ht="15.6">
      <c r="B9332" s="159"/>
    </row>
    <row r="9333" spans="2:2" ht="15.6">
      <c r="B9333" s="159"/>
    </row>
    <row r="9334" spans="2:2" ht="15.6">
      <c r="B9334" s="159"/>
    </row>
    <row r="9335" spans="2:2" ht="15.6">
      <c r="B9335" s="159"/>
    </row>
    <row r="9336" spans="2:2" ht="15.6">
      <c r="B9336" s="159"/>
    </row>
    <row r="9337" spans="2:2" ht="15.6">
      <c r="B9337" s="159"/>
    </row>
    <row r="9338" spans="2:2" ht="15.6">
      <c r="B9338" s="159"/>
    </row>
    <row r="9339" spans="2:2" ht="15.6">
      <c r="B9339" s="159"/>
    </row>
    <row r="9340" spans="2:2" ht="15.6">
      <c r="B9340" s="159"/>
    </row>
    <row r="9341" spans="2:2" ht="15.6">
      <c r="B9341" s="159"/>
    </row>
    <row r="9342" spans="2:2" ht="15.6">
      <c r="B9342" s="159"/>
    </row>
    <row r="9343" spans="2:2" ht="15.6">
      <c r="B9343" s="159"/>
    </row>
    <row r="9344" spans="2:2" ht="15.6">
      <c r="B9344" s="159"/>
    </row>
    <row r="9345" spans="2:2" ht="15.6">
      <c r="B9345" s="159"/>
    </row>
    <row r="9346" spans="2:2" ht="15.6">
      <c r="B9346" s="159"/>
    </row>
    <row r="9347" spans="2:2" ht="15.6">
      <c r="B9347" s="159"/>
    </row>
    <row r="9348" spans="2:2" ht="15.6">
      <c r="B9348" s="159"/>
    </row>
    <row r="9349" spans="2:2" ht="15.6">
      <c r="B9349" s="159"/>
    </row>
    <row r="9350" spans="2:2" ht="15.6">
      <c r="B9350" s="159"/>
    </row>
    <row r="9351" spans="2:2" ht="15.6">
      <c r="B9351" s="159"/>
    </row>
    <row r="9352" spans="2:2" ht="15.6">
      <c r="B9352" s="159"/>
    </row>
    <row r="9353" spans="2:2" ht="15.6">
      <c r="B9353" s="159"/>
    </row>
    <row r="9354" spans="2:2" ht="15.6">
      <c r="B9354" s="159"/>
    </row>
    <row r="9355" spans="2:2" ht="15.6">
      <c r="B9355" s="159"/>
    </row>
    <row r="9356" spans="2:2" ht="15.6">
      <c r="B9356" s="159"/>
    </row>
    <row r="9357" spans="2:2" ht="15.6">
      <c r="B9357" s="159"/>
    </row>
    <row r="9358" spans="2:2" ht="15.6">
      <c r="B9358" s="159"/>
    </row>
    <row r="9359" spans="2:2" ht="15.6">
      <c r="B9359" s="159"/>
    </row>
    <row r="9360" spans="2:2" ht="15.6">
      <c r="B9360" s="159"/>
    </row>
    <row r="9361" spans="2:2" ht="15.6">
      <c r="B9361" s="159"/>
    </row>
    <row r="9362" spans="2:2" ht="15.6">
      <c r="B9362" s="159"/>
    </row>
    <row r="9363" spans="2:2" ht="15.6">
      <c r="B9363" s="159"/>
    </row>
    <row r="9364" spans="2:2" ht="15.6">
      <c r="B9364" s="159"/>
    </row>
    <row r="9365" spans="2:2" ht="15.6">
      <c r="B9365" s="159"/>
    </row>
    <row r="9366" spans="2:2" ht="15.6">
      <c r="B9366" s="159"/>
    </row>
    <row r="9367" spans="2:2" ht="15.6">
      <c r="B9367" s="159"/>
    </row>
    <row r="9368" spans="2:2" ht="15.6">
      <c r="B9368" s="159"/>
    </row>
    <row r="9369" spans="2:2" ht="15.6">
      <c r="B9369" s="159"/>
    </row>
    <row r="9370" spans="2:2" ht="15.6">
      <c r="B9370" s="159"/>
    </row>
    <row r="9371" spans="2:2" ht="15.6">
      <c r="B9371" s="159"/>
    </row>
    <row r="9372" spans="2:2" ht="15.6">
      <c r="B9372" s="159"/>
    </row>
    <row r="9373" spans="2:2" ht="15.6">
      <c r="B9373" s="159"/>
    </row>
    <row r="9374" spans="2:2" ht="15.6">
      <c r="B9374" s="159"/>
    </row>
    <row r="9375" spans="2:2" ht="15.6">
      <c r="B9375" s="159"/>
    </row>
    <row r="9376" spans="2:2" ht="15.6">
      <c r="B9376" s="159"/>
    </row>
    <row r="9377" spans="2:2" ht="15.6">
      <c r="B9377" s="159"/>
    </row>
    <row r="9378" spans="2:2" ht="15.6">
      <c r="B9378" s="159"/>
    </row>
    <row r="9379" spans="2:2" ht="15.6">
      <c r="B9379" s="159"/>
    </row>
    <row r="9380" spans="2:2" ht="15.6">
      <c r="B9380" s="159"/>
    </row>
    <row r="9381" spans="2:2" ht="15.6">
      <c r="B9381" s="159"/>
    </row>
    <row r="9382" spans="2:2" ht="15.6">
      <c r="B9382" s="159"/>
    </row>
    <row r="9383" spans="2:2" ht="15.6">
      <c r="B9383" s="159"/>
    </row>
    <row r="9384" spans="2:2" ht="15.6">
      <c r="B9384" s="159"/>
    </row>
    <row r="9385" spans="2:2" ht="15.6">
      <c r="B9385" s="159"/>
    </row>
    <row r="9386" spans="2:2" ht="15.6">
      <c r="B9386" s="159"/>
    </row>
    <row r="9387" spans="2:2" ht="15.6">
      <c r="B9387" s="159"/>
    </row>
    <row r="9388" spans="2:2" ht="15.6">
      <c r="B9388" s="159"/>
    </row>
    <row r="9389" spans="2:2" ht="15.6">
      <c r="B9389" s="159"/>
    </row>
    <row r="9390" spans="2:2" ht="15.6">
      <c r="B9390" s="159"/>
    </row>
    <row r="9391" spans="2:2" ht="15.6">
      <c r="B9391" s="159"/>
    </row>
    <row r="9392" spans="2:2" ht="15.6">
      <c r="B9392" s="159"/>
    </row>
    <row r="9393" spans="2:2" ht="15.6">
      <c r="B9393" s="159"/>
    </row>
    <row r="9394" spans="2:2" ht="15.6">
      <c r="B9394" s="159"/>
    </row>
    <row r="9395" spans="2:2" ht="15.6">
      <c r="B9395" s="159"/>
    </row>
    <row r="9396" spans="2:2" ht="15.6">
      <c r="B9396" s="159"/>
    </row>
    <row r="9397" spans="2:2" ht="15.6">
      <c r="B9397" s="159"/>
    </row>
    <row r="9398" spans="2:2" ht="15.6">
      <c r="B9398" s="159"/>
    </row>
    <row r="9399" spans="2:2" ht="15.6">
      <c r="B9399" s="159"/>
    </row>
    <row r="9400" spans="2:2" ht="15.6">
      <c r="B9400" s="159"/>
    </row>
    <row r="9401" spans="2:2" ht="15.6">
      <c r="B9401" s="159"/>
    </row>
    <row r="9402" spans="2:2" ht="15.6">
      <c r="B9402" s="159"/>
    </row>
    <row r="9403" spans="2:2" ht="15.6">
      <c r="B9403" s="159"/>
    </row>
    <row r="9404" spans="2:2" ht="15.6">
      <c r="B9404" s="159"/>
    </row>
    <row r="9405" spans="2:2" ht="15.6">
      <c r="B9405" s="159"/>
    </row>
    <row r="9406" spans="2:2" ht="15.6">
      <c r="B9406" s="159"/>
    </row>
    <row r="9407" spans="2:2" ht="15.6">
      <c r="B9407" s="159"/>
    </row>
    <row r="9408" spans="2:2" ht="15.6">
      <c r="B9408" s="159"/>
    </row>
    <row r="9409" spans="2:2" ht="15.6">
      <c r="B9409" s="159"/>
    </row>
    <row r="9410" spans="2:2" ht="15.6">
      <c r="B9410" s="159"/>
    </row>
    <row r="9411" spans="2:2" ht="15.6">
      <c r="B9411" s="159"/>
    </row>
    <row r="9412" spans="2:2" ht="15.6">
      <c r="B9412" s="159"/>
    </row>
    <row r="9413" spans="2:2" ht="15.6">
      <c r="B9413" s="159"/>
    </row>
    <row r="9414" spans="2:2" ht="15.6">
      <c r="B9414" s="159"/>
    </row>
    <row r="9415" spans="2:2" ht="15.6">
      <c r="B9415" s="159"/>
    </row>
    <row r="9416" spans="2:2" ht="15.6">
      <c r="B9416" s="159"/>
    </row>
    <row r="9417" spans="2:2" ht="15.6">
      <c r="B9417" s="159"/>
    </row>
    <row r="9418" spans="2:2" ht="15.6">
      <c r="B9418" s="159"/>
    </row>
    <row r="9419" spans="2:2" ht="15.6">
      <c r="B9419" s="159"/>
    </row>
    <row r="9420" spans="2:2" ht="15.6">
      <c r="B9420" s="159"/>
    </row>
    <row r="9421" spans="2:2" ht="15.6">
      <c r="B9421" s="159"/>
    </row>
    <row r="9422" spans="2:2" ht="15.6">
      <c r="B9422" s="159"/>
    </row>
    <row r="9423" spans="2:2" ht="15.6">
      <c r="B9423" s="159"/>
    </row>
    <row r="9424" spans="2:2" ht="15.6">
      <c r="B9424" s="159"/>
    </row>
    <row r="9425" spans="2:2" ht="15.6">
      <c r="B9425" s="159"/>
    </row>
    <row r="9426" spans="2:2" ht="15.6">
      <c r="B9426" s="159"/>
    </row>
    <row r="9427" spans="2:2" ht="15.6">
      <c r="B9427" s="159"/>
    </row>
    <row r="9428" spans="2:2" ht="15.6">
      <c r="B9428" s="159"/>
    </row>
    <row r="9429" spans="2:2" ht="15.6">
      <c r="B9429" s="159"/>
    </row>
    <row r="9430" spans="2:2" ht="15.6">
      <c r="B9430" s="159"/>
    </row>
    <row r="9431" spans="2:2" ht="15.6">
      <c r="B9431" s="159"/>
    </row>
    <row r="9432" spans="2:2" ht="15.6">
      <c r="B9432" s="159"/>
    </row>
    <row r="9433" spans="2:2" ht="15.6">
      <c r="B9433" s="159"/>
    </row>
    <row r="9434" spans="2:2" ht="15.6">
      <c r="B9434" s="159"/>
    </row>
    <row r="9435" spans="2:2" ht="15.6">
      <c r="B9435" s="159"/>
    </row>
    <row r="9436" spans="2:2" ht="15.6">
      <c r="B9436" s="159"/>
    </row>
    <row r="9437" spans="2:2" ht="15.6">
      <c r="B9437" s="159"/>
    </row>
    <row r="9438" spans="2:2" ht="15.6">
      <c r="B9438" s="159"/>
    </row>
    <row r="9439" spans="2:2" ht="15.6">
      <c r="B9439" s="159"/>
    </row>
    <row r="9440" spans="2:2" ht="15.6">
      <c r="B9440" s="159"/>
    </row>
    <row r="9441" spans="2:2" ht="15.6">
      <c r="B9441" s="159"/>
    </row>
    <row r="9442" spans="2:2" ht="15.6">
      <c r="B9442" s="159"/>
    </row>
    <row r="9443" spans="2:2" ht="15.6">
      <c r="B9443" s="159"/>
    </row>
    <row r="9444" spans="2:2" ht="15.6">
      <c r="B9444" s="159"/>
    </row>
    <row r="9445" spans="2:2" ht="15.6">
      <c r="B9445" s="159"/>
    </row>
    <row r="9446" spans="2:2" ht="15.6">
      <c r="B9446" s="159"/>
    </row>
    <row r="9447" spans="2:2" ht="15.6">
      <c r="B9447" s="159"/>
    </row>
    <row r="9448" spans="2:2" ht="15.6">
      <c r="B9448" s="159"/>
    </row>
    <row r="9449" spans="2:2" ht="15.6">
      <c r="B9449" s="159"/>
    </row>
    <row r="9450" spans="2:2" ht="15.6">
      <c r="B9450" s="159"/>
    </row>
    <row r="9451" spans="2:2" ht="15.6">
      <c r="B9451" s="159"/>
    </row>
    <row r="9452" spans="2:2" ht="15.6">
      <c r="B9452" s="159"/>
    </row>
    <row r="9453" spans="2:2" ht="15.6">
      <c r="B9453" s="159"/>
    </row>
    <row r="9454" spans="2:2" ht="15.6">
      <c r="B9454" s="159"/>
    </row>
    <row r="9455" spans="2:2" ht="15.6">
      <c r="B9455" s="159"/>
    </row>
    <row r="9456" spans="2:2" ht="15.6">
      <c r="B9456" s="159"/>
    </row>
    <row r="9457" spans="2:2" ht="15.6">
      <c r="B9457" s="159"/>
    </row>
    <row r="9458" spans="2:2" ht="15.6">
      <c r="B9458" s="159"/>
    </row>
    <row r="9459" spans="2:2" ht="15.6">
      <c r="B9459" s="159"/>
    </row>
    <row r="9460" spans="2:2" ht="15.6">
      <c r="B9460" s="159"/>
    </row>
    <row r="9461" spans="2:2" ht="15.6">
      <c r="B9461" s="159"/>
    </row>
    <row r="9462" spans="2:2" ht="15.6">
      <c r="B9462" s="159"/>
    </row>
    <row r="9463" spans="2:2" ht="15.6">
      <c r="B9463" s="159"/>
    </row>
    <row r="9464" spans="2:2" ht="15.6">
      <c r="B9464" s="159"/>
    </row>
    <row r="9465" spans="2:2" ht="15.6">
      <c r="B9465" s="159"/>
    </row>
    <row r="9466" spans="2:2" ht="15.6">
      <c r="B9466" s="159"/>
    </row>
    <row r="9467" spans="2:2" ht="15.6">
      <c r="B9467" s="159"/>
    </row>
    <row r="9468" spans="2:2" ht="15.6">
      <c r="B9468" s="159"/>
    </row>
    <row r="9469" spans="2:2" ht="15.6">
      <c r="B9469" s="159"/>
    </row>
    <row r="9470" spans="2:2" ht="15.6">
      <c r="B9470" s="159"/>
    </row>
    <row r="9471" spans="2:2" ht="15.6">
      <c r="B9471" s="159"/>
    </row>
    <row r="9472" spans="2:2" ht="15.6">
      <c r="B9472" s="159"/>
    </row>
    <row r="9473" spans="2:2" ht="15.6">
      <c r="B9473" s="159"/>
    </row>
    <row r="9474" spans="2:2" ht="15.6">
      <c r="B9474" s="159"/>
    </row>
    <row r="9475" spans="2:2" ht="15.6">
      <c r="B9475" s="159"/>
    </row>
    <row r="9476" spans="2:2" ht="15.6">
      <c r="B9476" s="159"/>
    </row>
    <row r="9477" spans="2:2" ht="15.6">
      <c r="B9477" s="159"/>
    </row>
    <row r="9478" spans="2:2" ht="15.6">
      <c r="B9478" s="159"/>
    </row>
    <row r="9479" spans="2:2" ht="15.6">
      <c r="B9479" s="159"/>
    </row>
    <row r="9480" spans="2:2" ht="15.6">
      <c r="B9480" s="159"/>
    </row>
    <row r="9481" spans="2:2" ht="15.6">
      <c r="B9481" s="159"/>
    </row>
    <row r="9482" spans="2:2" ht="15.6">
      <c r="B9482" s="159"/>
    </row>
    <row r="9483" spans="2:2" ht="15.6">
      <c r="B9483" s="159"/>
    </row>
    <row r="9484" spans="2:2" ht="15.6">
      <c r="B9484" s="159"/>
    </row>
    <row r="9485" spans="2:2" ht="15.6">
      <c r="B9485" s="159"/>
    </row>
    <row r="9486" spans="2:2" ht="15.6">
      <c r="B9486" s="159"/>
    </row>
    <row r="9487" spans="2:2" ht="15.6">
      <c r="B9487" s="159"/>
    </row>
    <row r="9488" spans="2:2" ht="15.6">
      <c r="B9488" s="159"/>
    </row>
    <row r="9489" spans="2:2" ht="15.6">
      <c r="B9489" s="159"/>
    </row>
    <row r="9490" spans="2:2" ht="15.6">
      <c r="B9490" s="159"/>
    </row>
    <row r="9491" spans="2:2" ht="15.6">
      <c r="B9491" s="159"/>
    </row>
    <row r="9492" spans="2:2" ht="15.6">
      <c r="B9492" s="159"/>
    </row>
    <row r="9493" spans="2:2" ht="15.6">
      <c r="B9493" s="159"/>
    </row>
    <row r="9494" spans="2:2" ht="15.6">
      <c r="B9494" s="159"/>
    </row>
    <row r="9495" spans="2:2" ht="15.6">
      <c r="B9495" s="159"/>
    </row>
    <row r="9496" spans="2:2" ht="15.6">
      <c r="B9496" s="159"/>
    </row>
    <row r="9497" spans="2:2" ht="15.6">
      <c r="B9497" s="159"/>
    </row>
    <row r="9498" spans="2:2" ht="15.6">
      <c r="B9498" s="159"/>
    </row>
    <row r="9499" spans="2:2" ht="15.6">
      <c r="B9499" s="159"/>
    </row>
    <row r="9500" spans="2:2" ht="15.6">
      <c r="B9500" s="159"/>
    </row>
    <row r="9501" spans="2:2" ht="15.6">
      <c r="B9501" s="159"/>
    </row>
    <row r="9502" spans="2:2" ht="15.6">
      <c r="B9502" s="159"/>
    </row>
    <row r="9503" spans="2:2" ht="15.6">
      <c r="B9503" s="159"/>
    </row>
    <row r="9504" spans="2:2" ht="15.6">
      <c r="B9504" s="159"/>
    </row>
    <row r="9505" spans="2:2" ht="15.6">
      <c r="B9505" s="159"/>
    </row>
    <row r="9506" spans="2:2" ht="15.6">
      <c r="B9506" s="159"/>
    </row>
    <row r="9507" spans="2:2" ht="15.6">
      <c r="B9507" s="159"/>
    </row>
    <row r="9508" spans="2:2" ht="15.6">
      <c r="B9508" s="159"/>
    </row>
    <row r="9509" spans="2:2" ht="15.6">
      <c r="B9509" s="159"/>
    </row>
    <row r="9510" spans="2:2" ht="15.6">
      <c r="B9510" s="159"/>
    </row>
    <row r="9511" spans="2:2" ht="15.6">
      <c r="B9511" s="159"/>
    </row>
    <row r="9512" spans="2:2" ht="15.6">
      <c r="B9512" s="159"/>
    </row>
    <row r="9513" spans="2:2" ht="15.6">
      <c r="B9513" s="159"/>
    </row>
    <row r="9514" spans="2:2" ht="15.6">
      <c r="B9514" s="159"/>
    </row>
    <row r="9515" spans="2:2" ht="15.6">
      <c r="B9515" s="159"/>
    </row>
    <row r="9516" spans="2:2" ht="15.6">
      <c r="B9516" s="159"/>
    </row>
    <row r="9517" spans="2:2" ht="15.6">
      <c r="B9517" s="159"/>
    </row>
    <row r="9518" spans="2:2" ht="15.6">
      <c r="B9518" s="159"/>
    </row>
    <row r="9519" spans="2:2" ht="15.6">
      <c r="B9519" s="159"/>
    </row>
    <row r="9520" spans="2:2" ht="15.6">
      <c r="B9520" s="159"/>
    </row>
    <row r="9521" spans="2:2" ht="15.6">
      <c r="B9521" s="159"/>
    </row>
    <row r="9522" spans="2:2" ht="15.6">
      <c r="B9522" s="159"/>
    </row>
    <row r="9523" spans="2:2" ht="15.6">
      <c r="B9523" s="159"/>
    </row>
    <row r="9524" spans="2:2" ht="15.6">
      <c r="B9524" s="159"/>
    </row>
    <row r="9525" spans="2:2" ht="15.6">
      <c r="B9525" s="159"/>
    </row>
    <row r="9526" spans="2:2" ht="15.6">
      <c r="B9526" s="159"/>
    </row>
    <row r="9527" spans="2:2" ht="15.6">
      <c r="B9527" s="159"/>
    </row>
    <row r="9528" spans="2:2" ht="15.6">
      <c r="B9528" s="159"/>
    </row>
    <row r="9529" spans="2:2" ht="15.6">
      <c r="B9529" s="159"/>
    </row>
    <row r="9530" spans="2:2" ht="15.6">
      <c r="B9530" s="159"/>
    </row>
    <row r="9531" spans="2:2" ht="15.6">
      <c r="B9531" s="159"/>
    </row>
    <row r="9532" spans="2:2" ht="15.6">
      <c r="B9532" s="159"/>
    </row>
    <row r="9533" spans="2:2" ht="15.6">
      <c r="B9533" s="159"/>
    </row>
    <row r="9534" spans="2:2" ht="15.6">
      <c r="B9534" s="159"/>
    </row>
    <row r="9535" spans="2:2" ht="15.6">
      <c r="B9535" s="159"/>
    </row>
    <row r="9536" spans="2:2" ht="15.6">
      <c r="B9536" s="159"/>
    </row>
    <row r="9537" spans="2:2" ht="15.6">
      <c r="B9537" s="159"/>
    </row>
    <row r="9538" spans="2:2" ht="15.6">
      <c r="B9538" s="159"/>
    </row>
    <row r="9539" spans="2:2" ht="15.6">
      <c r="B9539" s="159"/>
    </row>
    <row r="9540" spans="2:2" ht="15.6">
      <c r="B9540" s="159"/>
    </row>
    <row r="9541" spans="2:2" ht="15.6">
      <c r="B9541" s="159"/>
    </row>
    <row r="9542" spans="2:2" ht="15.6">
      <c r="B9542" s="159"/>
    </row>
    <row r="9543" spans="2:2" ht="15.6">
      <c r="B9543" s="159"/>
    </row>
    <row r="9544" spans="2:2" ht="15.6">
      <c r="B9544" s="159"/>
    </row>
    <row r="9545" spans="2:2" ht="15.6">
      <c r="B9545" s="159"/>
    </row>
    <row r="9546" spans="2:2" ht="15.6">
      <c r="B9546" s="159"/>
    </row>
    <row r="9547" spans="2:2" ht="15.6">
      <c r="B9547" s="159"/>
    </row>
    <row r="9548" spans="2:2" ht="15.6">
      <c r="B9548" s="159"/>
    </row>
    <row r="9549" spans="2:2" ht="15.6">
      <c r="B9549" s="159"/>
    </row>
    <row r="9550" spans="2:2" ht="15.6">
      <c r="B9550" s="159"/>
    </row>
    <row r="9551" spans="2:2" ht="15.6">
      <c r="B9551" s="159"/>
    </row>
    <row r="9552" spans="2:2" ht="15.6">
      <c r="B9552" s="159"/>
    </row>
    <row r="9553" spans="2:2" ht="15.6">
      <c r="B9553" s="159"/>
    </row>
    <row r="9554" spans="2:2" ht="15.6">
      <c r="B9554" s="159"/>
    </row>
    <row r="9555" spans="2:2" ht="15.6">
      <c r="B9555" s="159"/>
    </row>
    <row r="9556" spans="2:2" ht="15.6">
      <c r="B9556" s="159"/>
    </row>
    <row r="9557" spans="2:2" ht="15.6">
      <c r="B9557" s="159"/>
    </row>
    <row r="9558" spans="2:2" ht="15.6">
      <c r="B9558" s="159"/>
    </row>
    <row r="9559" spans="2:2" ht="15.6">
      <c r="B9559" s="159"/>
    </row>
    <row r="9560" spans="2:2" ht="15.6">
      <c r="B9560" s="159"/>
    </row>
    <row r="9561" spans="2:2" ht="15.6">
      <c r="B9561" s="159"/>
    </row>
    <row r="9562" spans="2:2" ht="15.6">
      <c r="B9562" s="159"/>
    </row>
    <row r="9563" spans="2:2" ht="15.6">
      <c r="B9563" s="159"/>
    </row>
    <row r="9564" spans="2:2" ht="15.6">
      <c r="B9564" s="159"/>
    </row>
    <row r="9565" spans="2:2" ht="15.6">
      <c r="B9565" s="159"/>
    </row>
    <row r="9566" spans="2:2" ht="15.6">
      <c r="B9566" s="159"/>
    </row>
    <row r="9567" spans="2:2" ht="15.6">
      <c r="B9567" s="159"/>
    </row>
    <row r="9568" spans="2:2" ht="15.6">
      <c r="B9568" s="159"/>
    </row>
    <row r="9569" spans="2:2" ht="15.6">
      <c r="B9569" s="159"/>
    </row>
    <row r="9570" spans="2:2" ht="15.6">
      <c r="B9570" s="159"/>
    </row>
    <row r="9571" spans="2:2" ht="15.6">
      <c r="B9571" s="159"/>
    </row>
    <row r="9572" spans="2:2" ht="15.6">
      <c r="B9572" s="159"/>
    </row>
    <row r="9573" spans="2:2" ht="15.6">
      <c r="B9573" s="159"/>
    </row>
    <row r="9574" spans="2:2" ht="15.6">
      <c r="B9574" s="159"/>
    </row>
    <row r="9575" spans="2:2" ht="15.6">
      <c r="B9575" s="159"/>
    </row>
    <row r="9576" spans="2:2" ht="15.6">
      <c r="B9576" s="159"/>
    </row>
    <row r="9577" spans="2:2" ht="15.6">
      <c r="B9577" s="159"/>
    </row>
    <row r="9578" spans="2:2" ht="15.6">
      <c r="B9578" s="159"/>
    </row>
    <row r="9579" spans="2:2" ht="15.6">
      <c r="B9579" s="159"/>
    </row>
    <row r="9580" spans="2:2" ht="15.6">
      <c r="B9580" s="159"/>
    </row>
    <row r="9581" spans="2:2" ht="15.6">
      <c r="B9581" s="159"/>
    </row>
    <row r="9582" spans="2:2" ht="15.6">
      <c r="B9582" s="159"/>
    </row>
    <row r="9583" spans="2:2" ht="15.6">
      <c r="B9583" s="159"/>
    </row>
    <row r="9584" spans="2:2" ht="15.6">
      <c r="B9584" s="159"/>
    </row>
    <row r="9585" spans="2:2" ht="15.6">
      <c r="B9585" s="159"/>
    </row>
    <row r="9586" spans="2:2" ht="15.6">
      <c r="B9586" s="159"/>
    </row>
    <row r="9587" spans="2:2" ht="15.6">
      <c r="B9587" s="159"/>
    </row>
    <row r="9588" spans="2:2" ht="15.6">
      <c r="B9588" s="159"/>
    </row>
    <row r="9589" spans="2:2" ht="15.6">
      <c r="B9589" s="159"/>
    </row>
    <row r="9590" spans="2:2" ht="15.6">
      <c r="B9590" s="159"/>
    </row>
    <row r="9591" spans="2:2" ht="15.6">
      <c r="B9591" s="159"/>
    </row>
    <row r="9592" spans="2:2" ht="15.6">
      <c r="B9592" s="159"/>
    </row>
    <row r="9593" spans="2:2" ht="15.6">
      <c r="B9593" s="159"/>
    </row>
    <row r="9594" spans="2:2" ht="15.6">
      <c r="B9594" s="159"/>
    </row>
    <row r="9595" spans="2:2" ht="15.6">
      <c r="B9595" s="159"/>
    </row>
    <row r="9596" spans="2:2" ht="15.6">
      <c r="B9596" s="159"/>
    </row>
    <row r="9597" spans="2:2" ht="15.6">
      <c r="B9597" s="159"/>
    </row>
    <row r="9598" spans="2:2" ht="15.6">
      <c r="B9598" s="159"/>
    </row>
    <row r="9599" spans="2:2" ht="15.6">
      <c r="B9599" s="159"/>
    </row>
    <row r="9600" spans="2:2" ht="15.6">
      <c r="B9600" s="159"/>
    </row>
    <row r="9601" spans="2:2" ht="15.6">
      <c r="B9601" s="159"/>
    </row>
    <row r="9602" spans="2:2" ht="15.6">
      <c r="B9602" s="159"/>
    </row>
    <row r="9603" spans="2:2" ht="15.6">
      <c r="B9603" s="159"/>
    </row>
    <row r="9604" spans="2:2" ht="15.6">
      <c r="B9604" s="159"/>
    </row>
    <row r="9605" spans="2:2" ht="15.6">
      <c r="B9605" s="159"/>
    </row>
    <row r="9606" spans="2:2" ht="15.6">
      <c r="B9606" s="159"/>
    </row>
    <row r="9607" spans="2:2" ht="15.6">
      <c r="B9607" s="159"/>
    </row>
    <row r="9608" spans="2:2" ht="15.6">
      <c r="B9608" s="159"/>
    </row>
    <row r="9609" spans="2:2" ht="15.6">
      <c r="B9609" s="159"/>
    </row>
    <row r="9610" spans="2:2" ht="15.6">
      <c r="B9610" s="159"/>
    </row>
    <row r="9611" spans="2:2" ht="15.6">
      <c r="B9611" s="159"/>
    </row>
    <row r="9612" spans="2:2" ht="15.6">
      <c r="B9612" s="159"/>
    </row>
    <row r="9613" spans="2:2" ht="15.6">
      <c r="B9613" s="159"/>
    </row>
    <row r="9614" spans="2:2" ht="15.6">
      <c r="B9614" s="159"/>
    </row>
    <row r="9615" spans="2:2" ht="15.6">
      <c r="B9615" s="159"/>
    </row>
    <row r="9616" spans="2:2" ht="15.6">
      <c r="B9616" s="159"/>
    </row>
    <row r="9617" spans="2:2" ht="15.6">
      <c r="B9617" s="159"/>
    </row>
    <row r="9618" spans="2:2" ht="15.6">
      <c r="B9618" s="159"/>
    </row>
    <row r="9619" spans="2:2" ht="15.6">
      <c r="B9619" s="159"/>
    </row>
    <row r="9620" spans="2:2" ht="15.6">
      <c r="B9620" s="159"/>
    </row>
    <row r="9621" spans="2:2" ht="15.6">
      <c r="B9621" s="159"/>
    </row>
    <row r="9622" spans="2:2" ht="15.6">
      <c r="B9622" s="159"/>
    </row>
    <row r="9623" spans="2:2" ht="15.6">
      <c r="B9623" s="159"/>
    </row>
    <row r="9624" spans="2:2" ht="15.6">
      <c r="B9624" s="159"/>
    </row>
    <row r="9625" spans="2:2" ht="15.6">
      <c r="B9625" s="159"/>
    </row>
    <row r="9626" spans="2:2" ht="15.6">
      <c r="B9626" s="159"/>
    </row>
    <row r="9627" spans="2:2" ht="15.6">
      <c r="B9627" s="159"/>
    </row>
    <row r="9628" spans="2:2" ht="15.6">
      <c r="B9628" s="159"/>
    </row>
    <row r="9629" spans="2:2" ht="15.6">
      <c r="B9629" s="159"/>
    </row>
    <row r="9630" spans="2:2" ht="15.6">
      <c r="B9630" s="159"/>
    </row>
    <row r="9631" spans="2:2" ht="15.6">
      <c r="B9631" s="159"/>
    </row>
    <row r="9632" spans="2:2" ht="15.6">
      <c r="B9632" s="159"/>
    </row>
    <row r="9633" spans="2:2" ht="15.6">
      <c r="B9633" s="159"/>
    </row>
    <row r="9634" spans="2:2" ht="15.6">
      <c r="B9634" s="159"/>
    </row>
    <row r="9635" spans="2:2" ht="15.6">
      <c r="B9635" s="159"/>
    </row>
    <row r="9636" spans="2:2" ht="15.6">
      <c r="B9636" s="159"/>
    </row>
    <row r="9637" spans="2:2" ht="15.6">
      <c r="B9637" s="159"/>
    </row>
    <row r="9638" spans="2:2" ht="15.6">
      <c r="B9638" s="159"/>
    </row>
    <row r="9639" spans="2:2" ht="15.6">
      <c r="B9639" s="159"/>
    </row>
    <row r="9640" spans="2:2" ht="15.6">
      <c r="B9640" s="159"/>
    </row>
    <row r="9641" spans="2:2" ht="15.6">
      <c r="B9641" s="159"/>
    </row>
    <row r="9642" spans="2:2" ht="15.6">
      <c r="B9642" s="159"/>
    </row>
    <row r="9643" spans="2:2" ht="15.6">
      <c r="B9643" s="159"/>
    </row>
    <row r="9644" spans="2:2" ht="15.6">
      <c r="B9644" s="159"/>
    </row>
    <row r="9645" spans="2:2" ht="15.6">
      <c r="B9645" s="159"/>
    </row>
    <row r="9646" spans="2:2" ht="15.6">
      <c r="B9646" s="159"/>
    </row>
    <row r="9647" spans="2:2" ht="15.6">
      <c r="B9647" s="159"/>
    </row>
    <row r="9648" spans="2:2" ht="15.6">
      <c r="B9648" s="159"/>
    </row>
    <row r="9649" spans="2:2" ht="15.6">
      <c r="B9649" s="159"/>
    </row>
    <row r="9650" spans="2:2" ht="15.6">
      <c r="B9650" s="159"/>
    </row>
    <row r="9651" spans="2:2" ht="15.6">
      <c r="B9651" s="159"/>
    </row>
    <row r="9652" spans="2:2" ht="15.6">
      <c r="B9652" s="159"/>
    </row>
    <row r="9653" spans="2:2" ht="15.6">
      <c r="B9653" s="159"/>
    </row>
    <row r="9654" spans="2:2" ht="15.6">
      <c r="B9654" s="159"/>
    </row>
    <row r="9655" spans="2:2" ht="15.6">
      <c r="B9655" s="159"/>
    </row>
    <row r="9656" spans="2:2" ht="15.6">
      <c r="B9656" s="159"/>
    </row>
    <row r="9657" spans="2:2" ht="15.6">
      <c r="B9657" s="159"/>
    </row>
    <row r="9658" spans="2:2" ht="15.6">
      <c r="B9658" s="159"/>
    </row>
    <row r="9659" spans="2:2" ht="15.6">
      <c r="B9659" s="159"/>
    </row>
    <row r="9660" spans="2:2" ht="15.6">
      <c r="B9660" s="159"/>
    </row>
    <row r="9661" spans="2:2" ht="15.6">
      <c r="B9661" s="159"/>
    </row>
    <row r="9662" spans="2:2" ht="15.6">
      <c r="B9662" s="159"/>
    </row>
    <row r="9663" spans="2:2" ht="15.6">
      <c r="B9663" s="159"/>
    </row>
    <row r="9664" spans="2:2" ht="15.6">
      <c r="B9664" s="159"/>
    </row>
    <row r="9665" spans="2:2" ht="15.6">
      <c r="B9665" s="159"/>
    </row>
    <row r="9666" spans="2:2" ht="15.6">
      <c r="B9666" s="159"/>
    </row>
    <row r="9667" spans="2:2" ht="15.6">
      <c r="B9667" s="159"/>
    </row>
    <row r="9668" spans="2:2" ht="15.6">
      <c r="B9668" s="159"/>
    </row>
    <row r="9669" spans="2:2" ht="15.6">
      <c r="B9669" s="159"/>
    </row>
    <row r="9670" spans="2:2" ht="15.6">
      <c r="B9670" s="159"/>
    </row>
    <row r="9671" spans="2:2" ht="15.6">
      <c r="B9671" s="159"/>
    </row>
    <row r="9672" spans="2:2" ht="15.6">
      <c r="B9672" s="159"/>
    </row>
    <row r="9673" spans="2:2" ht="15.6">
      <c r="B9673" s="159"/>
    </row>
    <row r="9674" spans="2:2" ht="15.6">
      <c r="B9674" s="159"/>
    </row>
    <row r="9675" spans="2:2" ht="15.6">
      <c r="B9675" s="159"/>
    </row>
    <row r="9676" spans="2:2" ht="15.6">
      <c r="B9676" s="159"/>
    </row>
    <row r="9677" spans="2:2" ht="15.6">
      <c r="B9677" s="159"/>
    </row>
    <row r="9678" spans="2:2" ht="15.6">
      <c r="B9678" s="159"/>
    </row>
    <row r="9679" spans="2:2" ht="15.6">
      <c r="B9679" s="159"/>
    </row>
    <row r="9680" spans="2:2" ht="15.6">
      <c r="B9680" s="159"/>
    </row>
    <row r="9681" spans="2:2" ht="15.6">
      <c r="B9681" s="159"/>
    </row>
    <row r="9682" spans="2:2" ht="15.6">
      <c r="B9682" s="159"/>
    </row>
    <row r="9683" spans="2:2" ht="15.6">
      <c r="B9683" s="159"/>
    </row>
    <row r="9684" spans="2:2" ht="15.6">
      <c r="B9684" s="159"/>
    </row>
    <row r="9685" spans="2:2" ht="15.6">
      <c r="B9685" s="159"/>
    </row>
    <row r="9686" spans="2:2" ht="15.6">
      <c r="B9686" s="159"/>
    </row>
    <row r="9687" spans="2:2" ht="15.6">
      <c r="B9687" s="159"/>
    </row>
    <row r="9688" spans="2:2" ht="15.6">
      <c r="B9688" s="159"/>
    </row>
    <row r="9689" spans="2:2" ht="15.6">
      <c r="B9689" s="159"/>
    </row>
    <row r="9690" spans="2:2" ht="15.6">
      <c r="B9690" s="159"/>
    </row>
    <row r="9691" spans="2:2" ht="15.6">
      <c r="B9691" s="159"/>
    </row>
    <row r="9692" spans="2:2" ht="15.6">
      <c r="B9692" s="159"/>
    </row>
    <row r="9693" spans="2:2" ht="15.6">
      <c r="B9693" s="159"/>
    </row>
    <row r="9694" spans="2:2" ht="15.6">
      <c r="B9694" s="159"/>
    </row>
    <row r="9695" spans="2:2" ht="15.6">
      <c r="B9695" s="159"/>
    </row>
    <row r="9696" spans="2:2" ht="15.6">
      <c r="B9696" s="159"/>
    </row>
    <row r="9697" spans="2:2" ht="15.6">
      <c r="B9697" s="159"/>
    </row>
    <row r="9698" spans="2:2" ht="15.6">
      <c r="B9698" s="159"/>
    </row>
    <row r="9699" spans="2:2" ht="15.6">
      <c r="B9699" s="159"/>
    </row>
    <row r="9700" spans="2:2" ht="15.6">
      <c r="B9700" s="159"/>
    </row>
    <row r="9701" spans="2:2" ht="15.6">
      <c r="B9701" s="159"/>
    </row>
    <row r="9702" spans="2:2" ht="15.6">
      <c r="B9702" s="159"/>
    </row>
    <row r="9703" spans="2:2" ht="15.6">
      <c r="B9703" s="159"/>
    </row>
    <row r="9704" spans="2:2" ht="15.6">
      <c r="B9704" s="159"/>
    </row>
    <row r="9705" spans="2:2" ht="15.6">
      <c r="B9705" s="159"/>
    </row>
    <row r="9706" spans="2:2" ht="15.6">
      <c r="B9706" s="159"/>
    </row>
    <row r="9707" spans="2:2" ht="15.6">
      <c r="B9707" s="159"/>
    </row>
    <row r="9708" spans="2:2" ht="15.6">
      <c r="B9708" s="159"/>
    </row>
    <row r="9709" spans="2:2" ht="15.6">
      <c r="B9709" s="159"/>
    </row>
    <row r="9710" spans="2:2" ht="15.6">
      <c r="B9710" s="159"/>
    </row>
    <row r="9711" spans="2:2" ht="15.6">
      <c r="B9711" s="159"/>
    </row>
    <row r="9712" spans="2:2" ht="15.6">
      <c r="B9712" s="159"/>
    </row>
    <row r="9713" spans="2:2" ht="15.6">
      <c r="B9713" s="159"/>
    </row>
    <row r="9714" spans="2:2" ht="15.6">
      <c r="B9714" s="159"/>
    </row>
    <row r="9715" spans="2:2" ht="15.6">
      <c r="B9715" s="159"/>
    </row>
    <row r="9716" spans="2:2" ht="15.6">
      <c r="B9716" s="159"/>
    </row>
    <row r="9717" spans="2:2" ht="15.6">
      <c r="B9717" s="159"/>
    </row>
    <row r="9718" spans="2:2" ht="15.6">
      <c r="B9718" s="159"/>
    </row>
    <row r="9719" spans="2:2" ht="15.6">
      <c r="B9719" s="159"/>
    </row>
    <row r="9720" spans="2:2" ht="15.6">
      <c r="B9720" s="159"/>
    </row>
    <row r="9721" spans="2:2" ht="15.6">
      <c r="B9721" s="159"/>
    </row>
    <row r="9722" spans="2:2" ht="15.6">
      <c r="B9722" s="159"/>
    </row>
    <row r="9723" spans="2:2" ht="15.6">
      <c r="B9723" s="159"/>
    </row>
    <row r="9724" spans="2:2" ht="15.6">
      <c r="B9724" s="159"/>
    </row>
    <row r="9725" spans="2:2" ht="15.6">
      <c r="B9725" s="159"/>
    </row>
    <row r="9726" spans="2:2" ht="15.6">
      <c r="B9726" s="159"/>
    </row>
    <row r="9727" spans="2:2" ht="15.6">
      <c r="B9727" s="159"/>
    </row>
    <row r="9728" spans="2:2" ht="15.6">
      <c r="B9728" s="159"/>
    </row>
    <row r="9729" spans="2:2" ht="15.6">
      <c r="B9729" s="159"/>
    </row>
    <row r="9730" spans="2:2" ht="15.6">
      <c r="B9730" s="159"/>
    </row>
    <row r="9731" spans="2:2" ht="15.6">
      <c r="B9731" s="159"/>
    </row>
    <row r="9732" spans="2:2" ht="15.6">
      <c r="B9732" s="159"/>
    </row>
    <row r="9733" spans="2:2" ht="15.6">
      <c r="B9733" s="159"/>
    </row>
    <row r="9734" spans="2:2" ht="15.6">
      <c r="B9734" s="159"/>
    </row>
    <row r="9735" spans="2:2" ht="15.6">
      <c r="B9735" s="159"/>
    </row>
    <row r="9736" spans="2:2" ht="15.6">
      <c r="B9736" s="159"/>
    </row>
    <row r="9737" spans="2:2" ht="15.6">
      <c r="B9737" s="159"/>
    </row>
    <row r="9738" spans="2:2" ht="15.6">
      <c r="B9738" s="159"/>
    </row>
    <row r="9739" spans="2:2" ht="15.6">
      <c r="B9739" s="159"/>
    </row>
    <row r="9740" spans="2:2" ht="15.6">
      <c r="B9740" s="159"/>
    </row>
    <row r="9741" spans="2:2" ht="15.6">
      <c r="B9741" s="159"/>
    </row>
    <row r="9742" spans="2:2" ht="15.6">
      <c r="B9742" s="159"/>
    </row>
    <row r="9743" spans="2:2" ht="15.6">
      <c r="B9743" s="159"/>
    </row>
    <row r="9744" spans="2:2" ht="15.6">
      <c r="B9744" s="159"/>
    </row>
    <row r="9745" spans="2:2" ht="15.6">
      <c r="B9745" s="159"/>
    </row>
    <row r="9746" spans="2:2" ht="15.6">
      <c r="B9746" s="159"/>
    </row>
    <row r="9747" spans="2:2" ht="15.6">
      <c r="B9747" s="159"/>
    </row>
    <row r="9748" spans="2:2" ht="15.6">
      <c r="B9748" s="159"/>
    </row>
    <row r="9749" spans="2:2" ht="15.6">
      <c r="B9749" s="159"/>
    </row>
    <row r="9750" spans="2:2" ht="15.6">
      <c r="B9750" s="159"/>
    </row>
    <row r="9751" spans="2:2" ht="15.6">
      <c r="B9751" s="159"/>
    </row>
    <row r="9752" spans="2:2" ht="15.6">
      <c r="B9752" s="159"/>
    </row>
    <row r="9753" spans="2:2" ht="15.6">
      <c r="B9753" s="159"/>
    </row>
    <row r="9754" spans="2:2" ht="15.6">
      <c r="B9754" s="159"/>
    </row>
    <row r="9755" spans="2:2" ht="15.6">
      <c r="B9755" s="159"/>
    </row>
    <row r="9756" spans="2:2" ht="15.6">
      <c r="B9756" s="159"/>
    </row>
    <row r="9757" spans="2:2" ht="15.6">
      <c r="B9757" s="159"/>
    </row>
    <row r="9758" spans="2:2" ht="15.6">
      <c r="B9758" s="159"/>
    </row>
    <row r="9759" spans="2:2" ht="15.6">
      <c r="B9759" s="159"/>
    </row>
    <row r="9760" spans="2:2" ht="15.6">
      <c r="B9760" s="159"/>
    </row>
    <row r="9761" spans="2:2" ht="15.6">
      <c r="B9761" s="159"/>
    </row>
    <row r="9762" spans="2:2" ht="15.6">
      <c r="B9762" s="159"/>
    </row>
    <row r="9763" spans="2:2" ht="15.6">
      <c r="B9763" s="159"/>
    </row>
    <row r="9764" spans="2:2" ht="15.6">
      <c r="B9764" s="159"/>
    </row>
    <row r="9765" spans="2:2" ht="15.6">
      <c r="B9765" s="159"/>
    </row>
    <row r="9766" spans="2:2" ht="15.6">
      <c r="B9766" s="159"/>
    </row>
    <row r="9767" spans="2:2" ht="15.6">
      <c r="B9767" s="159"/>
    </row>
    <row r="9768" spans="2:2" ht="15.6">
      <c r="B9768" s="159"/>
    </row>
    <row r="9769" spans="2:2" ht="15.6">
      <c r="B9769" s="159"/>
    </row>
    <row r="9770" spans="2:2" ht="15.6">
      <c r="B9770" s="159"/>
    </row>
    <row r="9771" spans="2:2" ht="15.6">
      <c r="B9771" s="159"/>
    </row>
    <row r="9772" spans="2:2" ht="15.6">
      <c r="B9772" s="159"/>
    </row>
    <row r="9773" spans="2:2" ht="15.6">
      <c r="B9773" s="159"/>
    </row>
    <row r="9774" spans="2:2" ht="15.6">
      <c r="B9774" s="159"/>
    </row>
    <row r="9775" spans="2:2" ht="15.6">
      <c r="B9775" s="159"/>
    </row>
    <row r="9776" spans="2:2" ht="15.6">
      <c r="B9776" s="159"/>
    </row>
    <row r="9777" spans="2:2" ht="15.6">
      <c r="B9777" s="159"/>
    </row>
    <row r="9778" spans="2:2" ht="15.6">
      <c r="B9778" s="159"/>
    </row>
    <row r="9779" spans="2:2" ht="15.6">
      <c r="B9779" s="159"/>
    </row>
    <row r="9780" spans="2:2" ht="15.6">
      <c r="B9780" s="159"/>
    </row>
    <row r="9781" spans="2:2" ht="15.6">
      <c r="B9781" s="159"/>
    </row>
    <row r="9782" spans="2:2" ht="15.6">
      <c r="B9782" s="159"/>
    </row>
    <row r="9783" spans="2:2" ht="15.6">
      <c r="B9783" s="159"/>
    </row>
    <row r="9784" spans="2:2" ht="15.6">
      <c r="B9784" s="159"/>
    </row>
    <row r="9785" spans="2:2" ht="15.6">
      <c r="B9785" s="159"/>
    </row>
    <row r="9786" spans="2:2" ht="15.6">
      <c r="B9786" s="159"/>
    </row>
    <row r="9787" spans="2:2" ht="15.6">
      <c r="B9787" s="159"/>
    </row>
    <row r="9788" spans="2:2" ht="15.6">
      <c r="B9788" s="159"/>
    </row>
    <row r="9789" spans="2:2" ht="15.6">
      <c r="B9789" s="159"/>
    </row>
    <row r="9790" spans="2:2" ht="15.6">
      <c r="B9790" s="159"/>
    </row>
    <row r="9791" spans="2:2" ht="15.6">
      <c r="B9791" s="159"/>
    </row>
    <row r="9792" spans="2:2" ht="15.6">
      <c r="B9792" s="159"/>
    </row>
    <row r="9793" spans="2:2" ht="15.6">
      <c r="B9793" s="159"/>
    </row>
    <row r="9794" spans="2:2" ht="15.6">
      <c r="B9794" s="159"/>
    </row>
    <row r="9795" spans="2:2" ht="15.6">
      <c r="B9795" s="159"/>
    </row>
    <row r="9796" spans="2:2" ht="15.6">
      <c r="B9796" s="159"/>
    </row>
    <row r="9797" spans="2:2" ht="15.6">
      <c r="B9797" s="159"/>
    </row>
    <row r="9798" spans="2:2" ht="15.6">
      <c r="B9798" s="159"/>
    </row>
    <row r="9799" spans="2:2" ht="15.6">
      <c r="B9799" s="159"/>
    </row>
    <row r="9800" spans="2:2" ht="15.6">
      <c r="B9800" s="159"/>
    </row>
    <row r="9801" spans="2:2" ht="15.6">
      <c r="B9801" s="159"/>
    </row>
    <row r="9802" spans="2:2" ht="15.6">
      <c r="B9802" s="159"/>
    </row>
    <row r="9803" spans="2:2" ht="15.6">
      <c r="B9803" s="159"/>
    </row>
    <row r="9804" spans="2:2" ht="15.6">
      <c r="B9804" s="159"/>
    </row>
    <row r="9805" spans="2:2" ht="15.6">
      <c r="B9805" s="159"/>
    </row>
    <row r="9806" spans="2:2" ht="15.6">
      <c r="B9806" s="159"/>
    </row>
    <row r="9807" spans="2:2" ht="15.6">
      <c r="B9807" s="159"/>
    </row>
    <row r="9808" spans="2:2" ht="15.6">
      <c r="B9808" s="159"/>
    </row>
    <row r="9809" spans="2:2" ht="15.6">
      <c r="B9809" s="159"/>
    </row>
    <row r="9810" spans="2:2" ht="15.6">
      <c r="B9810" s="159"/>
    </row>
    <row r="9811" spans="2:2" ht="15.6">
      <c r="B9811" s="159"/>
    </row>
    <row r="9812" spans="2:2" ht="15.6">
      <c r="B9812" s="159"/>
    </row>
    <row r="9813" spans="2:2" ht="15.6">
      <c r="B9813" s="159"/>
    </row>
    <row r="9814" spans="2:2" ht="15.6">
      <c r="B9814" s="159"/>
    </row>
    <row r="9815" spans="2:2" ht="15.6">
      <c r="B9815" s="159"/>
    </row>
    <row r="9816" spans="2:2" ht="15.6">
      <c r="B9816" s="159"/>
    </row>
    <row r="9817" spans="2:2" ht="15.6">
      <c r="B9817" s="159"/>
    </row>
    <row r="9818" spans="2:2" ht="15.6">
      <c r="B9818" s="159"/>
    </row>
    <row r="9819" spans="2:2" ht="15.6">
      <c r="B9819" s="159"/>
    </row>
    <row r="9820" spans="2:2" ht="15.6">
      <c r="B9820" s="159"/>
    </row>
    <row r="9821" spans="2:2" ht="15.6">
      <c r="B9821" s="159"/>
    </row>
    <row r="9822" spans="2:2" ht="15.6">
      <c r="B9822" s="159"/>
    </row>
    <row r="9823" spans="2:2" ht="15.6">
      <c r="B9823" s="159"/>
    </row>
    <row r="9824" spans="2:2" ht="15.6">
      <c r="B9824" s="159"/>
    </row>
    <row r="9825" spans="2:2" ht="15.6">
      <c r="B9825" s="159"/>
    </row>
    <row r="9826" spans="2:2" ht="15.6">
      <c r="B9826" s="159"/>
    </row>
    <row r="9827" spans="2:2" ht="15.6">
      <c r="B9827" s="159"/>
    </row>
    <row r="9828" spans="2:2" ht="15.6">
      <c r="B9828" s="159"/>
    </row>
    <row r="9829" spans="2:2" ht="15.6">
      <c r="B9829" s="159"/>
    </row>
    <row r="9830" spans="2:2" ht="15.6">
      <c r="B9830" s="159"/>
    </row>
    <row r="9831" spans="2:2" ht="15.6">
      <c r="B9831" s="159"/>
    </row>
    <row r="9832" spans="2:2" ht="15.6">
      <c r="B9832" s="159"/>
    </row>
    <row r="9833" spans="2:2" ht="15.6">
      <c r="B9833" s="159"/>
    </row>
    <row r="9834" spans="2:2" ht="15.6">
      <c r="B9834" s="159"/>
    </row>
    <row r="9835" spans="2:2" ht="15.6">
      <c r="B9835" s="159"/>
    </row>
    <row r="9836" spans="2:2" ht="15.6">
      <c r="B9836" s="159"/>
    </row>
    <row r="9837" spans="2:2" ht="15.6">
      <c r="B9837" s="159"/>
    </row>
    <row r="9838" spans="2:2" ht="15.6">
      <c r="B9838" s="159"/>
    </row>
    <row r="9839" spans="2:2" ht="15.6">
      <c r="B9839" s="159"/>
    </row>
    <row r="9840" spans="2:2" ht="15.6">
      <c r="B9840" s="159"/>
    </row>
    <row r="9841" spans="2:2" ht="15.6">
      <c r="B9841" s="159"/>
    </row>
    <row r="9842" spans="2:2" ht="15.6">
      <c r="B9842" s="159"/>
    </row>
    <row r="9843" spans="2:2" ht="15.6">
      <c r="B9843" s="159"/>
    </row>
    <row r="9844" spans="2:2" ht="15.6">
      <c r="B9844" s="159"/>
    </row>
    <row r="9845" spans="2:2" ht="15.6">
      <c r="B9845" s="159"/>
    </row>
    <row r="9846" spans="2:2" ht="15.6">
      <c r="B9846" s="159"/>
    </row>
    <row r="9847" spans="2:2" ht="15.6">
      <c r="B9847" s="159"/>
    </row>
    <row r="9848" spans="2:2" ht="15.6">
      <c r="B9848" s="159"/>
    </row>
    <row r="9849" spans="2:2" ht="15.6">
      <c r="B9849" s="159"/>
    </row>
    <row r="9850" spans="2:2" ht="15.6">
      <c r="B9850" s="159"/>
    </row>
    <row r="9851" spans="2:2" ht="15.6">
      <c r="B9851" s="159"/>
    </row>
    <row r="9852" spans="2:2" ht="15.6">
      <c r="B9852" s="159"/>
    </row>
    <row r="9853" spans="2:2" ht="15.6">
      <c r="B9853" s="159"/>
    </row>
    <row r="9854" spans="2:2" ht="15.6">
      <c r="B9854" s="159"/>
    </row>
    <row r="9855" spans="2:2" ht="15.6">
      <c r="B9855" s="159"/>
    </row>
    <row r="9856" spans="2:2" ht="15.6">
      <c r="B9856" s="159"/>
    </row>
    <row r="9857" spans="2:2" ht="15.6">
      <c r="B9857" s="159"/>
    </row>
    <row r="9858" spans="2:2" ht="15.6">
      <c r="B9858" s="159"/>
    </row>
    <row r="9859" spans="2:2" ht="15.6">
      <c r="B9859" s="159"/>
    </row>
    <row r="9860" spans="2:2" ht="15.6">
      <c r="B9860" s="159"/>
    </row>
    <row r="9861" spans="2:2" ht="15.6">
      <c r="B9861" s="159"/>
    </row>
    <row r="9862" spans="2:2" ht="15.6">
      <c r="B9862" s="159"/>
    </row>
    <row r="9863" spans="2:2" ht="15.6">
      <c r="B9863" s="159"/>
    </row>
    <row r="9864" spans="2:2" ht="15.6">
      <c r="B9864" s="159"/>
    </row>
    <row r="9865" spans="2:2" ht="15.6">
      <c r="B9865" s="159"/>
    </row>
    <row r="9866" spans="2:2" ht="15.6">
      <c r="B9866" s="159"/>
    </row>
    <row r="9867" spans="2:2" ht="15.6">
      <c r="B9867" s="159"/>
    </row>
    <row r="9868" spans="2:2" ht="15.6">
      <c r="B9868" s="159"/>
    </row>
    <row r="9869" spans="2:2" ht="15.6">
      <c r="B9869" s="159"/>
    </row>
    <row r="9870" spans="2:2" ht="15.6">
      <c r="B9870" s="159"/>
    </row>
    <row r="9871" spans="2:2" ht="15.6">
      <c r="B9871" s="159"/>
    </row>
    <row r="9872" spans="2:2" ht="15.6">
      <c r="B9872" s="159"/>
    </row>
    <row r="9873" spans="2:2" ht="15.6">
      <c r="B9873" s="159"/>
    </row>
    <row r="9874" spans="2:2" ht="15.6">
      <c r="B9874" s="159"/>
    </row>
    <row r="9875" spans="2:2" ht="15.6">
      <c r="B9875" s="159"/>
    </row>
    <row r="9876" spans="2:2" ht="15.6">
      <c r="B9876" s="159"/>
    </row>
    <row r="9877" spans="2:2" ht="15.6">
      <c r="B9877" s="159"/>
    </row>
    <row r="9878" spans="2:2" ht="15.6">
      <c r="B9878" s="159"/>
    </row>
    <row r="9879" spans="2:2" ht="15.6">
      <c r="B9879" s="159"/>
    </row>
    <row r="9880" spans="2:2" ht="15.6">
      <c r="B9880" s="159"/>
    </row>
    <row r="9881" spans="2:2" ht="15.6">
      <c r="B9881" s="159"/>
    </row>
    <row r="9882" spans="2:2" ht="15.6">
      <c r="B9882" s="159"/>
    </row>
    <row r="9883" spans="2:2" ht="15.6">
      <c r="B9883" s="159"/>
    </row>
    <row r="9884" spans="2:2" ht="15.6">
      <c r="B9884" s="159"/>
    </row>
    <row r="9885" spans="2:2" ht="15.6">
      <c r="B9885" s="159"/>
    </row>
    <row r="9886" spans="2:2" ht="15.6">
      <c r="B9886" s="159"/>
    </row>
    <row r="9887" spans="2:2" ht="15.6">
      <c r="B9887" s="159"/>
    </row>
    <row r="9888" spans="2:2" ht="15.6">
      <c r="B9888" s="159"/>
    </row>
    <row r="9889" spans="2:2" ht="15.6">
      <c r="B9889" s="159"/>
    </row>
    <row r="9890" spans="2:2" ht="15.6">
      <c r="B9890" s="159"/>
    </row>
    <row r="9891" spans="2:2" ht="15.6">
      <c r="B9891" s="159"/>
    </row>
    <row r="9892" spans="2:2" ht="15.6">
      <c r="B9892" s="159"/>
    </row>
    <row r="9893" spans="2:2" ht="15.6">
      <c r="B9893" s="159"/>
    </row>
    <row r="9894" spans="2:2" ht="15.6">
      <c r="B9894" s="159"/>
    </row>
    <row r="9895" spans="2:2" ht="15.6">
      <c r="B9895" s="159"/>
    </row>
    <row r="9896" spans="2:2" ht="15.6">
      <c r="B9896" s="159"/>
    </row>
    <row r="9897" spans="2:2" ht="15.6">
      <c r="B9897" s="159"/>
    </row>
    <row r="9898" spans="2:2" ht="15.6">
      <c r="B9898" s="159"/>
    </row>
    <row r="9899" spans="2:2" ht="15.6">
      <c r="B9899" s="159"/>
    </row>
    <row r="9900" spans="2:2" ht="15.6">
      <c r="B9900" s="159"/>
    </row>
    <row r="9901" spans="2:2" ht="15.6">
      <c r="B9901" s="159"/>
    </row>
    <row r="9902" spans="2:2" ht="15.6">
      <c r="B9902" s="159"/>
    </row>
    <row r="9903" spans="2:2" ht="15.6">
      <c r="B9903" s="159"/>
    </row>
    <row r="9904" spans="2:2" ht="15.6">
      <c r="B9904" s="159"/>
    </row>
    <row r="9905" spans="2:2" ht="15.6">
      <c r="B9905" s="159"/>
    </row>
    <row r="9906" spans="2:2" ht="15.6">
      <c r="B9906" s="159"/>
    </row>
    <row r="9907" spans="2:2" ht="15.6">
      <c r="B9907" s="159"/>
    </row>
    <row r="9908" spans="2:2" ht="15.6">
      <c r="B9908" s="159"/>
    </row>
    <row r="9909" spans="2:2" ht="15.6">
      <c r="B9909" s="159"/>
    </row>
    <row r="9910" spans="2:2" ht="15.6">
      <c r="B9910" s="159"/>
    </row>
    <row r="9911" spans="2:2" ht="15.6">
      <c r="B9911" s="159"/>
    </row>
    <row r="9912" spans="2:2" ht="15.6">
      <c r="B9912" s="159"/>
    </row>
    <row r="9913" spans="2:2" ht="15.6">
      <c r="B9913" s="159"/>
    </row>
    <row r="9914" spans="2:2" ht="15.6">
      <c r="B9914" s="159"/>
    </row>
    <row r="9915" spans="2:2" ht="15.6">
      <c r="B9915" s="159"/>
    </row>
    <row r="9916" spans="2:2" ht="15.6">
      <c r="B9916" s="159"/>
    </row>
    <row r="9917" spans="2:2" ht="15.6">
      <c r="B9917" s="159"/>
    </row>
    <row r="9918" spans="2:2" ht="15.6">
      <c r="B9918" s="159"/>
    </row>
    <row r="9919" spans="2:2" ht="15.6">
      <c r="B9919" s="159"/>
    </row>
    <row r="9920" spans="2:2" ht="15.6">
      <c r="B9920" s="159"/>
    </row>
    <row r="9921" spans="2:2" ht="15.6">
      <c r="B9921" s="159"/>
    </row>
    <row r="9922" spans="2:2" ht="15.6">
      <c r="B9922" s="159"/>
    </row>
    <row r="9923" spans="2:2" ht="15.6">
      <c r="B9923" s="159"/>
    </row>
    <row r="9924" spans="2:2" ht="15.6">
      <c r="B9924" s="159"/>
    </row>
    <row r="9925" spans="2:2" ht="15.6">
      <c r="B9925" s="159"/>
    </row>
    <row r="9926" spans="2:2" ht="15.6">
      <c r="B9926" s="159"/>
    </row>
    <row r="9927" spans="2:2" ht="15.6">
      <c r="B9927" s="159"/>
    </row>
    <row r="9928" spans="2:2" ht="15.6">
      <c r="B9928" s="159"/>
    </row>
    <row r="9929" spans="2:2" ht="15.6">
      <c r="B9929" s="159"/>
    </row>
    <row r="9930" spans="2:2" ht="15.6">
      <c r="B9930" s="159"/>
    </row>
    <row r="9931" spans="2:2" ht="15.6">
      <c r="B9931" s="159"/>
    </row>
    <row r="9932" spans="2:2" ht="15.6">
      <c r="B9932" s="159"/>
    </row>
    <row r="9933" spans="2:2" ht="15.6">
      <c r="B9933" s="159"/>
    </row>
    <row r="9934" spans="2:2" ht="15.6">
      <c r="B9934" s="159"/>
    </row>
    <row r="9935" spans="2:2" ht="15.6">
      <c r="B9935" s="159"/>
    </row>
    <row r="9936" spans="2:2" ht="15.6">
      <c r="B9936" s="159"/>
    </row>
    <row r="9937" spans="2:2" ht="15.6">
      <c r="B9937" s="159"/>
    </row>
    <row r="9938" spans="2:2" ht="15.6">
      <c r="B9938" s="159"/>
    </row>
    <row r="9939" spans="2:2" ht="15.6">
      <c r="B9939" s="159"/>
    </row>
    <row r="9940" spans="2:2" ht="15.6">
      <c r="B9940" s="159"/>
    </row>
    <row r="9941" spans="2:2" ht="15.6">
      <c r="B9941" s="159"/>
    </row>
    <row r="9942" spans="2:2" ht="15.6">
      <c r="B9942" s="159"/>
    </row>
    <row r="9943" spans="2:2" ht="15.6">
      <c r="B9943" s="159"/>
    </row>
    <row r="9944" spans="2:2" ht="15.6">
      <c r="B9944" s="159"/>
    </row>
    <row r="9945" spans="2:2" ht="15.6">
      <c r="B9945" s="159"/>
    </row>
    <row r="9946" spans="2:2" ht="15.6">
      <c r="B9946" s="159"/>
    </row>
    <row r="9947" spans="2:2" ht="15.6">
      <c r="B9947" s="159"/>
    </row>
    <row r="9948" spans="2:2" ht="15.6">
      <c r="B9948" s="159"/>
    </row>
    <row r="9949" spans="2:2" ht="15.6">
      <c r="B9949" s="159"/>
    </row>
    <row r="9950" spans="2:2" ht="15.6">
      <c r="B9950" s="159"/>
    </row>
    <row r="9951" spans="2:2" ht="15.6">
      <c r="B9951" s="159"/>
    </row>
    <row r="9952" spans="2:2" ht="15.6">
      <c r="B9952" s="159"/>
    </row>
    <row r="9953" spans="2:2" ht="15.6">
      <c r="B9953" s="159"/>
    </row>
    <row r="9954" spans="2:2" ht="15.6">
      <c r="B9954" s="159"/>
    </row>
    <row r="9955" spans="2:2" ht="15.6">
      <c r="B9955" s="159"/>
    </row>
    <row r="9956" spans="2:2" ht="15.6">
      <c r="B9956" s="159"/>
    </row>
    <row r="9957" spans="2:2" ht="15.6">
      <c r="B9957" s="159"/>
    </row>
    <row r="9958" spans="2:2" ht="15.6">
      <c r="B9958" s="159"/>
    </row>
    <row r="9959" spans="2:2" ht="15.6">
      <c r="B9959" s="159"/>
    </row>
    <row r="9960" spans="2:2" ht="15.6">
      <c r="B9960" s="159"/>
    </row>
    <row r="9961" spans="2:2" ht="15.6">
      <c r="B9961" s="159"/>
    </row>
    <row r="9962" spans="2:2" ht="15.6">
      <c r="B9962" s="159"/>
    </row>
    <row r="9963" spans="2:2" ht="15.6">
      <c r="B9963" s="159"/>
    </row>
    <row r="9964" spans="2:2" ht="15.6">
      <c r="B9964" s="159"/>
    </row>
    <row r="9965" spans="2:2" ht="15.6">
      <c r="B9965" s="159"/>
    </row>
    <row r="9966" spans="2:2" ht="15.6">
      <c r="B9966" s="159"/>
    </row>
    <row r="9967" spans="2:2" ht="15.6">
      <c r="B9967" s="159"/>
    </row>
    <row r="9968" spans="2:2" ht="15.6">
      <c r="B9968" s="159"/>
    </row>
    <row r="9969" spans="2:2" ht="15.6">
      <c r="B9969" s="159"/>
    </row>
    <row r="9970" spans="2:2" ht="15.6">
      <c r="B9970" s="159"/>
    </row>
    <row r="9971" spans="2:2" ht="15.6">
      <c r="B9971" s="159"/>
    </row>
    <row r="9972" spans="2:2" ht="15.6">
      <c r="B9972" s="159"/>
    </row>
    <row r="9973" spans="2:2" ht="15.6">
      <c r="B9973" s="159"/>
    </row>
    <row r="9974" spans="2:2" ht="15.6">
      <c r="B9974" s="159"/>
    </row>
    <row r="9975" spans="2:2" ht="15.6">
      <c r="B9975" s="159"/>
    </row>
    <row r="9976" spans="2:2" ht="15.6">
      <c r="B9976" s="159"/>
    </row>
    <row r="9977" spans="2:2" ht="15.6">
      <c r="B9977" s="159"/>
    </row>
    <row r="9978" spans="2:2" ht="15.6">
      <c r="B9978" s="159"/>
    </row>
    <row r="9979" spans="2:2" ht="15.6">
      <c r="B9979" s="159"/>
    </row>
    <row r="9980" spans="2:2" ht="15.6">
      <c r="B9980" s="159"/>
    </row>
    <row r="9981" spans="2:2" ht="15.6">
      <c r="B9981" s="159"/>
    </row>
    <row r="9982" spans="2:2" ht="15.6">
      <c r="B9982" s="159"/>
    </row>
    <row r="9983" spans="2:2" ht="15.6">
      <c r="B9983" s="159"/>
    </row>
    <row r="9984" spans="2:2" ht="15.6">
      <c r="B9984" s="159"/>
    </row>
    <row r="9985" spans="2:2" ht="15.6">
      <c r="B9985" s="159"/>
    </row>
    <row r="9986" spans="2:2" ht="15.6">
      <c r="B9986" s="159"/>
    </row>
    <row r="9987" spans="2:2" ht="15.6">
      <c r="B9987" s="159"/>
    </row>
    <row r="9988" spans="2:2" ht="15.6">
      <c r="B9988" s="159"/>
    </row>
    <row r="9989" spans="2:2" ht="15.6">
      <c r="B9989" s="159"/>
    </row>
    <row r="9990" spans="2:2" ht="15.6">
      <c r="B9990" s="159"/>
    </row>
    <row r="9991" spans="2:2" ht="15.6">
      <c r="B9991" s="159"/>
    </row>
    <row r="9992" spans="2:2" ht="15.6">
      <c r="B9992" s="159"/>
    </row>
    <row r="9993" spans="2:2" ht="15.6">
      <c r="B9993" s="159"/>
    </row>
    <row r="9994" spans="2:2" ht="15.6">
      <c r="B9994" s="159"/>
    </row>
    <row r="9995" spans="2:2" ht="15.6">
      <c r="B9995" s="159"/>
    </row>
    <row r="9996" spans="2:2" ht="15.6">
      <c r="B9996" s="159"/>
    </row>
    <row r="9997" spans="2:2" ht="15.6">
      <c r="B9997" s="159"/>
    </row>
    <row r="9998" spans="2:2" ht="15.6">
      <c r="B9998" s="159"/>
    </row>
    <row r="9999" spans="2:2" ht="15.6">
      <c r="B9999" s="159"/>
    </row>
    <row r="10000" spans="2:2" ht="15.6">
      <c r="B10000" s="159"/>
    </row>
    <row r="10001" spans="2:2" ht="15.6">
      <c r="B10001" s="159"/>
    </row>
    <row r="10002" spans="2:2" ht="15.6">
      <c r="B10002" s="159"/>
    </row>
    <row r="10003" spans="2:2" ht="15.6">
      <c r="B10003" s="159"/>
    </row>
    <row r="10004" spans="2:2" ht="15.6">
      <c r="B10004" s="159"/>
    </row>
    <row r="10005" spans="2:2" ht="15.6">
      <c r="B10005" s="159"/>
    </row>
    <row r="10006" spans="2:2" ht="15.6">
      <c r="B10006" s="159"/>
    </row>
    <row r="10007" spans="2:2" ht="15.6">
      <c r="B10007" s="159"/>
    </row>
    <row r="10008" spans="2:2" ht="15.6">
      <c r="B10008" s="159"/>
    </row>
    <row r="10009" spans="2:2" ht="15.6">
      <c r="B10009" s="159"/>
    </row>
    <row r="10010" spans="2:2" ht="15.6">
      <c r="B10010" s="159"/>
    </row>
    <row r="10011" spans="2:2" ht="15.6">
      <c r="B10011" s="159"/>
    </row>
    <row r="10012" spans="2:2" ht="15.6">
      <c r="B10012" s="159"/>
    </row>
    <row r="10013" spans="2:2" ht="15.6">
      <c r="B10013" s="159"/>
    </row>
    <row r="10014" spans="2:2" ht="15.6">
      <c r="B10014" s="159"/>
    </row>
    <row r="10015" spans="2:2" ht="15.6">
      <c r="B10015" s="159"/>
    </row>
    <row r="10016" spans="2:2" ht="15.6">
      <c r="B10016" s="159"/>
    </row>
    <row r="10017" spans="2:2" ht="15.6">
      <c r="B10017" s="159"/>
    </row>
    <row r="10018" spans="2:2" ht="15.6">
      <c r="B10018" s="159"/>
    </row>
    <row r="10019" spans="2:2" ht="15.6">
      <c r="B10019" s="159"/>
    </row>
    <row r="10020" spans="2:2" ht="15.6">
      <c r="B10020" s="159"/>
    </row>
    <row r="10021" spans="2:2" ht="15.6">
      <c r="B10021" s="159"/>
    </row>
    <row r="10022" spans="2:2" ht="15.6">
      <c r="B10022" s="159"/>
    </row>
    <row r="10023" spans="2:2" ht="15.6">
      <c r="B10023" s="159"/>
    </row>
    <row r="10024" spans="2:2" ht="15.6">
      <c r="B10024" s="159"/>
    </row>
    <row r="10025" spans="2:2" ht="15.6">
      <c r="B10025" s="159"/>
    </row>
    <row r="10026" spans="2:2" ht="15.6">
      <c r="B10026" s="159"/>
    </row>
    <row r="10027" spans="2:2" ht="15.6">
      <c r="B10027" s="159"/>
    </row>
    <row r="10028" spans="2:2" ht="15.6">
      <c r="B10028" s="159"/>
    </row>
    <row r="10029" spans="2:2" ht="15.6">
      <c r="B10029" s="159"/>
    </row>
    <row r="10030" spans="2:2" ht="15.6">
      <c r="B10030" s="159"/>
    </row>
    <row r="10031" spans="2:2" ht="15.6">
      <c r="B10031" s="159"/>
    </row>
    <row r="10032" spans="2:2" ht="15.6">
      <c r="B10032" s="159"/>
    </row>
    <row r="10033" spans="2:2" ht="15.6">
      <c r="B10033" s="159"/>
    </row>
    <row r="10034" spans="2:2" ht="15.6">
      <c r="B10034" s="159"/>
    </row>
    <row r="10035" spans="2:2" ht="15.6">
      <c r="B10035" s="159"/>
    </row>
    <row r="10036" spans="2:2" ht="15.6">
      <c r="B10036" s="159"/>
    </row>
    <row r="10037" spans="2:2" ht="15.6">
      <c r="B10037" s="159"/>
    </row>
    <row r="10038" spans="2:2" ht="15.6">
      <c r="B10038" s="159"/>
    </row>
    <row r="10039" spans="2:2" ht="15.6">
      <c r="B10039" s="159"/>
    </row>
    <row r="10040" spans="2:2" ht="15.6">
      <c r="B10040" s="159"/>
    </row>
    <row r="10041" spans="2:2" ht="15.6">
      <c r="B10041" s="159"/>
    </row>
    <row r="10042" spans="2:2" ht="15.6">
      <c r="B10042" s="159"/>
    </row>
    <row r="10043" spans="2:2" ht="15.6">
      <c r="B10043" s="159"/>
    </row>
    <row r="10044" spans="2:2" ht="15.6">
      <c r="B10044" s="159"/>
    </row>
    <row r="10045" spans="2:2" ht="15.6">
      <c r="B10045" s="159"/>
    </row>
    <row r="10046" spans="2:2" ht="15.6">
      <c r="B10046" s="159"/>
    </row>
    <row r="10047" spans="2:2" ht="15.6">
      <c r="B10047" s="159"/>
    </row>
    <row r="10048" spans="2:2" ht="15.6">
      <c r="B10048" s="159"/>
    </row>
    <row r="10049" spans="2:2" ht="15.6">
      <c r="B10049" s="159"/>
    </row>
    <row r="10050" spans="2:2" ht="15.6">
      <c r="B10050" s="159"/>
    </row>
    <row r="10051" spans="2:2" ht="15.6">
      <c r="B10051" s="159"/>
    </row>
    <row r="10052" spans="2:2" ht="15.6">
      <c r="B10052" s="159"/>
    </row>
    <row r="10053" spans="2:2" ht="15.6">
      <c r="B10053" s="159"/>
    </row>
    <row r="10054" spans="2:2" ht="15.6">
      <c r="B10054" s="159"/>
    </row>
    <row r="10055" spans="2:2" ht="15.6">
      <c r="B10055" s="159"/>
    </row>
  </sheetData>
  <phoneticPr fontId="74" type="noConversion"/>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B988D-8D01-4A93-B497-E21446BB3F17}"/>
</file>

<file path=customXml/itemProps2.xml><?xml version="1.0" encoding="utf-8"?>
<ds:datastoreItem xmlns:ds="http://schemas.openxmlformats.org/officeDocument/2006/customXml" ds:itemID="{AB79CB92-5331-4E6D-BCCA-3ED810C77402}"/>
</file>

<file path=customXml/itemProps3.xml><?xml version="1.0" encoding="utf-8"?>
<ds:datastoreItem xmlns:ds="http://schemas.openxmlformats.org/officeDocument/2006/customXml" ds:itemID="{A04E3618-D491-4F6F-BB80-95ED90E277FA}"/>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João Pedro Botelho Pereira de Rodrigues Ferreira</cp:lastModifiedBy>
  <cp:revision/>
  <dcterms:created xsi:type="dcterms:W3CDTF">2025-02-25T16:23:47Z</dcterms:created>
  <dcterms:modified xsi:type="dcterms:W3CDTF">2025-10-04T19:51:57Z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